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_手取り" sheetId="1" state="visible" r:id="rId1"/>
    <sheet xmlns:r="http://schemas.openxmlformats.org/officeDocument/2006/relationships" name="2_前月の給与別" sheetId="2" state="visible" r:id="rId2"/>
    <sheet xmlns:r="http://schemas.openxmlformats.org/officeDocument/2006/relationships" name="3_都道府県別" sheetId="3" state="visible" r:id="rId3"/>
    <sheet xmlns:r="http://schemas.openxmlformats.org/officeDocument/2006/relationships" name="4_国税庁の例で検算" sheetId="4" state="visible" r:id="rId4"/>
    <sheet xmlns:r="http://schemas.openxmlformats.org/officeDocument/2006/relationships" name="5_使い方" sheetId="5" state="visible" r:id="rId5"/>
    <sheet xmlns:r="http://schemas.openxmlformats.org/officeDocument/2006/relationships" name="料率" sheetId="6" state="visible" r:id="rId6"/>
    <sheet xmlns:r="http://schemas.openxmlformats.org/officeDocument/2006/relationships" name="算出率" sheetId="7" state="visible" r:id="rId7"/>
    <sheet xmlns:r="http://schemas.openxmlformats.org/officeDocument/2006/relationships" name="月額表" sheetId="8" state="visible" r:id="rId8"/>
    <sheet xmlns:r="http://schemas.openxmlformats.org/officeDocument/2006/relationships" name="標準報酬" sheetId="9" state="visible" r:id="rId9"/>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
  </numFmts>
  <fonts count="3">
    <font>
      <name val="Calibri"/>
      <family val="2"/>
      <color theme="1"/>
      <sz val="11"/>
      <scheme val="minor"/>
    </font>
    <font>
      <b val="1"/>
    </font>
    <font>
      <b val="1"/>
      <sz val="12"/>
    </font>
  </fonts>
  <fills count="5">
    <fill>
      <patternFill/>
    </fill>
    <fill>
      <patternFill patternType="gray125"/>
    </fill>
    <fill>
      <patternFill patternType="solid">
        <fgColor rgb="00E8EDF2"/>
      </patternFill>
    </fill>
    <fill>
      <patternFill patternType="solid">
        <fgColor rgb="00FFF7CC"/>
      </patternFill>
    </fill>
    <fill>
      <patternFill patternType="solid">
        <fgColor rgb="00F2F2F2"/>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0">
    <xf numFmtId="0" fontId="0" fillId="0" borderId="0" pivotButton="0" quotePrefix="0" xfId="0"/>
    <xf numFmtId="0" fontId="2" fillId="0" borderId="0" pivotButton="0" quotePrefix="0" xfId="0"/>
    <xf numFmtId="0" fontId="1" fillId="2" borderId="1" applyAlignment="1" pivotButton="0" quotePrefix="0" xfId="0">
      <alignment horizontal="center" vertical="center" wrapText="1"/>
    </xf>
    <xf numFmtId="0" fontId="0" fillId="0" borderId="1" pivotButton="0" quotePrefix="0" xfId="0"/>
    <xf numFmtId="3" fontId="0" fillId="3" borderId="1" pivotButton="0" quotePrefix="0" xfId="0"/>
    <xf numFmtId="3" fontId="0" fillId="4" borderId="1" pivotButton="0" quotePrefix="0" xfId="0"/>
    <xf numFmtId="0" fontId="0" fillId="3" borderId="1" pivotButton="0" quotePrefix="0" xfId="0"/>
    <xf numFmtId="10" fontId="0" fillId="4" borderId="1" pivotButton="0" quotePrefix="0" xfId="0"/>
    <xf numFmtId="0" fontId="0" fillId="4" borderId="1" pivotButton="0" quotePrefix="0" xfId="0"/>
    <xf numFmtId="164" fontId="0" fillId="4" borderId="1" pivotButton="0" quotePrefix="0" xfId="0"/>
    <xf numFmtId="3" fontId="1" fillId="4" borderId="1" pivotButton="0" quotePrefix="0" xfId="0"/>
    <xf numFmtId="165" fontId="0" fillId="4" borderId="1" pivotButton="0" quotePrefix="0" xfId="0"/>
    <xf numFmtId="166" fontId="0" fillId="4" borderId="1" pivotButton="0" quotePrefix="0" xfId="0"/>
    <xf numFmtId="0" fontId="1" fillId="0" borderId="0" pivotButton="0" quotePrefix="0" xfId="0"/>
    <xf numFmtId="3" fontId="0" fillId="0" borderId="1" pivotButton="0" quotePrefix="0" xfId="0"/>
    <xf numFmtId="10" fontId="0" fillId="0" borderId="1" pivotButton="0" quotePrefix="0" xfId="0"/>
    <xf numFmtId="164" fontId="0" fillId="0" borderId="1" pivotButton="0" quotePrefix="0" xfId="0"/>
    <xf numFmtId="165" fontId="0" fillId="0" borderId="1" pivotButton="0" quotePrefix="0" xfId="0"/>
    <xf numFmtId="3" fontId="0" fillId="0" borderId="0" pivotButton="0" quotePrefix="0" xfId="0"/>
    <xf numFmtId="164" fontId="0" fillId="0" borderId="0" pivotButton="0" quotePrefix="0" xfId="0"/>
  </cellXfs>
  <cellStyles count="1">
    <cellStyle name="Normal" xfId="0" builtinId="0" hidden="0"/>
  </cellStyles>
  <dxfs count="2">
    <dxf>
      <fill>
        <patternFill patternType="solid">
          <fgColor rgb="00E6F4EA"/>
          <bgColor rgb="00E6F4EA"/>
        </patternFill>
      </fill>
    </dxf>
    <dxf>
      <fill>
        <patternFill patternType="solid">
          <fgColor rgb="00FDE8E8"/>
          <b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34" customWidth="1" min="1" max="1"/>
    <col width="14" customWidth="1" min="2" max="2"/>
    <col width="44" customWidth="1" min="3" max="3"/>
    <col width="32" customWidth="1" min="5" max="5"/>
    <col width="14" customWidth="1" min="6" max="6"/>
    <col width="46" customWidth="1" min="7" max="7"/>
  </cols>
  <sheetData>
    <row r="1">
      <c r="A1" s="1" t="inlineStr">
        <is>
          <t>賞与の手取り。黄色を埋める（協会けんぽ・雇用保険は令和8年度、所得税は令和8年分の税額表）</t>
        </is>
      </c>
    </row>
    <row r="2">
      <c r="A2" s="2" t="inlineStr">
        <is>
          <t>入れるもの</t>
        </is>
      </c>
      <c r="B2" s="2" t="inlineStr">
        <is>
          <t>値</t>
        </is>
      </c>
      <c r="C2" s="2" t="inlineStr">
        <is>
          <t>メモ</t>
        </is>
      </c>
      <c r="E2" s="2" t="inlineStr">
        <is>
          <t>計算</t>
        </is>
      </c>
      <c r="F2" s="2" t="inlineStr">
        <is>
          <t>値</t>
        </is>
      </c>
      <c r="G2" s="2" t="inlineStr">
        <is>
          <t>メモ</t>
        </is>
      </c>
    </row>
    <row r="3">
      <c r="A3" s="3" t="inlineStr">
        <is>
          <t>賞与の額（税引き前の総支給）</t>
        </is>
      </c>
      <c r="B3" s="4" t="n">
        <v>500000</v>
      </c>
      <c r="C3" s="3" t="inlineStr">
        <is>
          <t>通勤手当は含まない</t>
        </is>
      </c>
      <c r="E3" s="3" t="inlineStr">
        <is>
          <t>標準賞与額</t>
        </is>
      </c>
      <c r="F3" s="5">
        <f>ROUNDDOWN($B$3,-3)</f>
        <v/>
      </c>
      <c r="G3" s="3" t="inlineStr">
        <is>
          <t>千円未満を切り捨て</t>
        </is>
      </c>
    </row>
    <row r="4">
      <c r="A4" s="3" t="inlineStr">
        <is>
          <t>都道府県（協会けんぽの支部）</t>
        </is>
      </c>
      <c r="B4" s="6" t="inlineStr">
        <is>
          <t>東京都</t>
        </is>
      </c>
      <c r="C4" s="3" t="inlineStr">
        <is>
          <t>健康保険組合の人は料率が違う</t>
        </is>
      </c>
      <c r="E4" s="3" t="inlineStr">
        <is>
          <t>健康保険・介護・支援金の対象額</t>
        </is>
      </c>
      <c r="F4" s="5">
        <f>MAX(0,MIN($F$3,料率!$E$11-$B$12))</f>
        <v/>
      </c>
      <c r="G4" s="3" t="inlineStr">
        <is>
          <t>年度累計573万円まで</t>
        </is>
      </c>
    </row>
    <row r="5">
      <c r="A5" s="3" t="inlineStr">
        <is>
          <t>40歳から64歳か</t>
        </is>
      </c>
      <c r="B5" s="6" t="inlineStr">
        <is>
          <t>いいえ</t>
        </is>
      </c>
      <c r="C5" s="3" t="inlineStr">
        <is>
          <t>はいなら介護保険料がかかる</t>
        </is>
      </c>
      <c r="E5" s="3" t="inlineStr">
        <is>
          <t>厚生年金の対象額</t>
        </is>
      </c>
      <c r="F5" s="5">
        <f>MIN($F$3,料率!$E$12)</f>
        <v/>
      </c>
      <c r="G5" s="3" t="inlineStr">
        <is>
          <t>1か月150万円まで</t>
        </is>
      </c>
    </row>
    <row r="6">
      <c r="A6" s="3" t="inlineStr">
        <is>
          <t>事業の種類</t>
        </is>
      </c>
      <c r="B6" s="6" t="inlineStr">
        <is>
          <t>一般の事業</t>
        </is>
      </c>
      <c r="C6" s="3" t="inlineStr">
        <is>
          <t>雇用保険の料率が変わる</t>
        </is>
      </c>
      <c r="E6" s="3" t="inlineStr">
        <is>
          <t>健康保険料率</t>
        </is>
      </c>
      <c r="F6" s="7">
        <f>INDEX(料率!$B$4:$B$50,MATCH($B$4,料率!$A$4:$A$50,0))</f>
        <v/>
      </c>
      <c r="G6" s="3" t="inlineStr"/>
    </row>
    <row r="7">
      <c r="A7" s="3" t="inlineStr">
        <is>
          <t>扶養親族等の数</t>
        </is>
      </c>
      <c r="B7" s="6" t="n">
        <v>0</v>
      </c>
      <c r="C7" s="3" t="inlineStr">
        <is>
          <t>扶養控除等申告書に書いた人数（0〜7）</t>
        </is>
      </c>
      <c r="E7" s="3" t="inlineStr">
        <is>
          <t>介護保険料率</t>
        </is>
      </c>
      <c r="F7" s="7">
        <f>IF($B$5="はい",料率!$E$4,0)</f>
        <v/>
      </c>
      <c r="G7" s="3" t="inlineStr"/>
    </row>
    <row r="8">
      <c r="A8" s="3" t="inlineStr">
        <is>
          <t>前月に給与の支払があったか</t>
        </is>
      </c>
      <c r="B8" s="6" t="inlineStr">
        <is>
          <t>あり</t>
        </is>
      </c>
      <c r="C8" s="3" t="inlineStr">
        <is>
          <t>賞与を払う月の前の月に払った給与</t>
        </is>
      </c>
      <c r="E8" s="3" t="inlineStr">
        <is>
          <t>健康保険料（介護を含む）</t>
        </is>
      </c>
      <c r="F8" s="5">
        <f>IF(ROUND($F$4*($F$6+$F$7)/2,4)&lt;=0.5,0,ROUNDUP(ROUND($F$4*($F$6+$F$7)/2,4)-0.5,0))</f>
        <v/>
      </c>
      <c r="G8" s="3" t="inlineStr">
        <is>
          <t>折半。50銭以下は切り捨て</t>
        </is>
      </c>
    </row>
    <row r="9">
      <c r="A9" s="3" t="inlineStr">
        <is>
          <t>前月の給与（非課税の通勤手当を除く）</t>
        </is>
      </c>
      <c r="B9" s="4" t="n">
        <v>300000</v>
      </c>
      <c r="C9" s="3" t="inlineStr">
        <is>
          <t>給与明細の課税対象額</t>
        </is>
      </c>
      <c r="E9" s="3" t="inlineStr">
        <is>
          <t>子ども・子育て支援金</t>
        </is>
      </c>
      <c r="F9" s="5">
        <f>IF(ROUND($F$4*料率!$E$5/2,4)&lt;=0.5,0,ROUNDUP(ROUND($F$4*料率!$E$5/2,4)-0.5,0))</f>
        <v/>
      </c>
      <c r="G9" s="3" t="inlineStr">
        <is>
          <t>令和8年4月分から</t>
        </is>
      </c>
    </row>
    <row r="10">
      <c r="A10" s="3" t="inlineStr">
        <is>
          <t>前月の給与から引いた社会保険料等</t>
        </is>
      </c>
      <c r="B10" s="4" t="n">
        <v>44070</v>
      </c>
      <c r="C10" s="3" t="inlineStr">
        <is>
          <t>健康保険・介護・支援金・厚生年金・雇用保険の計</t>
        </is>
      </c>
      <c r="E10" s="3" t="inlineStr">
        <is>
          <t>厚生年金保険料</t>
        </is>
      </c>
      <c r="F10" s="5">
        <f>IF(ROUND($F$5*料率!$E$6/2,4)&lt;=0.5,0,ROUNDUP(ROUND($F$5*料率!$E$6/2,4)-0.5,0))</f>
        <v/>
      </c>
      <c r="G10" s="3" t="inlineStr"/>
    </row>
    <row r="11">
      <c r="A11" s="3" t="inlineStr">
        <is>
          <t>賞与の計算期間が6か月を超えるか</t>
        </is>
      </c>
      <c r="B11" s="6" t="inlineStr">
        <is>
          <t>いいえ</t>
        </is>
      </c>
      <c r="C11" s="3" t="inlineStr">
        <is>
          <t>はいなら12で割る</t>
        </is>
      </c>
      <c r="E11" s="3" t="inlineStr">
        <is>
          <t>雇用保険料</t>
        </is>
      </c>
      <c r="F11" s="5">
        <f>IF(ROUND($B$3*INDEX(料率!$E$8:$E$10,MATCH($B$6,料率!$D$8:$D$10,0)),4)&lt;=0.5,0,ROUNDUP(ROUND($B$3*INDEX(料率!$E$8:$E$10,MATCH($B$6,料率!$D$8:$D$10,0)),4)-0.5,0))</f>
        <v/>
      </c>
      <c r="G11" s="3" t="inlineStr">
        <is>
          <t>支給額に掛ける（千円未満を切り捨てない）</t>
        </is>
      </c>
    </row>
    <row r="12">
      <c r="A12" s="3" t="inlineStr">
        <is>
          <t>今年度すでに出た標準賞与額の累計</t>
        </is>
      </c>
      <c r="B12" s="4" t="n">
        <v>0</v>
      </c>
      <c r="C12" s="3" t="inlineStr">
        <is>
          <t>4月からの累計。健康保険の573万円の上限に使う</t>
        </is>
      </c>
      <c r="E12" s="3" t="inlineStr">
        <is>
          <t>社会保険料の計</t>
        </is>
      </c>
      <c r="F12" s="5">
        <f>SUM($F$8:$F$11)</f>
        <v/>
      </c>
      <c r="G12" s="3" t="inlineStr"/>
    </row>
    <row r="13">
      <c r="E13" s="3" t="inlineStr">
        <is>
          <t>社会保険料を引いた賞与</t>
        </is>
      </c>
      <c r="F13" s="5">
        <f>$B$3-$F$12</f>
        <v/>
      </c>
      <c r="G13" s="3" t="inlineStr">
        <is>
          <t>税率を掛けるのはこの額</t>
        </is>
      </c>
    </row>
    <row r="14">
      <c r="E14" s="3" t="inlineStr">
        <is>
          <t>前月の社会保険料等控除後の給与</t>
        </is>
      </c>
      <c r="F14" s="5">
        <f>IF($B$8="なし",0,$B$9-$B$10)</f>
        <v/>
      </c>
      <c r="G14" s="3" t="inlineStr">
        <is>
          <t>税率の行を決める額</t>
        </is>
      </c>
    </row>
    <row r="15">
      <c r="E15" s="3" t="inlineStr">
        <is>
          <t>計算のしかた</t>
        </is>
      </c>
      <c r="F15" s="8">
        <f>IF(OR($B$8="なし",$F$14&lt;=0),"前月の給与なし",IF($F$13&gt;$F$14*10,"10倍超","算出率の表"))</f>
        <v/>
      </c>
      <c r="G15" s="3" t="inlineStr">
        <is>
          <t>国税庁 No.2523 の3通り</t>
        </is>
      </c>
    </row>
    <row r="16">
      <c r="E16" s="3" t="inlineStr">
        <is>
          <t>割る数</t>
        </is>
      </c>
      <c r="F16" s="8">
        <f>IF($B$11="はい",12,6)</f>
        <v/>
      </c>
      <c r="G16" s="3" t="inlineStr">
        <is>
          <t>前月の給与なし・10倍超で使う</t>
        </is>
      </c>
    </row>
    <row r="17">
      <c r="E17" s="3" t="inlineStr">
        <is>
          <t>算出率の表の率</t>
        </is>
      </c>
      <c r="F17" s="9">
        <f>IF($F$15="算出率の表",INDEX(算出率!$A$4:$A$24,MATCH($F$14,INDEX(算出率!$B$4:$I$24,0,$B$7+1),1)),"")</f>
        <v/>
      </c>
      <c r="G17" s="3" t="inlineStr"/>
    </row>
    <row r="18">
      <c r="E18" s="3" t="inlineStr">
        <is>
          <t>月額表に当てる額</t>
        </is>
      </c>
      <c r="F18" s="5">
        <f>IF($F$15="算出率の表","",ROUNDDOWN($F$13/$F$16,0)+IF($F$15="10倍超",$F$14,0))</f>
        <v/>
      </c>
      <c r="G18" s="3" t="inlineStr">
        <is>
          <t>賞与を6（12）で割った額。10倍超は前月の給与を足す</t>
        </is>
      </c>
    </row>
    <row r="19">
      <c r="E19" s="3" t="inlineStr">
        <is>
          <t>その額の月額表の税額</t>
        </is>
      </c>
      <c r="F19" s="5">
        <f>IF($F$18="","",IF($F$18&lt;105000,0,IF($F$18&lt;740000,INDEX(月額表!$B$4:$I$234,MATCH($F$18,月額表!$A$4:$A$234,1),$B$7+1),INDEX(月額表!$M$4:$T$12,MATCH($F$18,月額表!$K$4:$K$12,1),$B$7+1)+ROUNDDOWN(ROUND(($F$18-INDEX(月額表!$K$4:$K$12,MATCH($F$18,月額表!$K$4:$K$12,1)))*INDEX(月額表!$L$4:$L$12,MATCH($F$18,月額表!$K$4:$K$12,1)),4),0))))</f>
        <v/>
      </c>
      <c r="G19" s="3" t="inlineStr"/>
    </row>
    <row r="20">
      <c r="E20" s="3" t="inlineStr">
        <is>
          <t>前月の給与の月額表の税額</t>
        </is>
      </c>
      <c r="F20" s="5">
        <f>IF($F$15="10倍超",IF($F$14&lt;105000,0,IF($F$14&lt;740000,INDEX(月額表!$B$4:$I$234,MATCH($F$14,月額表!$A$4:$A$234,1),$B$7+1),INDEX(月額表!$M$4:$T$12,MATCH($F$14,月額表!$K$4:$K$12,1),$B$7+1)+ROUNDDOWN(ROUND(($F$14-INDEX(月額表!$K$4:$K$12,MATCH($F$14,月額表!$K$4:$K$12,1)))*INDEX(月額表!$L$4:$L$12,MATCH($F$14,月額表!$K$4:$K$12,1)),4),0))),IF($F$15="前月の給与なし",0,""))</f>
        <v/>
      </c>
      <c r="G20" s="3" t="inlineStr">
        <is>
          <t>10倍超のときだけ引く</t>
        </is>
      </c>
    </row>
    <row r="21">
      <c r="E21" s="3" t="inlineStr">
        <is>
          <t>源泉所得税</t>
        </is>
      </c>
      <c r="F21" s="5">
        <f>IF($F$15="算出率の表",ROUNDDOWN(ROUND($F$13*$F$17,4),0),($F$19-$F$20)*$F$16)</f>
        <v/>
      </c>
      <c r="G21" s="3" t="inlineStr">
        <is>
          <t>1円未満は切り捨て</t>
        </is>
      </c>
    </row>
    <row r="22">
      <c r="E22" s="3" t="inlineStr">
        <is>
          <t>手取り</t>
        </is>
      </c>
      <c r="F22" s="10">
        <f>$B$3-$F$12-$F$21</f>
        <v/>
      </c>
      <c r="G22" s="3" t="inlineStr"/>
    </row>
    <row r="23">
      <c r="E23" s="3" t="inlineStr">
        <is>
          <t>手取りの割合</t>
        </is>
      </c>
      <c r="F23" s="11">
        <f>$F$22/$B$3</f>
        <v/>
      </c>
      <c r="G23" s="3" t="inlineStr"/>
    </row>
    <row r="24">
      <c r="E24" s="3" t="inlineStr">
        <is>
          <t>住民税</t>
        </is>
      </c>
      <c r="F24" s="8" t="inlineStr">
        <is>
          <t>引かない</t>
        </is>
      </c>
      <c r="G24" s="3" t="inlineStr">
        <is>
          <t>毎月の給与から12分の1ずつ引く（地方税法第321条の5）</t>
        </is>
      </c>
    </row>
    <row r="28">
      <c r="E28" s="2" t="inlineStr">
        <is>
          <t>取り違えたとき</t>
        </is>
      </c>
      <c r="F28" s="2" t="inlineStr">
        <is>
          <t>源泉所得税</t>
        </is>
      </c>
      <c r="G28" s="2" t="inlineStr">
        <is>
          <t>正しい額との差</t>
        </is>
      </c>
    </row>
    <row r="29">
      <c r="E29" s="3" t="inlineStr">
        <is>
          <t>社会保険料を引く前の前月の給与で税率の行を引いた</t>
        </is>
      </c>
      <c r="F29" s="5">
        <f>IF($F$15&lt;&gt;"算出率の表","",ROUNDDOWN(ROUND($F$13*INDEX(算出率!$A$4:$A$24,MATCH($B$9,INDEX(算出率!$B$4:$I$24,0,$B$7+1),1)),4),0))</f>
        <v/>
      </c>
      <c r="G29" s="12">
        <f>IF(F29="","この場合は起きない",F29-$F$21)</f>
        <v/>
      </c>
    </row>
    <row r="30">
      <c r="E30" s="3" t="inlineStr">
        <is>
          <t>社会保険料を引く前の賞与に税率を掛けた</t>
        </is>
      </c>
      <c r="F30" s="5">
        <f>IF($F$15&lt;&gt;"算出率の表","",ROUNDDOWN(ROUND($B$3*$F$17,4),0))</f>
        <v/>
      </c>
      <c r="G30" s="12">
        <f>IF(F30="","この場合は起きない",F30-$F$21)</f>
        <v/>
      </c>
    </row>
    <row r="31">
      <c r="E31" s="3" t="inlineStr">
        <is>
          <t>前月の給与なし・10倍超を算出率の表で出した</t>
        </is>
      </c>
      <c r="F31" s="5">
        <f>IF($F$15="算出率の表","",ROUNDDOWN(ROUND($F$13*INDEX(算出率!$A$4:$A$24,MATCH(MAX(0,$F$14),INDEX(算出率!$B$4:$I$24,0,$B$7+1),1)),4),0))</f>
        <v/>
      </c>
      <c r="G31" s="12">
        <f>IF(F31="","この場合は起きない",F31-$F$21)</f>
        <v/>
      </c>
    </row>
  </sheetData>
  <conditionalFormatting sqref="E22:F22">
    <cfRule type="expression" priority="1" dxfId="0">
      <formula>TRUE</formula>
    </cfRule>
  </conditionalFormatting>
  <conditionalFormatting sqref="G29:G31">
    <cfRule type="expression" priority="2" dxfId="1">
      <formula>AND(ISNUMBER(G29),G29&lt;&gt;0)</formula>
    </cfRule>
  </conditionalFormatting>
  <dataValidations count="6">
    <dataValidation sqref="B4" showDropDown="0" showInputMessage="0" showErrorMessage="0" allowBlank="0" type="list">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sqref="B5" showDropDown="0" showInputMessage="0" showErrorMessage="0" allowBlank="0" type="list">
      <formula1>"はい,いいえ"</formula1>
    </dataValidation>
    <dataValidation sqref="B6" showDropDown="0" showInputMessage="0" showErrorMessage="0" allowBlank="0" type="list">
      <formula1>"一般の事業,農林水産・清酒製造の事業,建設の事業"</formula1>
    </dataValidation>
    <dataValidation sqref="B7" showDropDown="0" showInputMessage="0" showErrorMessage="0" allowBlank="0" type="list">
      <formula1>"0,1,2,3,4,5,6,7"</formula1>
    </dataValidation>
    <dataValidation sqref="B8" showDropDown="0" showInputMessage="0" showErrorMessage="0" allowBlank="0" type="list">
      <formula1>"あり,なし"</formula1>
    </dataValidation>
    <dataValidation sqref="B11" showDropDown="0" showInputMessage="0" showErrorMessage="0" allowBlank="0" type="list">
      <formula1>"はい,いいえ"</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2" customWidth="1" min="2" max="2"/>
    <col width="12" customWidth="1" min="3" max="3"/>
    <col width="9" customWidth="1" min="4" max="4"/>
    <col width="10" customWidth="1" min="5" max="5"/>
    <col width="9" customWidth="1" min="6" max="6"/>
    <col width="12" customWidth="1" min="7" max="7"/>
    <col width="14" customWidth="1" min="8" max="8"/>
    <col width="13" customWidth="1" min="9" max="9"/>
    <col width="9" customWidth="1" min="10" max="10"/>
    <col width="11" customWidth="1" min="11" max="11"/>
    <col width="11" customWidth="1" min="12" max="12"/>
    <col width="11" customWidth="1" min="13" max="13"/>
  </cols>
  <sheetData>
    <row r="1">
      <c r="A1" s="1" t="inlineStr">
        <is>
          <t>前月の給与が違うと、同じ賞与の所得税と手取りがどう変わるか。賞与・都道府県・年齢・扶養・事業は1_手取りの値を使う</t>
        </is>
      </c>
    </row>
    <row r="2">
      <c r="A2" t="inlineStr">
        <is>
          <t>前月の社会保険料は、前月の総支給と同じ水準で標準報酬月額が決まっている人として出した。通勤手当はない人とした。0は前月の給与なし</t>
        </is>
      </c>
    </row>
    <row r="4">
      <c r="A4" s="2" t="inlineStr">
        <is>
          <t>前月の総支給</t>
        </is>
      </c>
      <c r="B4" s="2" t="inlineStr">
        <is>
          <t>標準報酬月額</t>
        </is>
      </c>
      <c r="C4" s="2" t="inlineStr">
        <is>
          <t>健康保険料（介護を含む）</t>
        </is>
      </c>
      <c r="D4" s="2" t="inlineStr">
        <is>
          <t>支援金</t>
        </is>
      </c>
      <c r="E4" s="2" t="inlineStr">
        <is>
          <t>厚生年金</t>
        </is>
      </c>
      <c r="F4" s="2" t="inlineStr">
        <is>
          <t>雇用保険</t>
        </is>
      </c>
      <c r="G4" s="2" t="inlineStr">
        <is>
          <t>前月の社会保険料の計</t>
        </is>
      </c>
      <c r="H4" s="2" t="inlineStr">
        <is>
          <t>前月の社会保険料等控除後</t>
        </is>
      </c>
      <c r="I4" s="2" t="inlineStr">
        <is>
          <t>計算のしかた</t>
        </is>
      </c>
      <c r="J4" s="2" t="inlineStr">
        <is>
          <t>率</t>
        </is>
      </c>
      <c r="K4" s="2" t="inlineStr">
        <is>
          <t>源泉所得税</t>
        </is>
      </c>
      <c r="L4" s="2" t="inlineStr">
        <is>
          <t>手取り</t>
        </is>
      </c>
      <c r="M4" s="2" t="inlineStr">
        <is>
          <t>1行上との差</t>
        </is>
      </c>
    </row>
    <row r="5">
      <c r="A5" s="4" t="n">
        <v>0</v>
      </c>
      <c r="B5" s="5">
        <f>IF(OR($A5="",$A5=0),"",INDEX(標準報酬!$B$4:$B$53,MATCH($A5,標準報酬!$A$4:$A$53,1)))</f>
        <v/>
      </c>
      <c r="C5" s="5">
        <f>IF(OR($A5="",$A5=0),"",IF(ROUND($B5*('1_手取り'!$F$6+'1_手取り'!$F$7)/2,4)&lt;=0.5,0,ROUNDUP(ROUND($B5*('1_手取り'!$F$6+'1_手取り'!$F$7)/2,4)-0.5,0)))</f>
        <v/>
      </c>
      <c r="D5" s="5">
        <f>IF(OR($A5="",$A5=0),"",IF(ROUND($B5*料率!$E$5/2,4)&lt;=0.5,0,ROUNDUP(ROUND($B5*料率!$E$5/2,4)-0.5,0)))</f>
        <v/>
      </c>
      <c r="E5" s="5">
        <f>IF(OR($A5="",$A5=0),"",IF(ROUND(MIN(MAX($B5,88000),650000)*料率!$E$6/2,4)&lt;=0.5,0,ROUNDUP(ROUND(MIN(MAX($B5,88000),650000)*料率!$E$6/2,4)-0.5,0)))</f>
        <v/>
      </c>
      <c r="F5" s="5">
        <f>IF(OR($A5="",$A5=0),"",IF(ROUND($A5*INDEX(料率!$E$8:$E$10,MATCH('1_手取り'!$B$6,料率!$D$8:$D$10,0)),4)&lt;=0.5,0,ROUNDUP(ROUND($A5*INDEX(料率!$E$8:$E$10,MATCH('1_手取り'!$B$6,料率!$D$8:$D$10,0)),4)-0.5,0)))</f>
        <v/>
      </c>
      <c r="G5" s="5">
        <f>IF(OR($A5="",$A5=0),"",SUM($C5:$F5))</f>
        <v/>
      </c>
      <c r="H5" s="5">
        <f>IF($A5="","",IF($A5=0,0,$A5-$G5))</f>
        <v/>
      </c>
      <c r="I5" s="5">
        <f>IF($A5="","",IF(OR($A5=0,$H5&lt;=0),"前月の給与なし",IF('1_手取り'!$F$13&gt;$H5*10,"10倍超","算出率の表")))</f>
        <v/>
      </c>
      <c r="J5" s="9">
        <f>IF($A5="","",IF($I5="算出率の表",INDEX(算出率!$A$4:$A$24,MATCH($H5,INDEX(算出率!$B$4:$I$24,0,'1_手取り'!$B$7+1),1)),""))</f>
        <v/>
      </c>
      <c r="K5" s="5">
        <f>IF($A5="","",IF($I5="算出率の表",ROUNDDOWN(ROUND('1_手取り'!$F$13*$J5,4),0),IF($I5="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5)&lt;105000,0,IF((ROUNDDOWN('1_手取り'!$F$13/'1_手取り'!$F$16,0)+$H5)&lt;740000,INDEX(月額表!$B$4:$I$234,MATCH((ROUNDDOWN('1_手取り'!$F$13/'1_手取り'!$F$16,0)+$H5),月額表!$A$4:$A$234,1),'1_手取り'!$B$7+1),INDEX(月額表!$M$4:$T$12,MATCH((ROUNDDOWN('1_手取り'!$F$13/'1_手取り'!$F$16,0)+$H5),月額表!$K$4:$K$12,1),'1_手取り'!$B$7+1)+ROUNDDOWN(ROUND(((ROUNDDOWN('1_手取り'!$F$13/'1_手取り'!$F$16,0)+$H5)-INDEX(月額表!$K$4:$K$12,MATCH((ROUNDDOWN('1_手取り'!$F$13/'1_手取り'!$F$16,0)+$H5),月額表!$K$4:$K$12,1)))*INDEX(月額表!$L$4:$L$12,MATCH((ROUNDDOWN('1_手取り'!$F$13/'1_手取り'!$F$16,0)+$H5),月額表!$K$4:$K$12,1)),4),0)))-IF($H5&lt;105000,0,IF($H5&lt;740000,INDEX(月額表!$B$4:$I$234,MATCH($H5,月額表!$A$4:$A$234,1),'1_手取り'!$B$7+1),INDEX(月額表!$M$4:$T$12,MATCH($H5,月額表!$K$4:$K$12,1),'1_手取り'!$B$7+1)+ROUNDDOWN(ROUND(($H5-INDEX(月額表!$K$4:$K$12,MATCH($H5,月額表!$K$4:$K$12,1)))*INDEX(月額表!$L$4:$L$12,MATCH($H5,月額表!$K$4:$K$12,1)),4),0))))*'1_手取り'!$F$16)))</f>
        <v/>
      </c>
      <c r="L5" s="5">
        <f>IF($A5="","",'1_手取り'!$B$3-'1_手取り'!$F$12-$K5)</f>
        <v/>
      </c>
      <c r="M5" s="12">
        <f>""</f>
        <v/>
      </c>
    </row>
    <row r="6">
      <c r="A6" s="4" t="n">
        <v>150000</v>
      </c>
      <c r="B6" s="5">
        <f>IF(OR($A6="",$A6=0),"",INDEX(標準報酬!$B$4:$B$53,MATCH($A6,標準報酬!$A$4:$A$53,1)))</f>
        <v/>
      </c>
      <c r="C6" s="5">
        <f>IF(OR($A6="",$A6=0),"",IF(ROUND($B6*('1_手取り'!$F$6+'1_手取り'!$F$7)/2,4)&lt;=0.5,0,ROUNDUP(ROUND($B6*('1_手取り'!$F$6+'1_手取り'!$F$7)/2,4)-0.5,0)))</f>
        <v/>
      </c>
      <c r="D6" s="5">
        <f>IF(OR($A6="",$A6=0),"",IF(ROUND($B6*料率!$E$5/2,4)&lt;=0.5,0,ROUNDUP(ROUND($B6*料率!$E$5/2,4)-0.5,0)))</f>
        <v/>
      </c>
      <c r="E6" s="5">
        <f>IF(OR($A6="",$A6=0),"",IF(ROUND(MIN(MAX($B6,88000),650000)*料率!$E$6/2,4)&lt;=0.5,0,ROUNDUP(ROUND(MIN(MAX($B6,88000),650000)*料率!$E$6/2,4)-0.5,0)))</f>
        <v/>
      </c>
      <c r="F6" s="5">
        <f>IF(OR($A6="",$A6=0),"",IF(ROUND($A6*INDEX(料率!$E$8:$E$10,MATCH('1_手取り'!$B$6,料率!$D$8:$D$10,0)),4)&lt;=0.5,0,ROUNDUP(ROUND($A6*INDEX(料率!$E$8:$E$10,MATCH('1_手取り'!$B$6,料率!$D$8:$D$10,0)),4)-0.5,0)))</f>
        <v/>
      </c>
      <c r="G6" s="5">
        <f>IF(OR($A6="",$A6=0),"",SUM($C6:$F6))</f>
        <v/>
      </c>
      <c r="H6" s="5">
        <f>IF($A6="","",IF($A6=0,0,$A6-$G6))</f>
        <v/>
      </c>
      <c r="I6" s="5">
        <f>IF($A6="","",IF(OR($A6=0,$H6&lt;=0),"前月の給与なし",IF('1_手取り'!$F$13&gt;$H6*10,"10倍超","算出率の表")))</f>
        <v/>
      </c>
      <c r="J6" s="9">
        <f>IF($A6="","",IF($I6="算出率の表",INDEX(算出率!$A$4:$A$24,MATCH($H6,INDEX(算出率!$B$4:$I$24,0,'1_手取り'!$B$7+1),1)),""))</f>
        <v/>
      </c>
      <c r="K6" s="5">
        <f>IF($A6="","",IF($I6="算出率の表",ROUNDDOWN(ROUND('1_手取り'!$F$13*$J6,4),0),IF($I6="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6)&lt;105000,0,IF((ROUNDDOWN('1_手取り'!$F$13/'1_手取り'!$F$16,0)+$H6)&lt;740000,INDEX(月額表!$B$4:$I$234,MATCH((ROUNDDOWN('1_手取り'!$F$13/'1_手取り'!$F$16,0)+$H6),月額表!$A$4:$A$234,1),'1_手取り'!$B$7+1),INDEX(月額表!$M$4:$T$12,MATCH((ROUNDDOWN('1_手取り'!$F$13/'1_手取り'!$F$16,0)+$H6),月額表!$K$4:$K$12,1),'1_手取り'!$B$7+1)+ROUNDDOWN(ROUND(((ROUNDDOWN('1_手取り'!$F$13/'1_手取り'!$F$16,0)+$H6)-INDEX(月額表!$K$4:$K$12,MATCH((ROUNDDOWN('1_手取り'!$F$13/'1_手取り'!$F$16,0)+$H6),月額表!$K$4:$K$12,1)))*INDEX(月額表!$L$4:$L$12,MATCH((ROUNDDOWN('1_手取り'!$F$13/'1_手取り'!$F$16,0)+$H6),月額表!$K$4:$K$12,1)),4),0)))-IF($H6&lt;105000,0,IF($H6&lt;740000,INDEX(月額表!$B$4:$I$234,MATCH($H6,月額表!$A$4:$A$234,1),'1_手取り'!$B$7+1),INDEX(月額表!$M$4:$T$12,MATCH($H6,月額表!$K$4:$K$12,1),'1_手取り'!$B$7+1)+ROUNDDOWN(ROUND(($H6-INDEX(月額表!$K$4:$K$12,MATCH($H6,月額表!$K$4:$K$12,1)))*INDEX(月額表!$L$4:$L$12,MATCH($H6,月額表!$K$4:$K$12,1)),4),0))))*'1_手取り'!$F$16)))</f>
        <v/>
      </c>
      <c r="L6" s="5">
        <f>IF($A6="","",'1_手取り'!$B$3-'1_手取り'!$F$12-$K6)</f>
        <v/>
      </c>
      <c r="M6" s="12">
        <f>IF(OR($A6="",$A5="",ROW()=5),"",$L6-$L5)</f>
        <v/>
      </c>
    </row>
    <row r="7">
      <c r="A7" s="4" t="n">
        <v>200000</v>
      </c>
      <c r="B7" s="5">
        <f>IF(OR($A7="",$A7=0),"",INDEX(標準報酬!$B$4:$B$53,MATCH($A7,標準報酬!$A$4:$A$53,1)))</f>
        <v/>
      </c>
      <c r="C7" s="5">
        <f>IF(OR($A7="",$A7=0),"",IF(ROUND($B7*('1_手取り'!$F$6+'1_手取り'!$F$7)/2,4)&lt;=0.5,0,ROUNDUP(ROUND($B7*('1_手取り'!$F$6+'1_手取り'!$F$7)/2,4)-0.5,0)))</f>
        <v/>
      </c>
      <c r="D7" s="5">
        <f>IF(OR($A7="",$A7=0),"",IF(ROUND($B7*料率!$E$5/2,4)&lt;=0.5,0,ROUNDUP(ROUND($B7*料率!$E$5/2,4)-0.5,0)))</f>
        <v/>
      </c>
      <c r="E7" s="5">
        <f>IF(OR($A7="",$A7=0),"",IF(ROUND(MIN(MAX($B7,88000),650000)*料率!$E$6/2,4)&lt;=0.5,0,ROUNDUP(ROUND(MIN(MAX($B7,88000),650000)*料率!$E$6/2,4)-0.5,0)))</f>
        <v/>
      </c>
      <c r="F7" s="5">
        <f>IF(OR($A7="",$A7=0),"",IF(ROUND($A7*INDEX(料率!$E$8:$E$10,MATCH('1_手取り'!$B$6,料率!$D$8:$D$10,0)),4)&lt;=0.5,0,ROUNDUP(ROUND($A7*INDEX(料率!$E$8:$E$10,MATCH('1_手取り'!$B$6,料率!$D$8:$D$10,0)),4)-0.5,0)))</f>
        <v/>
      </c>
      <c r="G7" s="5">
        <f>IF(OR($A7="",$A7=0),"",SUM($C7:$F7))</f>
        <v/>
      </c>
      <c r="H7" s="5">
        <f>IF($A7="","",IF($A7=0,0,$A7-$G7))</f>
        <v/>
      </c>
      <c r="I7" s="5">
        <f>IF($A7="","",IF(OR($A7=0,$H7&lt;=0),"前月の給与なし",IF('1_手取り'!$F$13&gt;$H7*10,"10倍超","算出率の表")))</f>
        <v/>
      </c>
      <c r="J7" s="9">
        <f>IF($A7="","",IF($I7="算出率の表",INDEX(算出率!$A$4:$A$24,MATCH($H7,INDEX(算出率!$B$4:$I$24,0,'1_手取り'!$B$7+1),1)),""))</f>
        <v/>
      </c>
      <c r="K7" s="5">
        <f>IF($A7="","",IF($I7="算出率の表",ROUNDDOWN(ROUND('1_手取り'!$F$13*$J7,4),0),IF($I7="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7)&lt;105000,0,IF((ROUNDDOWN('1_手取り'!$F$13/'1_手取り'!$F$16,0)+$H7)&lt;740000,INDEX(月額表!$B$4:$I$234,MATCH((ROUNDDOWN('1_手取り'!$F$13/'1_手取り'!$F$16,0)+$H7),月額表!$A$4:$A$234,1),'1_手取り'!$B$7+1),INDEX(月額表!$M$4:$T$12,MATCH((ROUNDDOWN('1_手取り'!$F$13/'1_手取り'!$F$16,0)+$H7),月額表!$K$4:$K$12,1),'1_手取り'!$B$7+1)+ROUNDDOWN(ROUND(((ROUNDDOWN('1_手取り'!$F$13/'1_手取り'!$F$16,0)+$H7)-INDEX(月額表!$K$4:$K$12,MATCH((ROUNDDOWN('1_手取り'!$F$13/'1_手取り'!$F$16,0)+$H7),月額表!$K$4:$K$12,1)))*INDEX(月額表!$L$4:$L$12,MATCH((ROUNDDOWN('1_手取り'!$F$13/'1_手取り'!$F$16,0)+$H7),月額表!$K$4:$K$12,1)),4),0)))-IF($H7&lt;105000,0,IF($H7&lt;740000,INDEX(月額表!$B$4:$I$234,MATCH($H7,月額表!$A$4:$A$234,1),'1_手取り'!$B$7+1),INDEX(月額表!$M$4:$T$12,MATCH($H7,月額表!$K$4:$K$12,1),'1_手取り'!$B$7+1)+ROUNDDOWN(ROUND(($H7-INDEX(月額表!$K$4:$K$12,MATCH($H7,月額表!$K$4:$K$12,1)))*INDEX(月額表!$L$4:$L$12,MATCH($H7,月額表!$K$4:$K$12,1)),4),0))))*'1_手取り'!$F$16)))</f>
        <v/>
      </c>
      <c r="L7" s="5">
        <f>IF($A7="","",'1_手取り'!$B$3-'1_手取り'!$F$12-$K7)</f>
        <v/>
      </c>
      <c r="M7" s="12">
        <f>IF(OR($A7="",$A6="",ROW()=5),"",$L7-$L6)</f>
        <v/>
      </c>
    </row>
    <row r="8">
      <c r="A8" s="4" t="n">
        <v>250000</v>
      </c>
      <c r="B8" s="5">
        <f>IF(OR($A8="",$A8=0),"",INDEX(標準報酬!$B$4:$B$53,MATCH($A8,標準報酬!$A$4:$A$53,1)))</f>
        <v/>
      </c>
      <c r="C8" s="5">
        <f>IF(OR($A8="",$A8=0),"",IF(ROUND($B8*('1_手取り'!$F$6+'1_手取り'!$F$7)/2,4)&lt;=0.5,0,ROUNDUP(ROUND($B8*('1_手取り'!$F$6+'1_手取り'!$F$7)/2,4)-0.5,0)))</f>
        <v/>
      </c>
      <c r="D8" s="5">
        <f>IF(OR($A8="",$A8=0),"",IF(ROUND($B8*料率!$E$5/2,4)&lt;=0.5,0,ROUNDUP(ROUND($B8*料率!$E$5/2,4)-0.5,0)))</f>
        <v/>
      </c>
      <c r="E8" s="5">
        <f>IF(OR($A8="",$A8=0),"",IF(ROUND(MIN(MAX($B8,88000),650000)*料率!$E$6/2,4)&lt;=0.5,0,ROUNDUP(ROUND(MIN(MAX($B8,88000),650000)*料率!$E$6/2,4)-0.5,0)))</f>
        <v/>
      </c>
      <c r="F8" s="5">
        <f>IF(OR($A8="",$A8=0),"",IF(ROUND($A8*INDEX(料率!$E$8:$E$10,MATCH('1_手取り'!$B$6,料率!$D$8:$D$10,0)),4)&lt;=0.5,0,ROUNDUP(ROUND($A8*INDEX(料率!$E$8:$E$10,MATCH('1_手取り'!$B$6,料率!$D$8:$D$10,0)),4)-0.5,0)))</f>
        <v/>
      </c>
      <c r="G8" s="5">
        <f>IF(OR($A8="",$A8=0),"",SUM($C8:$F8))</f>
        <v/>
      </c>
      <c r="H8" s="5">
        <f>IF($A8="","",IF($A8=0,0,$A8-$G8))</f>
        <v/>
      </c>
      <c r="I8" s="5">
        <f>IF($A8="","",IF(OR($A8=0,$H8&lt;=0),"前月の給与なし",IF('1_手取り'!$F$13&gt;$H8*10,"10倍超","算出率の表")))</f>
        <v/>
      </c>
      <c r="J8" s="9">
        <f>IF($A8="","",IF($I8="算出率の表",INDEX(算出率!$A$4:$A$24,MATCH($H8,INDEX(算出率!$B$4:$I$24,0,'1_手取り'!$B$7+1),1)),""))</f>
        <v/>
      </c>
      <c r="K8" s="5">
        <f>IF($A8="","",IF($I8="算出率の表",ROUNDDOWN(ROUND('1_手取り'!$F$13*$J8,4),0),IF($I8="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8)&lt;105000,0,IF((ROUNDDOWN('1_手取り'!$F$13/'1_手取り'!$F$16,0)+$H8)&lt;740000,INDEX(月額表!$B$4:$I$234,MATCH((ROUNDDOWN('1_手取り'!$F$13/'1_手取り'!$F$16,0)+$H8),月額表!$A$4:$A$234,1),'1_手取り'!$B$7+1),INDEX(月額表!$M$4:$T$12,MATCH((ROUNDDOWN('1_手取り'!$F$13/'1_手取り'!$F$16,0)+$H8),月額表!$K$4:$K$12,1),'1_手取り'!$B$7+1)+ROUNDDOWN(ROUND(((ROUNDDOWN('1_手取り'!$F$13/'1_手取り'!$F$16,0)+$H8)-INDEX(月額表!$K$4:$K$12,MATCH((ROUNDDOWN('1_手取り'!$F$13/'1_手取り'!$F$16,0)+$H8),月額表!$K$4:$K$12,1)))*INDEX(月額表!$L$4:$L$12,MATCH((ROUNDDOWN('1_手取り'!$F$13/'1_手取り'!$F$16,0)+$H8),月額表!$K$4:$K$12,1)),4),0)))-IF($H8&lt;105000,0,IF($H8&lt;740000,INDEX(月額表!$B$4:$I$234,MATCH($H8,月額表!$A$4:$A$234,1),'1_手取り'!$B$7+1),INDEX(月額表!$M$4:$T$12,MATCH($H8,月額表!$K$4:$K$12,1),'1_手取り'!$B$7+1)+ROUNDDOWN(ROUND(($H8-INDEX(月額表!$K$4:$K$12,MATCH($H8,月額表!$K$4:$K$12,1)))*INDEX(月額表!$L$4:$L$12,MATCH($H8,月額表!$K$4:$K$12,1)),4),0))))*'1_手取り'!$F$16)))</f>
        <v/>
      </c>
      <c r="L8" s="5">
        <f>IF($A8="","",'1_手取り'!$B$3-'1_手取り'!$F$12-$K8)</f>
        <v/>
      </c>
      <c r="M8" s="12">
        <f>IF(OR($A8="",$A7="",ROW()=5),"",$L8-$L7)</f>
        <v/>
      </c>
    </row>
    <row r="9">
      <c r="A9" s="4" t="n">
        <v>300000</v>
      </c>
      <c r="B9" s="5">
        <f>IF(OR($A9="",$A9=0),"",INDEX(標準報酬!$B$4:$B$53,MATCH($A9,標準報酬!$A$4:$A$53,1)))</f>
        <v/>
      </c>
      <c r="C9" s="5">
        <f>IF(OR($A9="",$A9=0),"",IF(ROUND($B9*('1_手取り'!$F$6+'1_手取り'!$F$7)/2,4)&lt;=0.5,0,ROUNDUP(ROUND($B9*('1_手取り'!$F$6+'1_手取り'!$F$7)/2,4)-0.5,0)))</f>
        <v/>
      </c>
      <c r="D9" s="5">
        <f>IF(OR($A9="",$A9=0),"",IF(ROUND($B9*料率!$E$5/2,4)&lt;=0.5,0,ROUNDUP(ROUND($B9*料率!$E$5/2,4)-0.5,0)))</f>
        <v/>
      </c>
      <c r="E9" s="5">
        <f>IF(OR($A9="",$A9=0),"",IF(ROUND(MIN(MAX($B9,88000),650000)*料率!$E$6/2,4)&lt;=0.5,0,ROUNDUP(ROUND(MIN(MAX($B9,88000),650000)*料率!$E$6/2,4)-0.5,0)))</f>
        <v/>
      </c>
      <c r="F9" s="5">
        <f>IF(OR($A9="",$A9=0),"",IF(ROUND($A9*INDEX(料率!$E$8:$E$10,MATCH('1_手取り'!$B$6,料率!$D$8:$D$10,0)),4)&lt;=0.5,0,ROUNDUP(ROUND($A9*INDEX(料率!$E$8:$E$10,MATCH('1_手取り'!$B$6,料率!$D$8:$D$10,0)),4)-0.5,0)))</f>
        <v/>
      </c>
      <c r="G9" s="5">
        <f>IF(OR($A9="",$A9=0),"",SUM($C9:$F9))</f>
        <v/>
      </c>
      <c r="H9" s="5">
        <f>IF($A9="","",IF($A9=0,0,$A9-$G9))</f>
        <v/>
      </c>
      <c r="I9" s="5">
        <f>IF($A9="","",IF(OR($A9=0,$H9&lt;=0),"前月の給与なし",IF('1_手取り'!$F$13&gt;$H9*10,"10倍超","算出率の表")))</f>
        <v/>
      </c>
      <c r="J9" s="9">
        <f>IF($A9="","",IF($I9="算出率の表",INDEX(算出率!$A$4:$A$24,MATCH($H9,INDEX(算出率!$B$4:$I$24,0,'1_手取り'!$B$7+1),1)),""))</f>
        <v/>
      </c>
      <c r="K9" s="5">
        <f>IF($A9="","",IF($I9="算出率の表",ROUNDDOWN(ROUND('1_手取り'!$F$13*$J9,4),0),IF($I9="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9)&lt;105000,0,IF((ROUNDDOWN('1_手取り'!$F$13/'1_手取り'!$F$16,0)+$H9)&lt;740000,INDEX(月額表!$B$4:$I$234,MATCH((ROUNDDOWN('1_手取り'!$F$13/'1_手取り'!$F$16,0)+$H9),月額表!$A$4:$A$234,1),'1_手取り'!$B$7+1),INDEX(月額表!$M$4:$T$12,MATCH((ROUNDDOWN('1_手取り'!$F$13/'1_手取り'!$F$16,0)+$H9),月額表!$K$4:$K$12,1),'1_手取り'!$B$7+1)+ROUNDDOWN(ROUND(((ROUNDDOWN('1_手取り'!$F$13/'1_手取り'!$F$16,0)+$H9)-INDEX(月額表!$K$4:$K$12,MATCH((ROUNDDOWN('1_手取り'!$F$13/'1_手取り'!$F$16,0)+$H9),月額表!$K$4:$K$12,1)))*INDEX(月額表!$L$4:$L$12,MATCH((ROUNDDOWN('1_手取り'!$F$13/'1_手取り'!$F$16,0)+$H9),月額表!$K$4:$K$12,1)),4),0)))-IF($H9&lt;105000,0,IF($H9&lt;740000,INDEX(月額表!$B$4:$I$234,MATCH($H9,月額表!$A$4:$A$234,1),'1_手取り'!$B$7+1),INDEX(月額表!$M$4:$T$12,MATCH($H9,月額表!$K$4:$K$12,1),'1_手取り'!$B$7+1)+ROUNDDOWN(ROUND(($H9-INDEX(月額表!$K$4:$K$12,MATCH($H9,月額表!$K$4:$K$12,1)))*INDEX(月額表!$L$4:$L$12,MATCH($H9,月額表!$K$4:$K$12,1)),4),0))))*'1_手取り'!$F$16)))</f>
        <v/>
      </c>
      <c r="L9" s="5">
        <f>IF($A9="","",'1_手取り'!$B$3-'1_手取り'!$F$12-$K9)</f>
        <v/>
      </c>
      <c r="M9" s="12">
        <f>IF(OR($A9="",$A8="",ROW()=5),"",$L9-$L8)</f>
        <v/>
      </c>
    </row>
    <row r="10">
      <c r="A10" s="4" t="n">
        <v>304089</v>
      </c>
      <c r="B10" s="5">
        <f>IF(OR($A10="",$A10=0),"",INDEX(標準報酬!$B$4:$B$53,MATCH($A10,標準報酬!$A$4:$A$53,1)))</f>
        <v/>
      </c>
      <c r="C10" s="5">
        <f>IF(OR($A10="",$A10=0),"",IF(ROUND($B10*('1_手取り'!$F$6+'1_手取り'!$F$7)/2,4)&lt;=0.5,0,ROUNDUP(ROUND($B10*('1_手取り'!$F$6+'1_手取り'!$F$7)/2,4)-0.5,0)))</f>
        <v/>
      </c>
      <c r="D10" s="5">
        <f>IF(OR($A10="",$A10=0),"",IF(ROUND($B10*料率!$E$5/2,4)&lt;=0.5,0,ROUNDUP(ROUND($B10*料率!$E$5/2,4)-0.5,0)))</f>
        <v/>
      </c>
      <c r="E10" s="5">
        <f>IF(OR($A10="",$A10=0),"",IF(ROUND(MIN(MAX($B10,88000),650000)*料率!$E$6/2,4)&lt;=0.5,0,ROUNDUP(ROUND(MIN(MAX($B10,88000),650000)*料率!$E$6/2,4)-0.5,0)))</f>
        <v/>
      </c>
      <c r="F10" s="5">
        <f>IF(OR($A10="",$A10=0),"",IF(ROUND($A10*INDEX(料率!$E$8:$E$10,MATCH('1_手取り'!$B$6,料率!$D$8:$D$10,0)),4)&lt;=0.5,0,ROUNDUP(ROUND($A10*INDEX(料率!$E$8:$E$10,MATCH('1_手取り'!$B$6,料率!$D$8:$D$10,0)),4)-0.5,0)))</f>
        <v/>
      </c>
      <c r="G10" s="5">
        <f>IF(OR($A10="",$A10=0),"",SUM($C10:$F10))</f>
        <v/>
      </c>
      <c r="H10" s="5">
        <f>IF($A10="","",IF($A10=0,0,$A10-$G10))</f>
        <v/>
      </c>
      <c r="I10" s="5">
        <f>IF($A10="","",IF(OR($A10=0,$H10&lt;=0),"前月の給与なし",IF('1_手取り'!$F$13&gt;$H10*10,"10倍超","算出率の表")))</f>
        <v/>
      </c>
      <c r="J10" s="9">
        <f>IF($A10="","",IF($I10="算出率の表",INDEX(算出率!$A$4:$A$24,MATCH($H10,INDEX(算出率!$B$4:$I$24,0,'1_手取り'!$B$7+1),1)),""))</f>
        <v/>
      </c>
      <c r="K10" s="5">
        <f>IF($A10="","",IF($I10="算出率の表",ROUNDDOWN(ROUND('1_手取り'!$F$13*$J10,4),0),IF($I10="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10)&lt;105000,0,IF((ROUNDDOWN('1_手取り'!$F$13/'1_手取り'!$F$16,0)+$H10)&lt;740000,INDEX(月額表!$B$4:$I$234,MATCH((ROUNDDOWN('1_手取り'!$F$13/'1_手取り'!$F$16,0)+$H10),月額表!$A$4:$A$234,1),'1_手取り'!$B$7+1),INDEX(月額表!$M$4:$T$12,MATCH((ROUNDDOWN('1_手取り'!$F$13/'1_手取り'!$F$16,0)+$H10),月額表!$K$4:$K$12,1),'1_手取り'!$B$7+1)+ROUNDDOWN(ROUND(((ROUNDDOWN('1_手取り'!$F$13/'1_手取り'!$F$16,0)+$H10)-INDEX(月額表!$K$4:$K$12,MATCH((ROUNDDOWN('1_手取り'!$F$13/'1_手取り'!$F$16,0)+$H10),月額表!$K$4:$K$12,1)))*INDEX(月額表!$L$4:$L$12,MATCH((ROUNDDOWN('1_手取り'!$F$13/'1_手取り'!$F$16,0)+$H10),月額表!$K$4:$K$12,1)),4),0)))-IF($H10&lt;105000,0,IF($H10&lt;740000,INDEX(月額表!$B$4:$I$234,MATCH($H10,月額表!$A$4:$A$234,1),'1_手取り'!$B$7+1),INDEX(月額表!$M$4:$T$12,MATCH($H10,月額表!$K$4:$K$12,1),'1_手取り'!$B$7+1)+ROUNDDOWN(ROUND(($H10-INDEX(月額表!$K$4:$K$12,MATCH($H10,月額表!$K$4:$K$12,1)))*INDEX(月額表!$L$4:$L$12,MATCH($H10,月額表!$K$4:$K$12,1)),4),0))))*'1_手取り'!$F$16)))</f>
        <v/>
      </c>
      <c r="L10" s="5">
        <f>IF($A10="","",'1_手取り'!$B$3-'1_手取り'!$F$12-$K10)</f>
        <v/>
      </c>
      <c r="M10" s="12">
        <f>IF(OR($A10="",$A9="",ROW()=5),"",$L10-$L9)</f>
        <v/>
      </c>
    </row>
    <row r="11">
      <c r="A11" s="4" t="n">
        <v>304090</v>
      </c>
      <c r="B11" s="5">
        <f>IF(OR($A11="",$A11=0),"",INDEX(標準報酬!$B$4:$B$53,MATCH($A11,標準報酬!$A$4:$A$53,1)))</f>
        <v/>
      </c>
      <c r="C11" s="5">
        <f>IF(OR($A11="",$A11=0),"",IF(ROUND($B11*('1_手取り'!$F$6+'1_手取り'!$F$7)/2,4)&lt;=0.5,0,ROUNDUP(ROUND($B11*('1_手取り'!$F$6+'1_手取り'!$F$7)/2,4)-0.5,0)))</f>
        <v/>
      </c>
      <c r="D11" s="5">
        <f>IF(OR($A11="",$A11=0),"",IF(ROUND($B11*料率!$E$5/2,4)&lt;=0.5,0,ROUNDUP(ROUND($B11*料率!$E$5/2,4)-0.5,0)))</f>
        <v/>
      </c>
      <c r="E11" s="5">
        <f>IF(OR($A11="",$A11=0),"",IF(ROUND(MIN(MAX($B11,88000),650000)*料率!$E$6/2,4)&lt;=0.5,0,ROUNDUP(ROUND(MIN(MAX($B11,88000),650000)*料率!$E$6/2,4)-0.5,0)))</f>
        <v/>
      </c>
      <c r="F11" s="5">
        <f>IF(OR($A11="",$A11=0),"",IF(ROUND($A11*INDEX(料率!$E$8:$E$10,MATCH('1_手取り'!$B$6,料率!$D$8:$D$10,0)),4)&lt;=0.5,0,ROUNDUP(ROUND($A11*INDEX(料率!$E$8:$E$10,MATCH('1_手取り'!$B$6,料率!$D$8:$D$10,0)),4)-0.5,0)))</f>
        <v/>
      </c>
      <c r="G11" s="5">
        <f>IF(OR($A11="",$A11=0),"",SUM($C11:$F11))</f>
        <v/>
      </c>
      <c r="H11" s="5">
        <f>IF($A11="","",IF($A11=0,0,$A11-$G11))</f>
        <v/>
      </c>
      <c r="I11" s="5">
        <f>IF($A11="","",IF(OR($A11=0,$H11&lt;=0),"前月の給与なし",IF('1_手取り'!$F$13&gt;$H11*10,"10倍超","算出率の表")))</f>
        <v/>
      </c>
      <c r="J11" s="9">
        <f>IF($A11="","",IF($I11="算出率の表",INDEX(算出率!$A$4:$A$24,MATCH($H11,INDEX(算出率!$B$4:$I$24,0,'1_手取り'!$B$7+1),1)),""))</f>
        <v/>
      </c>
      <c r="K11" s="5">
        <f>IF($A11="","",IF($I11="算出率の表",ROUNDDOWN(ROUND('1_手取り'!$F$13*$J11,4),0),IF($I11="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11)&lt;105000,0,IF((ROUNDDOWN('1_手取り'!$F$13/'1_手取り'!$F$16,0)+$H11)&lt;740000,INDEX(月額表!$B$4:$I$234,MATCH((ROUNDDOWN('1_手取り'!$F$13/'1_手取り'!$F$16,0)+$H11),月額表!$A$4:$A$234,1),'1_手取り'!$B$7+1),INDEX(月額表!$M$4:$T$12,MATCH((ROUNDDOWN('1_手取り'!$F$13/'1_手取り'!$F$16,0)+$H11),月額表!$K$4:$K$12,1),'1_手取り'!$B$7+1)+ROUNDDOWN(ROUND(((ROUNDDOWN('1_手取り'!$F$13/'1_手取り'!$F$16,0)+$H11)-INDEX(月額表!$K$4:$K$12,MATCH((ROUNDDOWN('1_手取り'!$F$13/'1_手取り'!$F$16,0)+$H11),月額表!$K$4:$K$12,1)))*INDEX(月額表!$L$4:$L$12,MATCH((ROUNDDOWN('1_手取り'!$F$13/'1_手取り'!$F$16,0)+$H11),月額表!$K$4:$K$12,1)),4),0)))-IF($H11&lt;105000,0,IF($H11&lt;740000,INDEX(月額表!$B$4:$I$234,MATCH($H11,月額表!$A$4:$A$234,1),'1_手取り'!$B$7+1),INDEX(月額表!$M$4:$T$12,MATCH($H11,月額表!$K$4:$K$12,1),'1_手取り'!$B$7+1)+ROUNDDOWN(ROUND(($H11-INDEX(月額表!$K$4:$K$12,MATCH($H11,月額表!$K$4:$K$12,1)))*INDEX(月額表!$L$4:$L$12,MATCH($H11,月額表!$K$4:$K$12,1)),4),0))))*'1_手取り'!$F$16)))</f>
        <v/>
      </c>
      <c r="L11" s="5">
        <f>IF($A11="","",'1_手取り'!$B$3-'1_手取り'!$F$12-$K11)</f>
        <v/>
      </c>
      <c r="M11" s="12">
        <f>IF(OR($A11="",$A10="",ROW()=5),"",$L11-$L10)</f>
        <v/>
      </c>
    </row>
    <row r="12">
      <c r="A12" s="4" t="n">
        <v>350000</v>
      </c>
      <c r="B12" s="5">
        <f>IF(OR($A12="",$A12=0),"",INDEX(標準報酬!$B$4:$B$53,MATCH($A12,標準報酬!$A$4:$A$53,1)))</f>
        <v/>
      </c>
      <c r="C12" s="5">
        <f>IF(OR($A12="",$A12=0),"",IF(ROUND($B12*('1_手取り'!$F$6+'1_手取り'!$F$7)/2,4)&lt;=0.5,0,ROUNDUP(ROUND($B12*('1_手取り'!$F$6+'1_手取り'!$F$7)/2,4)-0.5,0)))</f>
        <v/>
      </c>
      <c r="D12" s="5">
        <f>IF(OR($A12="",$A12=0),"",IF(ROUND($B12*料率!$E$5/2,4)&lt;=0.5,0,ROUNDUP(ROUND($B12*料率!$E$5/2,4)-0.5,0)))</f>
        <v/>
      </c>
      <c r="E12" s="5">
        <f>IF(OR($A12="",$A12=0),"",IF(ROUND(MIN(MAX($B12,88000),650000)*料率!$E$6/2,4)&lt;=0.5,0,ROUNDUP(ROUND(MIN(MAX($B12,88000),650000)*料率!$E$6/2,4)-0.5,0)))</f>
        <v/>
      </c>
      <c r="F12" s="5">
        <f>IF(OR($A12="",$A12=0),"",IF(ROUND($A12*INDEX(料率!$E$8:$E$10,MATCH('1_手取り'!$B$6,料率!$D$8:$D$10,0)),4)&lt;=0.5,0,ROUNDUP(ROUND($A12*INDEX(料率!$E$8:$E$10,MATCH('1_手取り'!$B$6,料率!$D$8:$D$10,0)),4)-0.5,0)))</f>
        <v/>
      </c>
      <c r="G12" s="5">
        <f>IF(OR($A12="",$A12=0),"",SUM($C12:$F12))</f>
        <v/>
      </c>
      <c r="H12" s="5">
        <f>IF($A12="","",IF($A12=0,0,$A12-$G12))</f>
        <v/>
      </c>
      <c r="I12" s="5">
        <f>IF($A12="","",IF(OR($A12=0,$H12&lt;=0),"前月の給与なし",IF('1_手取り'!$F$13&gt;$H12*10,"10倍超","算出率の表")))</f>
        <v/>
      </c>
      <c r="J12" s="9">
        <f>IF($A12="","",IF($I12="算出率の表",INDEX(算出率!$A$4:$A$24,MATCH($H12,INDEX(算出率!$B$4:$I$24,0,'1_手取り'!$B$7+1),1)),""))</f>
        <v/>
      </c>
      <c r="K12" s="5">
        <f>IF($A12="","",IF($I12="算出率の表",ROUNDDOWN(ROUND('1_手取り'!$F$13*$J12,4),0),IF($I12="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12)&lt;105000,0,IF((ROUNDDOWN('1_手取り'!$F$13/'1_手取り'!$F$16,0)+$H12)&lt;740000,INDEX(月額表!$B$4:$I$234,MATCH((ROUNDDOWN('1_手取り'!$F$13/'1_手取り'!$F$16,0)+$H12),月額表!$A$4:$A$234,1),'1_手取り'!$B$7+1),INDEX(月額表!$M$4:$T$12,MATCH((ROUNDDOWN('1_手取り'!$F$13/'1_手取り'!$F$16,0)+$H12),月額表!$K$4:$K$12,1),'1_手取り'!$B$7+1)+ROUNDDOWN(ROUND(((ROUNDDOWN('1_手取り'!$F$13/'1_手取り'!$F$16,0)+$H12)-INDEX(月額表!$K$4:$K$12,MATCH((ROUNDDOWN('1_手取り'!$F$13/'1_手取り'!$F$16,0)+$H12),月額表!$K$4:$K$12,1)))*INDEX(月額表!$L$4:$L$12,MATCH((ROUNDDOWN('1_手取り'!$F$13/'1_手取り'!$F$16,0)+$H12),月額表!$K$4:$K$12,1)),4),0)))-IF($H12&lt;105000,0,IF($H12&lt;740000,INDEX(月額表!$B$4:$I$234,MATCH($H12,月額表!$A$4:$A$234,1),'1_手取り'!$B$7+1),INDEX(月額表!$M$4:$T$12,MATCH($H12,月額表!$K$4:$K$12,1),'1_手取り'!$B$7+1)+ROUNDDOWN(ROUND(($H12-INDEX(月額表!$K$4:$K$12,MATCH($H12,月額表!$K$4:$K$12,1)))*INDEX(月額表!$L$4:$L$12,MATCH($H12,月額表!$K$4:$K$12,1)),4),0))))*'1_手取り'!$F$16)))</f>
        <v/>
      </c>
      <c r="L12" s="5">
        <f>IF($A12="","",'1_手取り'!$B$3-'1_手取り'!$F$12-$K12)</f>
        <v/>
      </c>
      <c r="M12" s="12">
        <f>IF(OR($A12="",$A11="",ROW()=5),"",$L12-$L11)</f>
        <v/>
      </c>
    </row>
    <row r="13">
      <c r="A13" s="4" t="n">
        <v>400000</v>
      </c>
      <c r="B13" s="5">
        <f>IF(OR($A13="",$A13=0),"",INDEX(標準報酬!$B$4:$B$53,MATCH($A13,標準報酬!$A$4:$A$53,1)))</f>
        <v/>
      </c>
      <c r="C13" s="5">
        <f>IF(OR($A13="",$A13=0),"",IF(ROUND($B13*('1_手取り'!$F$6+'1_手取り'!$F$7)/2,4)&lt;=0.5,0,ROUNDUP(ROUND($B13*('1_手取り'!$F$6+'1_手取り'!$F$7)/2,4)-0.5,0)))</f>
        <v/>
      </c>
      <c r="D13" s="5">
        <f>IF(OR($A13="",$A13=0),"",IF(ROUND($B13*料率!$E$5/2,4)&lt;=0.5,0,ROUNDUP(ROUND($B13*料率!$E$5/2,4)-0.5,0)))</f>
        <v/>
      </c>
      <c r="E13" s="5">
        <f>IF(OR($A13="",$A13=0),"",IF(ROUND(MIN(MAX($B13,88000),650000)*料率!$E$6/2,4)&lt;=0.5,0,ROUNDUP(ROUND(MIN(MAX($B13,88000),650000)*料率!$E$6/2,4)-0.5,0)))</f>
        <v/>
      </c>
      <c r="F13" s="5">
        <f>IF(OR($A13="",$A13=0),"",IF(ROUND($A13*INDEX(料率!$E$8:$E$10,MATCH('1_手取り'!$B$6,料率!$D$8:$D$10,0)),4)&lt;=0.5,0,ROUNDUP(ROUND($A13*INDEX(料率!$E$8:$E$10,MATCH('1_手取り'!$B$6,料率!$D$8:$D$10,0)),4)-0.5,0)))</f>
        <v/>
      </c>
      <c r="G13" s="5">
        <f>IF(OR($A13="",$A13=0),"",SUM($C13:$F13))</f>
        <v/>
      </c>
      <c r="H13" s="5">
        <f>IF($A13="","",IF($A13=0,0,$A13-$G13))</f>
        <v/>
      </c>
      <c r="I13" s="5">
        <f>IF($A13="","",IF(OR($A13=0,$H13&lt;=0),"前月の給与なし",IF('1_手取り'!$F$13&gt;$H13*10,"10倍超","算出率の表")))</f>
        <v/>
      </c>
      <c r="J13" s="9">
        <f>IF($A13="","",IF($I13="算出率の表",INDEX(算出率!$A$4:$A$24,MATCH($H13,INDEX(算出率!$B$4:$I$24,0,'1_手取り'!$B$7+1),1)),""))</f>
        <v/>
      </c>
      <c r="K13" s="5">
        <f>IF($A13="","",IF($I13="算出率の表",ROUNDDOWN(ROUND('1_手取り'!$F$13*$J13,4),0),IF($I13="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13)&lt;105000,0,IF((ROUNDDOWN('1_手取り'!$F$13/'1_手取り'!$F$16,0)+$H13)&lt;740000,INDEX(月額表!$B$4:$I$234,MATCH((ROUNDDOWN('1_手取り'!$F$13/'1_手取り'!$F$16,0)+$H13),月額表!$A$4:$A$234,1),'1_手取り'!$B$7+1),INDEX(月額表!$M$4:$T$12,MATCH((ROUNDDOWN('1_手取り'!$F$13/'1_手取り'!$F$16,0)+$H13),月額表!$K$4:$K$12,1),'1_手取り'!$B$7+1)+ROUNDDOWN(ROUND(((ROUNDDOWN('1_手取り'!$F$13/'1_手取り'!$F$16,0)+$H13)-INDEX(月額表!$K$4:$K$12,MATCH((ROUNDDOWN('1_手取り'!$F$13/'1_手取り'!$F$16,0)+$H13),月額表!$K$4:$K$12,1)))*INDEX(月額表!$L$4:$L$12,MATCH((ROUNDDOWN('1_手取り'!$F$13/'1_手取り'!$F$16,0)+$H13),月額表!$K$4:$K$12,1)),4),0)))-IF($H13&lt;105000,0,IF($H13&lt;740000,INDEX(月額表!$B$4:$I$234,MATCH($H13,月額表!$A$4:$A$234,1),'1_手取り'!$B$7+1),INDEX(月額表!$M$4:$T$12,MATCH($H13,月額表!$K$4:$K$12,1),'1_手取り'!$B$7+1)+ROUNDDOWN(ROUND(($H13-INDEX(月額表!$K$4:$K$12,MATCH($H13,月額表!$K$4:$K$12,1)))*INDEX(月額表!$L$4:$L$12,MATCH($H13,月額表!$K$4:$K$12,1)),4),0))))*'1_手取り'!$F$16)))</f>
        <v/>
      </c>
      <c r="L13" s="5">
        <f>IF($A13="","",'1_手取り'!$B$3-'1_手取り'!$F$12-$K13)</f>
        <v/>
      </c>
      <c r="M13" s="12">
        <f>IF(OR($A13="",$A12="",ROW()=5),"",$L13-$L12)</f>
        <v/>
      </c>
    </row>
    <row r="14">
      <c r="A14" s="4" t="n">
        <v>450000</v>
      </c>
      <c r="B14" s="5">
        <f>IF(OR($A14="",$A14=0),"",INDEX(標準報酬!$B$4:$B$53,MATCH($A14,標準報酬!$A$4:$A$53,1)))</f>
        <v/>
      </c>
      <c r="C14" s="5">
        <f>IF(OR($A14="",$A14=0),"",IF(ROUND($B14*('1_手取り'!$F$6+'1_手取り'!$F$7)/2,4)&lt;=0.5,0,ROUNDUP(ROUND($B14*('1_手取り'!$F$6+'1_手取り'!$F$7)/2,4)-0.5,0)))</f>
        <v/>
      </c>
      <c r="D14" s="5">
        <f>IF(OR($A14="",$A14=0),"",IF(ROUND($B14*料率!$E$5/2,4)&lt;=0.5,0,ROUNDUP(ROUND($B14*料率!$E$5/2,4)-0.5,0)))</f>
        <v/>
      </c>
      <c r="E14" s="5">
        <f>IF(OR($A14="",$A14=0),"",IF(ROUND(MIN(MAX($B14,88000),650000)*料率!$E$6/2,4)&lt;=0.5,0,ROUNDUP(ROUND(MIN(MAX($B14,88000),650000)*料率!$E$6/2,4)-0.5,0)))</f>
        <v/>
      </c>
      <c r="F14" s="5">
        <f>IF(OR($A14="",$A14=0),"",IF(ROUND($A14*INDEX(料率!$E$8:$E$10,MATCH('1_手取り'!$B$6,料率!$D$8:$D$10,0)),4)&lt;=0.5,0,ROUNDUP(ROUND($A14*INDEX(料率!$E$8:$E$10,MATCH('1_手取り'!$B$6,料率!$D$8:$D$10,0)),4)-0.5,0)))</f>
        <v/>
      </c>
      <c r="G14" s="5">
        <f>IF(OR($A14="",$A14=0),"",SUM($C14:$F14))</f>
        <v/>
      </c>
      <c r="H14" s="5">
        <f>IF($A14="","",IF($A14=0,0,$A14-$G14))</f>
        <v/>
      </c>
      <c r="I14" s="5">
        <f>IF($A14="","",IF(OR($A14=0,$H14&lt;=0),"前月の給与なし",IF('1_手取り'!$F$13&gt;$H14*10,"10倍超","算出率の表")))</f>
        <v/>
      </c>
      <c r="J14" s="9">
        <f>IF($A14="","",IF($I14="算出率の表",INDEX(算出率!$A$4:$A$24,MATCH($H14,INDEX(算出率!$B$4:$I$24,0,'1_手取り'!$B$7+1),1)),""))</f>
        <v/>
      </c>
      <c r="K14" s="5">
        <f>IF($A14="","",IF($I14="算出率の表",ROUNDDOWN(ROUND('1_手取り'!$F$13*$J14,4),0),IF($I14="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14)&lt;105000,0,IF((ROUNDDOWN('1_手取り'!$F$13/'1_手取り'!$F$16,0)+$H14)&lt;740000,INDEX(月額表!$B$4:$I$234,MATCH((ROUNDDOWN('1_手取り'!$F$13/'1_手取り'!$F$16,0)+$H14),月額表!$A$4:$A$234,1),'1_手取り'!$B$7+1),INDEX(月額表!$M$4:$T$12,MATCH((ROUNDDOWN('1_手取り'!$F$13/'1_手取り'!$F$16,0)+$H14),月額表!$K$4:$K$12,1),'1_手取り'!$B$7+1)+ROUNDDOWN(ROUND(((ROUNDDOWN('1_手取り'!$F$13/'1_手取り'!$F$16,0)+$H14)-INDEX(月額表!$K$4:$K$12,MATCH((ROUNDDOWN('1_手取り'!$F$13/'1_手取り'!$F$16,0)+$H14),月額表!$K$4:$K$12,1)))*INDEX(月額表!$L$4:$L$12,MATCH((ROUNDDOWN('1_手取り'!$F$13/'1_手取り'!$F$16,0)+$H14),月額表!$K$4:$K$12,1)),4),0)))-IF($H14&lt;105000,0,IF($H14&lt;740000,INDEX(月額表!$B$4:$I$234,MATCH($H14,月額表!$A$4:$A$234,1),'1_手取り'!$B$7+1),INDEX(月額表!$M$4:$T$12,MATCH($H14,月額表!$K$4:$K$12,1),'1_手取り'!$B$7+1)+ROUNDDOWN(ROUND(($H14-INDEX(月額表!$K$4:$K$12,MATCH($H14,月額表!$K$4:$K$12,1)))*INDEX(月額表!$L$4:$L$12,MATCH($H14,月額表!$K$4:$K$12,1)),4),0))))*'1_手取り'!$F$16)))</f>
        <v/>
      </c>
      <c r="L14" s="5">
        <f>IF($A14="","",'1_手取り'!$B$3-'1_手取り'!$F$12-$K14)</f>
        <v/>
      </c>
      <c r="M14" s="12">
        <f>IF(OR($A14="",$A13="",ROW()=5),"",$L14-$L13)</f>
        <v/>
      </c>
    </row>
    <row r="15">
      <c r="A15" s="4" t="n">
        <v>500000</v>
      </c>
      <c r="B15" s="5">
        <f>IF(OR($A15="",$A15=0),"",INDEX(標準報酬!$B$4:$B$53,MATCH($A15,標準報酬!$A$4:$A$53,1)))</f>
        <v/>
      </c>
      <c r="C15" s="5">
        <f>IF(OR($A15="",$A15=0),"",IF(ROUND($B15*('1_手取り'!$F$6+'1_手取り'!$F$7)/2,4)&lt;=0.5,0,ROUNDUP(ROUND($B15*('1_手取り'!$F$6+'1_手取り'!$F$7)/2,4)-0.5,0)))</f>
        <v/>
      </c>
      <c r="D15" s="5">
        <f>IF(OR($A15="",$A15=0),"",IF(ROUND($B15*料率!$E$5/2,4)&lt;=0.5,0,ROUNDUP(ROUND($B15*料率!$E$5/2,4)-0.5,0)))</f>
        <v/>
      </c>
      <c r="E15" s="5">
        <f>IF(OR($A15="",$A15=0),"",IF(ROUND(MIN(MAX($B15,88000),650000)*料率!$E$6/2,4)&lt;=0.5,0,ROUNDUP(ROUND(MIN(MAX($B15,88000),650000)*料率!$E$6/2,4)-0.5,0)))</f>
        <v/>
      </c>
      <c r="F15" s="5">
        <f>IF(OR($A15="",$A15=0),"",IF(ROUND($A15*INDEX(料率!$E$8:$E$10,MATCH('1_手取り'!$B$6,料率!$D$8:$D$10,0)),4)&lt;=0.5,0,ROUNDUP(ROUND($A15*INDEX(料率!$E$8:$E$10,MATCH('1_手取り'!$B$6,料率!$D$8:$D$10,0)),4)-0.5,0)))</f>
        <v/>
      </c>
      <c r="G15" s="5">
        <f>IF(OR($A15="",$A15=0),"",SUM($C15:$F15))</f>
        <v/>
      </c>
      <c r="H15" s="5">
        <f>IF($A15="","",IF($A15=0,0,$A15-$G15))</f>
        <v/>
      </c>
      <c r="I15" s="5">
        <f>IF($A15="","",IF(OR($A15=0,$H15&lt;=0),"前月の給与なし",IF('1_手取り'!$F$13&gt;$H15*10,"10倍超","算出率の表")))</f>
        <v/>
      </c>
      <c r="J15" s="9">
        <f>IF($A15="","",IF($I15="算出率の表",INDEX(算出率!$A$4:$A$24,MATCH($H15,INDEX(算出率!$B$4:$I$24,0,'1_手取り'!$B$7+1),1)),""))</f>
        <v/>
      </c>
      <c r="K15" s="5">
        <f>IF($A15="","",IF($I15="算出率の表",ROUNDDOWN(ROUND('1_手取り'!$F$13*$J15,4),0),IF($I15="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15)&lt;105000,0,IF((ROUNDDOWN('1_手取り'!$F$13/'1_手取り'!$F$16,0)+$H15)&lt;740000,INDEX(月額表!$B$4:$I$234,MATCH((ROUNDDOWN('1_手取り'!$F$13/'1_手取り'!$F$16,0)+$H15),月額表!$A$4:$A$234,1),'1_手取り'!$B$7+1),INDEX(月額表!$M$4:$T$12,MATCH((ROUNDDOWN('1_手取り'!$F$13/'1_手取り'!$F$16,0)+$H15),月額表!$K$4:$K$12,1),'1_手取り'!$B$7+1)+ROUNDDOWN(ROUND(((ROUNDDOWN('1_手取り'!$F$13/'1_手取り'!$F$16,0)+$H15)-INDEX(月額表!$K$4:$K$12,MATCH((ROUNDDOWN('1_手取り'!$F$13/'1_手取り'!$F$16,0)+$H15),月額表!$K$4:$K$12,1)))*INDEX(月額表!$L$4:$L$12,MATCH((ROUNDDOWN('1_手取り'!$F$13/'1_手取り'!$F$16,0)+$H15),月額表!$K$4:$K$12,1)),4),0)))-IF($H15&lt;105000,0,IF($H15&lt;740000,INDEX(月額表!$B$4:$I$234,MATCH($H15,月額表!$A$4:$A$234,1),'1_手取り'!$B$7+1),INDEX(月額表!$M$4:$T$12,MATCH($H15,月額表!$K$4:$K$12,1),'1_手取り'!$B$7+1)+ROUNDDOWN(ROUND(($H15-INDEX(月額表!$K$4:$K$12,MATCH($H15,月額表!$K$4:$K$12,1)))*INDEX(月額表!$L$4:$L$12,MATCH($H15,月額表!$K$4:$K$12,1)),4),0))))*'1_手取り'!$F$16)))</f>
        <v/>
      </c>
      <c r="L15" s="5">
        <f>IF($A15="","",'1_手取り'!$B$3-'1_手取り'!$F$12-$K15)</f>
        <v/>
      </c>
      <c r="M15" s="12">
        <f>IF(OR($A15="",$A14="",ROW()=5),"",$L15-$L14)</f>
        <v/>
      </c>
    </row>
    <row r="16">
      <c r="A16" s="4" t="n">
        <v>600000</v>
      </c>
      <c r="B16" s="5">
        <f>IF(OR($A16="",$A16=0),"",INDEX(標準報酬!$B$4:$B$53,MATCH($A16,標準報酬!$A$4:$A$53,1)))</f>
        <v/>
      </c>
      <c r="C16" s="5">
        <f>IF(OR($A16="",$A16=0),"",IF(ROUND($B16*('1_手取り'!$F$6+'1_手取り'!$F$7)/2,4)&lt;=0.5,0,ROUNDUP(ROUND($B16*('1_手取り'!$F$6+'1_手取り'!$F$7)/2,4)-0.5,0)))</f>
        <v/>
      </c>
      <c r="D16" s="5">
        <f>IF(OR($A16="",$A16=0),"",IF(ROUND($B16*料率!$E$5/2,4)&lt;=0.5,0,ROUNDUP(ROUND($B16*料率!$E$5/2,4)-0.5,0)))</f>
        <v/>
      </c>
      <c r="E16" s="5">
        <f>IF(OR($A16="",$A16=0),"",IF(ROUND(MIN(MAX($B16,88000),650000)*料率!$E$6/2,4)&lt;=0.5,0,ROUNDUP(ROUND(MIN(MAX($B16,88000),650000)*料率!$E$6/2,4)-0.5,0)))</f>
        <v/>
      </c>
      <c r="F16" s="5">
        <f>IF(OR($A16="",$A16=0),"",IF(ROUND($A16*INDEX(料率!$E$8:$E$10,MATCH('1_手取り'!$B$6,料率!$D$8:$D$10,0)),4)&lt;=0.5,0,ROUNDUP(ROUND($A16*INDEX(料率!$E$8:$E$10,MATCH('1_手取り'!$B$6,料率!$D$8:$D$10,0)),4)-0.5,0)))</f>
        <v/>
      </c>
      <c r="G16" s="5">
        <f>IF(OR($A16="",$A16=0),"",SUM($C16:$F16))</f>
        <v/>
      </c>
      <c r="H16" s="5">
        <f>IF($A16="","",IF($A16=0,0,$A16-$G16))</f>
        <v/>
      </c>
      <c r="I16" s="5">
        <f>IF($A16="","",IF(OR($A16=0,$H16&lt;=0),"前月の給与なし",IF('1_手取り'!$F$13&gt;$H16*10,"10倍超","算出率の表")))</f>
        <v/>
      </c>
      <c r="J16" s="9">
        <f>IF($A16="","",IF($I16="算出率の表",INDEX(算出率!$A$4:$A$24,MATCH($H16,INDEX(算出率!$B$4:$I$24,0,'1_手取り'!$B$7+1),1)),""))</f>
        <v/>
      </c>
      <c r="K16" s="5">
        <f>IF($A16="","",IF($I16="算出率の表",ROUNDDOWN(ROUND('1_手取り'!$F$13*$J16,4),0),IF($I16="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16)&lt;105000,0,IF((ROUNDDOWN('1_手取り'!$F$13/'1_手取り'!$F$16,0)+$H16)&lt;740000,INDEX(月額表!$B$4:$I$234,MATCH((ROUNDDOWN('1_手取り'!$F$13/'1_手取り'!$F$16,0)+$H16),月額表!$A$4:$A$234,1),'1_手取り'!$B$7+1),INDEX(月額表!$M$4:$T$12,MATCH((ROUNDDOWN('1_手取り'!$F$13/'1_手取り'!$F$16,0)+$H16),月額表!$K$4:$K$12,1),'1_手取り'!$B$7+1)+ROUNDDOWN(ROUND(((ROUNDDOWN('1_手取り'!$F$13/'1_手取り'!$F$16,0)+$H16)-INDEX(月額表!$K$4:$K$12,MATCH((ROUNDDOWN('1_手取り'!$F$13/'1_手取り'!$F$16,0)+$H16),月額表!$K$4:$K$12,1)))*INDEX(月額表!$L$4:$L$12,MATCH((ROUNDDOWN('1_手取り'!$F$13/'1_手取り'!$F$16,0)+$H16),月額表!$K$4:$K$12,1)),4),0)))-IF($H16&lt;105000,0,IF($H16&lt;740000,INDEX(月額表!$B$4:$I$234,MATCH($H16,月額表!$A$4:$A$234,1),'1_手取り'!$B$7+1),INDEX(月額表!$M$4:$T$12,MATCH($H16,月額表!$K$4:$K$12,1),'1_手取り'!$B$7+1)+ROUNDDOWN(ROUND(($H16-INDEX(月額表!$K$4:$K$12,MATCH($H16,月額表!$K$4:$K$12,1)))*INDEX(月額表!$L$4:$L$12,MATCH($H16,月額表!$K$4:$K$12,1)),4),0))))*'1_手取り'!$F$16)))</f>
        <v/>
      </c>
      <c r="L16" s="5">
        <f>IF($A16="","",'1_手取り'!$B$3-'1_手取り'!$F$12-$K16)</f>
        <v/>
      </c>
      <c r="M16" s="12">
        <f>IF(OR($A16="",$A15="",ROW()=5),"",$L16-$L15)</f>
        <v/>
      </c>
    </row>
    <row r="17">
      <c r="A17" s="4" t="n">
        <v>800000</v>
      </c>
      <c r="B17" s="5">
        <f>IF(OR($A17="",$A17=0),"",INDEX(標準報酬!$B$4:$B$53,MATCH($A17,標準報酬!$A$4:$A$53,1)))</f>
        <v/>
      </c>
      <c r="C17" s="5">
        <f>IF(OR($A17="",$A17=0),"",IF(ROUND($B17*('1_手取り'!$F$6+'1_手取り'!$F$7)/2,4)&lt;=0.5,0,ROUNDUP(ROUND($B17*('1_手取り'!$F$6+'1_手取り'!$F$7)/2,4)-0.5,0)))</f>
        <v/>
      </c>
      <c r="D17" s="5">
        <f>IF(OR($A17="",$A17=0),"",IF(ROUND($B17*料率!$E$5/2,4)&lt;=0.5,0,ROUNDUP(ROUND($B17*料率!$E$5/2,4)-0.5,0)))</f>
        <v/>
      </c>
      <c r="E17" s="5">
        <f>IF(OR($A17="",$A17=0),"",IF(ROUND(MIN(MAX($B17,88000),650000)*料率!$E$6/2,4)&lt;=0.5,0,ROUNDUP(ROUND(MIN(MAX($B17,88000),650000)*料率!$E$6/2,4)-0.5,0)))</f>
        <v/>
      </c>
      <c r="F17" s="5">
        <f>IF(OR($A17="",$A17=0),"",IF(ROUND($A17*INDEX(料率!$E$8:$E$10,MATCH('1_手取り'!$B$6,料率!$D$8:$D$10,0)),4)&lt;=0.5,0,ROUNDUP(ROUND($A17*INDEX(料率!$E$8:$E$10,MATCH('1_手取り'!$B$6,料率!$D$8:$D$10,0)),4)-0.5,0)))</f>
        <v/>
      </c>
      <c r="G17" s="5">
        <f>IF(OR($A17="",$A17=0),"",SUM($C17:$F17))</f>
        <v/>
      </c>
      <c r="H17" s="5">
        <f>IF($A17="","",IF($A17=0,0,$A17-$G17))</f>
        <v/>
      </c>
      <c r="I17" s="5">
        <f>IF($A17="","",IF(OR($A17=0,$H17&lt;=0),"前月の給与なし",IF('1_手取り'!$F$13&gt;$H17*10,"10倍超","算出率の表")))</f>
        <v/>
      </c>
      <c r="J17" s="9">
        <f>IF($A17="","",IF($I17="算出率の表",INDEX(算出率!$A$4:$A$24,MATCH($H17,INDEX(算出率!$B$4:$I$24,0,'1_手取り'!$B$7+1),1)),""))</f>
        <v/>
      </c>
      <c r="K17" s="5">
        <f>IF($A17="","",IF($I17="算出率の表",ROUNDDOWN(ROUND('1_手取り'!$F$13*$J17,4),0),IF($I17="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17)&lt;105000,0,IF((ROUNDDOWN('1_手取り'!$F$13/'1_手取り'!$F$16,0)+$H17)&lt;740000,INDEX(月額表!$B$4:$I$234,MATCH((ROUNDDOWN('1_手取り'!$F$13/'1_手取り'!$F$16,0)+$H17),月額表!$A$4:$A$234,1),'1_手取り'!$B$7+1),INDEX(月額表!$M$4:$T$12,MATCH((ROUNDDOWN('1_手取り'!$F$13/'1_手取り'!$F$16,0)+$H17),月額表!$K$4:$K$12,1),'1_手取り'!$B$7+1)+ROUNDDOWN(ROUND(((ROUNDDOWN('1_手取り'!$F$13/'1_手取り'!$F$16,0)+$H17)-INDEX(月額表!$K$4:$K$12,MATCH((ROUNDDOWN('1_手取り'!$F$13/'1_手取り'!$F$16,0)+$H17),月額表!$K$4:$K$12,1)))*INDEX(月額表!$L$4:$L$12,MATCH((ROUNDDOWN('1_手取り'!$F$13/'1_手取り'!$F$16,0)+$H17),月額表!$K$4:$K$12,1)),4),0)))-IF($H17&lt;105000,0,IF($H17&lt;740000,INDEX(月額表!$B$4:$I$234,MATCH($H17,月額表!$A$4:$A$234,1),'1_手取り'!$B$7+1),INDEX(月額表!$M$4:$T$12,MATCH($H17,月額表!$K$4:$K$12,1),'1_手取り'!$B$7+1)+ROUNDDOWN(ROUND(($H17-INDEX(月額表!$K$4:$K$12,MATCH($H17,月額表!$K$4:$K$12,1)))*INDEX(月額表!$L$4:$L$12,MATCH($H17,月額表!$K$4:$K$12,1)),4),0))))*'1_手取り'!$F$16)))</f>
        <v/>
      </c>
      <c r="L17" s="5">
        <f>IF($A17="","",'1_手取り'!$B$3-'1_手取り'!$F$12-$K17)</f>
        <v/>
      </c>
      <c r="M17" s="12">
        <f>IF(OR($A17="",$A16="",ROW()=5),"",$L17-$L16)</f>
        <v/>
      </c>
    </row>
    <row r="18">
      <c r="A18" s="4" t="n"/>
      <c r="B18" s="5">
        <f>IF(OR($A18="",$A18=0),"",INDEX(標準報酬!$B$4:$B$53,MATCH($A18,標準報酬!$A$4:$A$53,1)))</f>
        <v/>
      </c>
      <c r="C18" s="5">
        <f>IF(OR($A18="",$A18=0),"",IF(ROUND($B18*('1_手取り'!$F$6+'1_手取り'!$F$7)/2,4)&lt;=0.5,0,ROUNDUP(ROUND($B18*('1_手取り'!$F$6+'1_手取り'!$F$7)/2,4)-0.5,0)))</f>
        <v/>
      </c>
      <c r="D18" s="5">
        <f>IF(OR($A18="",$A18=0),"",IF(ROUND($B18*料率!$E$5/2,4)&lt;=0.5,0,ROUNDUP(ROUND($B18*料率!$E$5/2,4)-0.5,0)))</f>
        <v/>
      </c>
      <c r="E18" s="5">
        <f>IF(OR($A18="",$A18=0),"",IF(ROUND(MIN(MAX($B18,88000),650000)*料率!$E$6/2,4)&lt;=0.5,0,ROUNDUP(ROUND(MIN(MAX($B18,88000),650000)*料率!$E$6/2,4)-0.5,0)))</f>
        <v/>
      </c>
      <c r="F18" s="5">
        <f>IF(OR($A18="",$A18=0),"",IF(ROUND($A18*INDEX(料率!$E$8:$E$10,MATCH('1_手取り'!$B$6,料率!$D$8:$D$10,0)),4)&lt;=0.5,0,ROUNDUP(ROUND($A18*INDEX(料率!$E$8:$E$10,MATCH('1_手取り'!$B$6,料率!$D$8:$D$10,0)),4)-0.5,0)))</f>
        <v/>
      </c>
      <c r="G18" s="5">
        <f>IF(OR($A18="",$A18=0),"",SUM($C18:$F18))</f>
        <v/>
      </c>
      <c r="H18" s="5">
        <f>IF($A18="","",IF($A18=0,0,$A18-$G18))</f>
        <v/>
      </c>
      <c r="I18" s="5">
        <f>IF($A18="","",IF(OR($A18=0,$H18&lt;=0),"前月の給与なし",IF('1_手取り'!$F$13&gt;$H18*10,"10倍超","算出率の表")))</f>
        <v/>
      </c>
      <c r="J18" s="9">
        <f>IF($A18="","",IF($I18="算出率の表",INDEX(算出率!$A$4:$A$24,MATCH($H18,INDEX(算出率!$B$4:$I$24,0,'1_手取り'!$B$7+1),1)),""))</f>
        <v/>
      </c>
      <c r="K18" s="5">
        <f>IF($A18="","",IF($I18="算出率の表",ROUNDDOWN(ROUND('1_手取り'!$F$13*$J18,4),0),IF($I18="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18)&lt;105000,0,IF((ROUNDDOWN('1_手取り'!$F$13/'1_手取り'!$F$16,0)+$H18)&lt;740000,INDEX(月額表!$B$4:$I$234,MATCH((ROUNDDOWN('1_手取り'!$F$13/'1_手取り'!$F$16,0)+$H18),月額表!$A$4:$A$234,1),'1_手取り'!$B$7+1),INDEX(月額表!$M$4:$T$12,MATCH((ROUNDDOWN('1_手取り'!$F$13/'1_手取り'!$F$16,0)+$H18),月額表!$K$4:$K$12,1),'1_手取り'!$B$7+1)+ROUNDDOWN(ROUND(((ROUNDDOWN('1_手取り'!$F$13/'1_手取り'!$F$16,0)+$H18)-INDEX(月額表!$K$4:$K$12,MATCH((ROUNDDOWN('1_手取り'!$F$13/'1_手取り'!$F$16,0)+$H18),月額表!$K$4:$K$12,1)))*INDEX(月額表!$L$4:$L$12,MATCH((ROUNDDOWN('1_手取り'!$F$13/'1_手取り'!$F$16,0)+$H18),月額表!$K$4:$K$12,1)),4),0)))-IF($H18&lt;105000,0,IF($H18&lt;740000,INDEX(月額表!$B$4:$I$234,MATCH($H18,月額表!$A$4:$A$234,1),'1_手取り'!$B$7+1),INDEX(月額表!$M$4:$T$12,MATCH($H18,月額表!$K$4:$K$12,1),'1_手取り'!$B$7+1)+ROUNDDOWN(ROUND(($H18-INDEX(月額表!$K$4:$K$12,MATCH($H18,月額表!$K$4:$K$12,1)))*INDEX(月額表!$L$4:$L$12,MATCH($H18,月額表!$K$4:$K$12,1)),4),0))))*'1_手取り'!$F$16)))</f>
        <v/>
      </c>
      <c r="L18" s="5">
        <f>IF($A18="","",'1_手取り'!$B$3-'1_手取り'!$F$12-$K18)</f>
        <v/>
      </c>
      <c r="M18" s="12">
        <f>IF(OR($A18="",$A17="",ROW()=5),"",$L18-$L17)</f>
        <v/>
      </c>
    </row>
    <row r="19">
      <c r="A19" s="4" t="n"/>
      <c r="B19" s="5">
        <f>IF(OR($A19="",$A19=0),"",INDEX(標準報酬!$B$4:$B$53,MATCH($A19,標準報酬!$A$4:$A$53,1)))</f>
        <v/>
      </c>
      <c r="C19" s="5">
        <f>IF(OR($A19="",$A19=0),"",IF(ROUND($B19*('1_手取り'!$F$6+'1_手取り'!$F$7)/2,4)&lt;=0.5,0,ROUNDUP(ROUND($B19*('1_手取り'!$F$6+'1_手取り'!$F$7)/2,4)-0.5,0)))</f>
        <v/>
      </c>
      <c r="D19" s="5">
        <f>IF(OR($A19="",$A19=0),"",IF(ROUND($B19*料率!$E$5/2,4)&lt;=0.5,0,ROUNDUP(ROUND($B19*料率!$E$5/2,4)-0.5,0)))</f>
        <v/>
      </c>
      <c r="E19" s="5">
        <f>IF(OR($A19="",$A19=0),"",IF(ROUND(MIN(MAX($B19,88000),650000)*料率!$E$6/2,4)&lt;=0.5,0,ROUNDUP(ROUND(MIN(MAX($B19,88000),650000)*料率!$E$6/2,4)-0.5,0)))</f>
        <v/>
      </c>
      <c r="F19" s="5">
        <f>IF(OR($A19="",$A19=0),"",IF(ROUND($A19*INDEX(料率!$E$8:$E$10,MATCH('1_手取り'!$B$6,料率!$D$8:$D$10,0)),4)&lt;=0.5,0,ROUNDUP(ROUND($A19*INDEX(料率!$E$8:$E$10,MATCH('1_手取り'!$B$6,料率!$D$8:$D$10,0)),4)-0.5,0)))</f>
        <v/>
      </c>
      <c r="G19" s="5">
        <f>IF(OR($A19="",$A19=0),"",SUM($C19:$F19))</f>
        <v/>
      </c>
      <c r="H19" s="5">
        <f>IF($A19="","",IF($A19=0,0,$A19-$G19))</f>
        <v/>
      </c>
      <c r="I19" s="5">
        <f>IF($A19="","",IF(OR($A19=0,$H19&lt;=0),"前月の給与なし",IF('1_手取り'!$F$13&gt;$H19*10,"10倍超","算出率の表")))</f>
        <v/>
      </c>
      <c r="J19" s="9">
        <f>IF($A19="","",IF($I19="算出率の表",INDEX(算出率!$A$4:$A$24,MATCH($H19,INDEX(算出率!$B$4:$I$24,0,'1_手取り'!$B$7+1),1)),""))</f>
        <v/>
      </c>
      <c r="K19" s="5">
        <f>IF($A19="","",IF($I19="算出率の表",ROUNDDOWN(ROUND('1_手取り'!$F$13*$J19,4),0),IF($I19="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19)&lt;105000,0,IF((ROUNDDOWN('1_手取り'!$F$13/'1_手取り'!$F$16,0)+$H19)&lt;740000,INDEX(月額表!$B$4:$I$234,MATCH((ROUNDDOWN('1_手取り'!$F$13/'1_手取り'!$F$16,0)+$H19),月額表!$A$4:$A$234,1),'1_手取り'!$B$7+1),INDEX(月額表!$M$4:$T$12,MATCH((ROUNDDOWN('1_手取り'!$F$13/'1_手取り'!$F$16,0)+$H19),月額表!$K$4:$K$12,1),'1_手取り'!$B$7+1)+ROUNDDOWN(ROUND(((ROUNDDOWN('1_手取り'!$F$13/'1_手取り'!$F$16,0)+$H19)-INDEX(月額表!$K$4:$K$12,MATCH((ROUNDDOWN('1_手取り'!$F$13/'1_手取り'!$F$16,0)+$H19),月額表!$K$4:$K$12,1)))*INDEX(月額表!$L$4:$L$12,MATCH((ROUNDDOWN('1_手取り'!$F$13/'1_手取り'!$F$16,0)+$H19),月額表!$K$4:$K$12,1)),4),0)))-IF($H19&lt;105000,0,IF($H19&lt;740000,INDEX(月額表!$B$4:$I$234,MATCH($H19,月額表!$A$4:$A$234,1),'1_手取り'!$B$7+1),INDEX(月額表!$M$4:$T$12,MATCH($H19,月額表!$K$4:$K$12,1),'1_手取り'!$B$7+1)+ROUNDDOWN(ROUND(($H19-INDEX(月額表!$K$4:$K$12,MATCH($H19,月額表!$K$4:$K$12,1)))*INDEX(月額表!$L$4:$L$12,MATCH($H19,月額表!$K$4:$K$12,1)),4),0))))*'1_手取り'!$F$16)))</f>
        <v/>
      </c>
      <c r="L19" s="5">
        <f>IF($A19="","",'1_手取り'!$B$3-'1_手取り'!$F$12-$K19)</f>
        <v/>
      </c>
      <c r="M19" s="12">
        <f>IF(OR($A19="",$A18="",ROW()=5),"",$L19-$L18)</f>
        <v/>
      </c>
    </row>
    <row r="20">
      <c r="A20" s="4" t="n"/>
      <c r="B20" s="5">
        <f>IF(OR($A20="",$A20=0),"",INDEX(標準報酬!$B$4:$B$53,MATCH($A20,標準報酬!$A$4:$A$53,1)))</f>
        <v/>
      </c>
      <c r="C20" s="5">
        <f>IF(OR($A20="",$A20=0),"",IF(ROUND($B20*('1_手取り'!$F$6+'1_手取り'!$F$7)/2,4)&lt;=0.5,0,ROUNDUP(ROUND($B20*('1_手取り'!$F$6+'1_手取り'!$F$7)/2,4)-0.5,0)))</f>
        <v/>
      </c>
      <c r="D20" s="5">
        <f>IF(OR($A20="",$A20=0),"",IF(ROUND($B20*料率!$E$5/2,4)&lt;=0.5,0,ROUNDUP(ROUND($B20*料率!$E$5/2,4)-0.5,0)))</f>
        <v/>
      </c>
      <c r="E20" s="5">
        <f>IF(OR($A20="",$A20=0),"",IF(ROUND(MIN(MAX($B20,88000),650000)*料率!$E$6/2,4)&lt;=0.5,0,ROUNDUP(ROUND(MIN(MAX($B20,88000),650000)*料率!$E$6/2,4)-0.5,0)))</f>
        <v/>
      </c>
      <c r="F20" s="5">
        <f>IF(OR($A20="",$A20=0),"",IF(ROUND($A20*INDEX(料率!$E$8:$E$10,MATCH('1_手取り'!$B$6,料率!$D$8:$D$10,0)),4)&lt;=0.5,0,ROUNDUP(ROUND($A20*INDEX(料率!$E$8:$E$10,MATCH('1_手取り'!$B$6,料率!$D$8:$D$10,0)),4)-0.5,0)))</f>
        <v/>
      </c>
      <c r="G20" s="5">
        <f>IF(OR($A20="",$A20=0),"",SUM($C20:$F20))</f>
        <v/>
      </c>
      <c r="H20" s="5">
        <f>IF($A20="","",IF($A20=0,0,$A20-$G20))</f>
        <v/>
      </c>
      <c r="I20" s="5">
        <f>IF($A20="","",IF(OR($A20=0,$H20&lt;=0),"前月の給与なし",IF('1_手取り'!$F$13&gt;$H20*10,"10倍超","算出率の表")))</f>
        <v/>
      </c>
      <c r="J20" s="9">
        <f>IF($A20="","",IF($I20="算出率の表",INDEX(算出率!$A$4:$A$24,MATCH($H20,INDEX(算出率!$B$4:$I$24,0,'1_手取り'!$B$7+1),1)),""))</f>
        <v/>
      </c>
      <c r="K20" s="5">
        <f>IF($A20="","",IF($I20="算出率の表",ROUNDDOWN(ROUND('1_手取り'!$F$13*$J20,4),0),IF($I20="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20)&lt;105000,0,IF((ROUNDDOWN('1_手取り'!$F$13/'1_手取り'!$F$16,0)+$H20)&lt;740000,INDEX(月額表!$B$4:$I$234,MATCH((ROUNDDOWN('1_手取り'!$F$13/'1_手取り'!$F$16,0)+$H20),月額表!$A$4:$A$234,1),'1_手取り'!$B$7+1),INDEX(月額表!$M$4:$T$12,MATCH((ROUNDDOWN('1_手取り'!$F$13/'1_手取り'!$F$16,0)+$H20),月額表!$K$4:$K$12,1),'1_手取り'!$B$7+1)+ROUNDDOWN(ROUND(((ROUNDDOWN('1_手取り'!$F$13/'1_手取り'!$F$16,0)+$H20)-INDEX(月額表!$K$4:$K$12,MATCH((ROUNDDOWN('1_手取り'!$F$13/'1_手取り'!$F$16,0)+$H20),月額表!$K$4:$K$12,1)))*INDEX(月額表!$L$4:$L$12,MATCH((ROUNDDOWN('1_手取り'!$F$13/'1_手取り'!$F$16,0)+$H20),月額表!$K$4:$K$12,1)),4),0)))-IF($H20&lt;105000,0,IF($H20&lt;740000,INDEX(月額表!$B$4:$I$234,MATCH($H20,月額表!$A$4:$A$234,1),'1_手取り'!$B$7+1),INDEX(月額表!$M$4:$T$12,MATCH($H20,月額表!$K$4:$K$12,1),'1_手取り'!$B$7+1)+ROUNDDOWN(ROUND(($H20-INDEX(月額表!$K$4:$K$12,MATCH($H20,月額表!$K$4:$K$12,1)))*INDEX(月額表!$L$4:$L$12,MATCH($H20,月額表!$K$4:$K$12,1)),4),0))))*'1_手取り'!$F$16)))</f>
        <v/>
      </c>
      <c r="L20" s="5">
        <f>IF($A20="","",'1_手取り'!$B$3-'1_手取り'!$F$12-$K20)</f>
        <v/>
      </c>
      <c r="M20" s="12">
        <f>IF(OR($A20="",$A19="",ROW()=5),"",$L20-$L19)</f>
        <v/>
      </c>
    </row>
    <row r="21">
      <c r="A21" s="4" t="n"/>
      <c r="B21" s="5">
        <f>IF(OR($A21="",$A21=0),"",INDEX(標準報酬!$B$4:$B$53,MATCH($A21,標準報酬!$A$4:$A$53,1)))</f>
        <v/>
      </c>
      <c r="C21" s="5">
        <f>IF(OR($A21="",$A21=0),"",IF(ROUND($B21*('1_手取り'!$F$6+'1_手取り'!$F$7)/2,4)&lt;=0.5,0,ROUNDUP(ROUND($B21*('1_手取り'!$F$6+'1_手取り'!$F$7)/2,4)-0.5,0)))</f>
        <v/>
      </c>
      <c r="D21" s="5">
        <f>IF(OR($A21="",$A21=0),"",IF(ROUND($B21*料率!$E$5/2,4)&lt;=0.5,0,ROUNDUP(ROUND($B21*料率!$E$5/2,4)-0.5,0)))</f>
        <v/>
      </c>
      <c r="E21" s="5">
        <f>IF(OR($A21="",$A21=0),"",IF(ROUND(MIN(MAX($B21,88000),650000)*料率!$E$6/2,4)&lt;=0.5,0,ROUNDUP(ROUND(MIN(MAX($B21,88000),650000)*料率!$E$6/2,4)-0.5,0)))</f>
        <v/>
      </c>
      <c r="F21" s="5">
        <f>IF(OR($A21="",$A21=0),"",IF(ROUND($A21*INDEX(料率!$E$8:$E$10,MATCH('1_手取り'!$B$6,料率!$D$8:$D$10,0)),4)&lt;=0.5,0,ROUNDUP(ROUND($A21*INDEX(料率!$E$8:$E$10,MATCH('1_手取り'!$B$6,料率!$D$8:$D$10,0)),4)-0.5,0)))</f>
        <v/>
      </c>
      <c r="G21" s="5">
        <f>IF(OR($A21="",$A21=0),"",SUM($C21:$F21))</f>
        <v/>
      </c>
      <c r="H21" s="5">
        <f>IF($A21="","",IF($A21=0,0,$A21-$G21))</f>
        <v/>
      </c>
      <c r="I21" s="5">
        <f>IF($A21="","",IF(OR($A21=0,$H21&lt;=0),"前月の給与なし",IF('1_手取り'!$F$13&gt;$H21*10,"10倍超","算出率の表")))</f>
        <v/>
      </c>
      <c r="J21" s="9">
        <f>IF($A21="","",IF($I21="算出率の表",INDEX(算出率!$A$4:$A$24,MATCH($H21,INDEX(算出率!$B$4:$I$24,0,'1_手取り'!$B$7+1),1)),""))</f>
        <v/>
      </c>
      <c r="K21" s="5">
        <f>IF($A21="","",IF($I21="算出率の表",ROUNDDOWN(ROUND('1_手取り'!$F$13*$J21,4),0),IF($I21="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21)&lt;105000,0,IF((ROUNDDOWN('1_手取り'!$F$13/'1_手取り'!$F$16,0)+$H21)&lt;740000,INDEX(月額表!$B$4:$I$234,MATCH((ROUNDDOWN('1_手取り'!$F$13/'1_手取り'!$F$16,0)+$H21),月額表!$A$4:$A$234,1),'1_手取り'!$B$7+1),INDEX(月額表!$M$4:$T$12,MATCH((ROUNDDOWN('1_手取り'!$F$13/'1_手取り'!$F$16,0)+$H21),月額表!$K$4:$K$12,1),'1_手取り'!$B$7+1)+ROUNDDOWN(ROUND(((ROUNDDOWN('1_手取り'!$F$13/'1_手取り'!$F$16,0)+$H21)-INDEX(月額表!$K$4:$K$12,MATCH((ROUNDDOWN('1_手取り'!$F$13/'1_手取り'!$F$16,0)+$H21),月額表!$K$4:$K$12,1)))*INDEX(月額表!$L$4:$L$12,MATCH((ROUNDDOWN('1_手取り'!$F$13/'1_手取り'!$F$16,0)+$H21),月額表!$K$4:$K$12,1)),4),0)))-IF($H21&lt;105000,0,IF($H21&lt;740000,INDEX(月額表!$B$4:$I$234,MATCH($H21,月額表!$A$4:$A$234,1),'1_手取り'!$B$7+1),INDEX(月額表!$M$4:$T$12,MATCH($H21,月額表!$K$4:$K$12,1),'1_手取り'!$B$7+1)+ROUNDDOWN(ROUND(($H21-INDEX(月額表!$K$4:$K$12,MATCH($H21,月額表!$K$4:$K$12,1)))*INDEX(月額表!$L$4:$L$12,MATCH($H21,月額表!$K$4:$K$12,1)),4),0))))*'1_手取り'!$F$16)))</f>
        <v/>
      </c>
      <c r="L21" s="5">
        <f>IF($A21="","",'1_手取り'!$B$3-'1_手取り'!$F$12-$K21)</f>
        <v/>
      </c>
      <c r="M21" s="12">
        <f>IF(OR($A21="",$A20="",ROW()=5),"",$L21-$L20)</f>
        <v/>
      </c>
    </row>
    <row r="22">
      <c r="A22" s="4" t="n"/>
      <c r="B22" s="5">
        <f>IF(OR($A22="",$A22=0),"",INDEX(標準報酬!$B$4:$B$53,MATCH($A22,標準報酬!$A$4:$A$53,1)))</f>
        <v/>
      </c>
      <c r="C22" s="5">
        <f>IF(OR($A22="",$A22=0),"",IF(ROUND($B22*('1_手取り'!$F$6+'1_手取り'!$F$7)/2,4)&lt;=0.5,0,ROUNDUP(ROUND($B22*('1_手取り'!$F$6+'1_手取り'!$F$7)/2,4)-0.5,0)))</f>
        <v/>
      </c>
      <c r="D22" s="5">
        <f>IF(OR($A22="",$A22=0),"",IF(ROUND($B22*料率!$E$5/2,4)&lt;=0.5,0,ROUNDUP(ROUND($B22*料率!$E$5/2,4)-0.5,0)))</f>
        <v/>
      </c>
      <c r="E22" s="5">
        <f>IF(OR($A22="",$A22=0),"",IF(ROUND(MIN(MAX($B22,88000),650000)*料率!$E$6/2,4)&lt;=0.5,0,ROUNDUP(ROUND(MIN(MAX($B22,88000),650000)*料率!$E$6/2,4)-0.5,0)))</f>
        <v/>
      </c>
      <c r="F22" s="5">
        <f>IF(OR($A22="",$A22=0),"",IF(ROUND($A22*INDEX(料率!$E$8:$E$10,MATCH('1_手取り'!$B$6,料率!$D$8:$D$10,0)),4)&lt;=0.5,0,ROUNDUP(ROUND($A22*INDEX(料率!$E$8:$E$10,MATCH('1_手取り'!$B$6,料率!$D$8:$D$10,0)),4)-0.5,0)))</f>
        <v/>
      </c>
      <c r="G22" s="5">
        <f>IF(OR($A22="",$A22=0),"",SUM($C22:$F22))</f>
        <v/>
      </c>
      <c r="H22" s="5">
        <f>IF($A22="","",IF($A22=0,0,$A22-$G22))</f>
        <v/>
      </c>
      <c r="I22" s="5">
        <f>IF($A22="","",IF(OR($A22=0,$H22&lt;=0),"前月の給与なし",IF('1_手取り'!$F$13&gt;$H22*10,"10倍超","算出率の表")))</f>
        <v/>
      </c>
      <c r="J22" s="9">
        <f>IF($A22="","",IF($I22="算出率の表",INDEX(算出率!$A$4:$A$24,MATCH($H22,INDEX(算出率!$B$4:$I$24,0,'1_手取り'!$B$7+1),1)),""))</f>
        <v/>
      </c>
      <c r="K22" s="5">
        <f>IF($A22="","",IF($I22="算出率の表",ROUNDDOWN(ROUND('1_手取り'!$F$13*$J22,4),0),IF($I22="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22)&lt;105000,0,IF((ROUNDDOWN('1_手取り'!$F$13/'1_手取り'!$F$16,0)+$H22)&lt;740000,INDEX(月額表!$B$4:$I$234,MATCH((ROUNDDOWN('1_手取り'!$F$13/'1_手取り'!$F$16,0)+$H22),月額表!$A$4:$A$234,1),'1_手取り'!$B$7+1),INDEX(月額表!$M$4:$T$12,MATCH((ROUNDDOWN('1_手取り'!$F$13/'1_手取り'!$F$16,0)+$H22),月額表!$K$4:$K$12,1),'1_手取り'!$B$7+1)+ROUNDDOWN(ROUND(((ROUNDDOWN('1_手取り'!$F$13/'1_手取り'!$F$16,0)+$H22)-INDEX(月額表!$K$4:$K$12,MATCH((ROUNDDOWN('1_手取り'!$F$13/'1_手取り'!$F$16,0)+$H22),月額表!$K$4:$K$12,1)))*INDEX(月額表!$L$4:$L$12,MATCH((ROUNDDOWN('1_手取り'!$F$13/'1_手取り'!$F$16,0)+$H22),月額表!$K$4:$K$12,1)),4),0)))-IF($H22&lt;105000,0,IF($H22&lt;740000,INDEX(月額表!$B$4:$I$234,MATCH($H22,月額表!$A$4:$A$234,1),'1_手取り'!$B$7+1),INDEX(月額表!$M$4:$T$12,MATCH($H22,月額表!$K$4:$K$12,1),'1_手取り'!$B$7+1)+ROUNDDOWN(ROUND(($H22-INDEX(月額表!$K$4:$K$12,MATCH($H22,月額表!$K$4:$K$12,1)))*INDEX(月額表!$L$4:$L$12,MATCH($H22,月額表!$K$4:$K$12,1)),4),0))))*'1_手取り'!$F$16)))</f>
        <v/>
      </c>
      <c r="L22" s="5">
        <f>IF($A22="","",'1_手取り'!$B$3-'1_手取り'!$F$12-$K22)</f>
        <v/>
      </c>
      <c r="M22" s="12">
        <f>IF(OR($A22="",$A21="",ROW()=5),"",$L22-$L21)</f>
        <v/>
      </c>
    </row>
    <row r="23">
      <c r="A23" s="4" t="n"/>
      <c r="B23" s="5">
        <f>IF(OR($A23="",$A23=0),"",INDEX(標準報酬!$B$4:$B$53,MATCH($A23,標準報酬!$A$4:$A$53,1)))</f>
        <v/>
      </c>
      <c r="C23" s="5">
        <f>IF(OR($A23="",$A23=0),"",IF(ROUND($B23*('1_手取り'!$F$6+'1_手取り'!$F$7)/2,4)&lt;=0.5,0,ROUNDUP(ROUND($B23*('1_手取り'!$F$6+'1_手取り'!$F$7)/2,4)-0.5,0)))</f>
        <v/>
      </c>
      <c r="D23" s="5">
        <f>IF(OR($A23="",$A23=0),"",IF(ROUND($B23*料率!$E$5/2,4)&lt;=0.5,0,ROUNDUP(ROUND($B23*料率!$E$5/2,4)-0.5,0)))</f>
        <v/>
      </c>
      <c r="E23" s="5">
        <f>IF(OR($A23="",$A23=0),"",IF(ROUND(MIN(MAX($B23,88000),650000)*料率!$E$6/2,4)&lt;=0.5,0,ROUNDUP(ROUND(MIN(MAX($B23,88000),650000)*料率!$E$6/2,4)-0.5,0)))</f>
        <v/>
      </c>
      <c r="F23" s="5">
        <f>IF(OR($A23="",$A23=0),"",IF(ROUND($A23*INDEX(料率!$E$8:$E$10,MATCH('1_手取り'!$B$6,料率!$D$8:$D$10,0)),4)&lt;=0.5,0,ROUNDUP(ROUND($A23*INDEX(料率!$E$8:$E$10,MATCH('1_手取り'!$B$6,料率!$D$8:$D$10,0)),4)-0.5,0)))</f>
        <v/>
      </c>
      <c r="G23" s="5">
        <f>IF(OR($A23="",$A23=0),"",SUM($C23:$F23))</f>
        <v/>
      </c>
      <c r="H23" s="5">
        <f>IF($A23="","",IF($A23=0,0,$A23-$G23))</f>
        <v/>
      </c>
      <c r="I23" s="5">
        <f>IF($A23="","",IF(OR($A23=0,$H23&lt;=0),"前月の給与なし",IF('1_手取り'!$F$13&gt;$H23*10,"10倍超","算出率の表")))</f>
        <v/>
      </c>
      <c r="J23" s="9">
        <f>IF($A23="","",IF($I23="算出率の表",INDEX(算出率!$A$4:$A$24,MATCH($H23,INDEX(算出率!$B$4:$I$24,0,'1_手取り'!$B$7+1),1)),""))</f>
        <v/>
      </c>
      <c r="K23" s="5">
        <f>IF($A23="","",IF($I23="算出率の表",ROUNDDOWN(ROUND('1_手取り'!$F$13*$J23,4),0),IF($I23="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23)&lt;105000,0,IF((ROUNDDOWN('1_手取り'!$F$13/'1_手取り'!$F$16,0)+$H23)&lt;740000,INDEX(月額表!$B$4:$I$234,MATCH((ROUNDDOWN('1_手取り'!$F$13/'1_手取り'!$F$16,0)+$H23),月額表!$A$4:$A$234,1),'1_手取り'!$B$7+1),INDEX(月額表!$M$4:$T$12,MATCH((ROUNDDOWN('1_手取り'!$F$13/'1_手取り'!$F$16,0)+$H23),月額表!$K$4:$K$12,1),'1_手取り'!$B$7+1)+ROUNDDOWN(ROUND(((ROUNDDOWN('1_手取り'!$F$13/'1_手取り'!$F$16,0)+$H23)-INDEX(月額表!$K$4:$K$12,MATCH((ROUNDDOWN('1_手取り'!$F$13/'1_手取り'!$F$16,0)+$H23),月額表!$K$4:$K$12,1)))*INDEX(月額表!$L$4:$L$12,MATCH((ROUNDDOWN('1_手取り'!$F$13/'1_手取り'!$F$16,0)+$H23),月額表!$K$4:$K$12,1)),4),0)))-IF($H23&lt;105000,0,IF($H23&lt;740000,INDEX(月額表!$B$4:$I$234,MATCH($H23,月額表!$A$4:$A$234,1),'1_手取り'!$B$7+1),INDEX(月額表!$M$4:$T$12,MATCH($H23,月額表!$K$4:$K$12,1),'1_手取り'!$B$7+1)+ROUNDDOWN(ROUND(($H23-INDEX(月額表!$K$4:$K$12,MATCH($H23,月額表!$K$4:$K$12,1)))*INDEX(月額表!$L$4:$L$12,MATCH($H23,月額表!$K$4:$K$12,1)),4),0))))*'1_手取り'!$F$16)))</f>
        <v/>
      </c>
      <c r="L23" s="5">
        <f>IF($A23="","",'1_手取り'!$B$3-'1_手取り'!$F$12-$K23)</f>
        <v/>
      </c>
      <c r="M23" s="12">
        <f>IF(OR($A23="",$A22="",ROW()=5),"",$L23-$L22)</f>
        <v/>
      </c>
    </row>
    <row r="24">
      <c r="A24" s="4" t="n"/>
      <c r="B24" s="5">
        <f>IF(OR($A24="",$A24=0),"",INDEX(標準報酬!$B$4:$B$53,MATCH($A24,標準報酬!$A$4:$A$53,1)))</f>
        <v/>
      </c>
      <c r="C24" s="5">
        <f>IF(OR($A24="",$A24=0),"",IF(ROUND($B24*('1_手取り'!$F$6+'1_手取り'!$F$7)/2,4)&lt;=0.5,0,ROUNDUP(ROUND($B24*('1_手取り'!$F$6+'1_手取り'!$F$7)/2,4)-0.5,0)))</f>
        <v/>
      </c>
      <c r="D24" s="5">
        <f>IF(OR($A24="",$A24=0),"",IF(ROUND($B24*料率!$E$5/2,4)&lt;=0.5,0,ROUNDUP(ROUND($B24*料率!$E$5/2,4)-0.5,0)))</f>
        <v/>
      </c>
      <c r="E24" s="5">
        <f>IF(OR($A24="",$A24=0),"",IF(ROUND(MIN(MAX($B24,88000),650000)*料率!$E$6/2,4)&lt;=0.5,0,ROUNDUP(ROUND(MIN(MAX($B24,88000),650000)*料率!$E$6/2,4)-0.5,0)))</f>
        <v/>
      </c>
      <c r="F24" s="5">
        <f>IF(OR($A24="",$A24=0),"",IF(ROUND($A24*INDEX(料率!$E$8:$E$10,MATCH('1_手取り'!$B$6,料率!$D$8:$D$10,0)),4)&lt;=0.5,0,ROUNDUP(ROUND($A24*INDEX(料率!$E$8:$E$10,MATCH('1_手取り'!$B$6,料率!$D$8:$D$10,0)),4)-0.5,0)))</f>
        <v/>
      </c>
      <c r="G24" s="5">
        <f>IF(OR($A24="",$A24=0),"",SUM($C24:$F24))</f>
        <v/>
      </c>
      <c r="H24" s="5">
        <f>IF($A24="","",IF($A24=0,0,$A24-$G24))</f>
        <v/>
      </c>
      <c r="I24" s="5">
        <f>IF($A24="","",IF(OR($A24=0,$H24&lt;=0),"前月の給与なし",IF('1_手取り'!$F$13&gt;$H24*10,"10倍超","算出率の表")))</f>
        <v/>
      </c>
      <c r="J24" s="9">
        <f>IF($A24="","",IF($I24="算出率の表",INDEX(算出率!$A$4:$A$24,MATCH($H24,INDEX(算出率!$B$4:$I$24,0,'1_手取り'!$B$7+1),1)),""))</f>
        <v/>
      </c>
      <c r="K24" s="5">
        <f>IF($A24="","",IF($I24="算出率の表",ROUNDDOWN(ROUND('1_手取り'!$F$13*$J24,4),0),IF($I24="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24)&lt;105000,0,IF((ROUNDDOWN('1_手取り'!$F$13/'1_手取り'!$F$16,0)+$H24)&lt;740000,INDEX(月額表!$B$4:$I$234,MATCH((ROUNDDOWN('1_手取り'!$F$13/'1_手取り'!$F$16,0)+$H24),月額表!$A$4:$A$234,1),'1_手取り'!$B$7+1),INDEX(月額表!$M$4:$T$12,MATCH((ROUNDDOWN('1_手取り'!$F$13/'1_手取り'!$F$16,0)+$H24),月額表!$K$4:$K$12,1),'1_手取り'!$B$7+1)+ROUNDDOWN(ROUND(((ROUNDDOWN('1_手取り'!$F$13/'1_手取り'!$F$16,0)+$H24)-INDEX(月額表!$K$4:$K$12,MATCH((ROUNDDOWN('1_手取り'!$F$13/'1_手取り'!$F$16,0)+$H24),月額表!$K$4:$K$12,1)))*INDEX(月額表!$L$4:$L$12,MATCH((ROUNDDOWN('1_手取り'!$F$13/'1_手取り'!$F$16,0)+$H24),月額表!$K$4:$K$12,1)),4),0)))-IF($H24&lt;105000,0,IF($H24&lt;740000,INDEX(月額表!$B$4:$I$234,MATCH($H24,月額表!$A$4:$A$234,1),'1_手取り'!$B$7+1),INDEX(月額表!$M$4:$T$12,MATCH($H24,月額表!$K$4:$K$12,1),'1_手取り'!$B$7+1)+ROUNDDOWN(ROUND(($H24-INDEX(月額表!$K$4:$K$12,MATCH($H24,月額表!$K$4:$K$12,1)))*INDEX(月額表!$L$4:$L$12,MATCH($H24,月額表!$K$4:$K$12,1)),4),0))))*'1_手取り'!$F$16)))</f>
        <v/>
      </c>
      <c r="L24" s="5">
        <f>IF($A24="","",'1_手取り'!$B$3-'1_手取り'!$F$12-$K24)</f>
        <v/>
      </c>
      <c r="M24" s="12">
        <f>IF(OR($A24="",$A23="",ROW()=5),"",$L24-$L23)</f>
        <v/>
      </c>
    </row>
    <row r="25">
      <c r="A25" s="4" t="n"/>
      <c r="B25" s="5">
        <f>IF(OR($A25="",$A25=0),"",INDEX(標準報酬!$B$4:$B$53,MATCH($A25,標準報酬!$A$4:$A$53,1)))</f>
        <v/>
      </c>
      <c r="C25" s="5">
        <f>IF(OR($A25="",$A25=0),"",IF(ROUND($B25*('1_手取り'!$F$6+'1_手取り'!$F$7)/2,4)&lt;=0.5,0,ROUNDUP(ROUND($B25*('1_手取り'!$F$6+'1_手取り'!$F$7)/2,4)-0.5,0)))</f>
        <v/>
      </c>
      <c r="D25" s="5">
        <f>IF(OR($A25="",$A25=0),"",IF(ROUND($B25*料率!$E$5/2,4)&lt;=0.5,0,ROUNDUP(ROUND($B25*料率!$E$5/2,4)-0.5,0)))</f>
        <v/>
      </c>
      <c r="E25" s="5">
        <f>IF(OR($A25="",$A25=0),"",IF(ROUND(MIN(MAX($B25,88000),650000)*料率!$E$6/2,4)&lt;=0.5,0,ROUNDUP(ROUND(MIN(MAX($B25,88000),650000)*料率!$E$6/2,4)-0.5,0)))</f>
        <v/>
      </c>
      <c r="F25" s="5">
        <f>IF(OR($A25="",$A25=0),"",IF(ROUND($A25*INDEX(料率!$E$8:$E$10,MATCH('1_手取り'!$B$6,料率!$D$8:$D$10,0)),4)&lt;=0.5,0,ROUNDUP(ROUND($A25*INDEX(料率!$E$8:$E$10,MATCH('1_手取り'!$B$6,料率!$D$8:$D$10,0)),4)-0.5,0)))</f>
        <v/>
      </c>
      <c r="G25" s="5">
        <f>IF(OR($A25="",$A25=0),"",SUM($C25:$F25))</f>
        <v/>
      </c>
      <c r="H25" s="5">
        <f>IF($A25="","",IF($A25=0,0,$A25-$G25))</f>
        <v/>
      </c>
      <c r="I25" s="5">
        <f>IF($A25="","",IF(OR($A25=0,$H25&lt;=0),"前月の給与なし",IF('1_手取り'!$F$13&gt;$H25*10,"10倍超","算出率の表")))</f>
        <v/>
      </c>
      <c r="J25" s="9">
        <f>IF($A25="","",IF($I25="算出率の表",INDEX(算出率!$A$4:$A$24,MATCH($H25,INDEX(算出率!$B$4:$I$24,0,'1_手取り'!$B$7+1),1)),""))</f>
        <v/>
      </c>
      <c r="K25" s="5">
        <f>IF($A25="","",IF($I25="算出率の表",ROUNDDOWN(ROUND('1_手取り'!$F$13*$J25,4),0),IF($I25="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25)&lt;105000,0,IF((ROUNDDOWN('1_手取り'!$F$13/'1_手取り'!$F$16,0)+$H25)&lt;740000,INDEX(月額表!$B$4:$I$234,MATCH((ROUNDDOWN('1_手取り'!$F$13/'1_手取り'!$F$16,0)+$H25),月額表!$A$4:$A$234,1),'1_手取り'!$B$7+1),INDEX(月額表!$M$4:$T$12,MATCH((ROUNDDOWN('1_手取り'!$F$13/'1_手取り'!$F$16,0)+$H25),月額表!$K$4:$K$12,1),'1_手取り'!$B$7+1)+ROUNDDOWN(ROUND(((ROUNDDOWN('1_手取り'!$F$13/'1_手取り'!$F$16,0)+$H25)-INDEX(月額表!$K$4:$K$12,MATCH((ROUNDDOWN('1_手取り'!$F$13/'1_手取り'!$F$16,0)+$H25),月額表!$K$4:$K$12,1)))*INDEX(月額表!$L$4:$L$12,MATCH((ROUNDDOWN('1_手取り'!$F$13/'1_手取り'!$F$16,0)+$H25),月額表!$K$4:$K$12,1)),4),0)))-IF($H25&lt;105000,0,IF($H25&lt;740000,INDEX(月額表!$B$4:$I$234,MATCH($H25,月額表!$A$4:$A$234,1),'1_手取り'!$B$7+1),INDEX(月額表!$M$4:$T$12,MATCH($H25,月額表!$K$4:$K$12,1),'1_手取り'!$B$7+1)+ROUNDDOWN(ROUND(($H25-INDEX(月額表!$K$4:$K$12,MATCH($H25,月額表!$K$4:$K$12,1)))*INDEX(月額表!$L$4:$L$12,MATCH($H25,月額表!$K$4:$K$12,1)),4),0))))*'1_手取り'!$F$16)))</f>
        <v/>
      </c>
      <c r="L25" s="5">
        <f>IF($A25="","",'1_手取り'!$B$3-'1_手取り'!$F$12-$K25)</f>
        <v/>
      </c>
      <c r="M25" s="12">
        <f>IF(OR($A25="",$A24="",ROW()=5),"",$L25-$L24)</f>
        <v/>
      </c>
    </row>
    <row r="26">
      <c r="A26" s="4" t="n"/>
      <c r="B26" s="5">
        <f>IF(OR($A26="",$A26=0),"",INDEX(標準報酬!$B$4:$B$53,MATCH($A26,標準報酬!$A$4:$A$53,1)))</f>
        <v/>
      </c>
      <c r="C26" s="5">
        <f>IF(OR($A26="",$A26=0),"",IF(ROUND($B26*('1_手取り'!$F$6+'1_手取り'!$F$7)/2,4)&lt;=0.5,0,ROUNDUP(ROUND($B26*('1_手取り'!$F$6+'1_手取り'!$F$7)/2,4)-0.5,0)))</f>
        <v/>
      </c>
      <c r="D26" s="5">
        <f>IF(OR($A26="",$A26=0),"",IF(ROUND($B26*料率!$E$5/2,4)&lt;=0.5,0,ROUNDUP(ROUND($B26*料率!$E$5/2,4)-0.5,0)))</f>
        <v/>
      </c>
      <c r="E26" s="5">
        <f>IF(OR($A26="",$A26=0),"",IF(ROUND(MIN(MAX($B26,88000),650000)*料率!$E$6/2,4)&lt;=0.5,0,ROUNDUP(ROUND(MIN(MAX($B26,88000),650000)*料率!$E$6/2,4)-0.5,0)))</f>
        <v/>
      </c>
      <c r="F26" s="5">
        <f>IF(OR($A26="",$A26=0),"",IF(ROUND($A26*INDEX(料率!$E$8:$E$10,MATCH('1_手取り'!$B$6,料率!$D$8:$D$10,0)),4)&lt;=0.5,0,ROUNDUP(ROUND($A26*INDEX(料率!$E$8:$E$10,MATCH('1_手取り'!$B$6,料率!$D$8:$D$10,0)),4)-0.5,0)))</f>
        <v/>
      </c>
      <c r="G26" s="5">
        <f>IF(OR($A26="",$A26=0),"",SUM($C26:$F26))</f>
        <v/>
      </c>
      <c r="H26" s="5">
        <f>IF($A26="","",IF($A26=0,0,$A26-$G26))</f>
        <v/>
      </c>
      <c r="I26" s="5">
        <f>IF($A26="","",IF(OR($A26=0,$H26&lt;=0),"前月の給与なし",IF('1_手取り'!$F$13&gt;$H26*10,"10倍超","算出率の表")))</f>
        <v/>
      </c>
      <c r="J26" s="9">
        <f>IF($A26="","",IF($I26="算出率の表",INDEX(算出率!$A$4:$A$24,MATCH($H26,INDEX(算出率!$B$4:$I$24,0,'1_手取り'!$B$7+1),1)),""))</f>
        <v/>
      </c>
      <c r="K26" s="5">
        <f>IF($A26="","",IF($I26="算出率の表",ROUNDDOWN(ROUND('1_手取り'!$F$13*$J26,4),0),IF($I26="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26)&lt;105000,0,IF((ROUNDDOWN('1_手取り'!$F$13/'1_手取り'!$F$16,0)+$H26)&lt;740000,INDEX(月額表!$B$4:$I$234,MATCH((ROUNDDOWN('1_手取り'!$F$13/'1_手取り'!$F$16,0)+$H26),月額表!$A$4:$A$234,1),'1_手取り'!$B$7+1),INDEX(月額表!$M$4:$T$12,MATCH((ROUNDDOWN('1_手取り'!$F$13/'1_手取り'!$F$16,0)+$H26),月額表!$K$4:$K$12,1),'1_手取り'!$B$7+1)+ROUNDDOWN(ROUND(((ROUNDDOWN('1_手取り'!$F$13/'1_手取り'!$F$16,0)+$H26)-INDEX(月額表!$K$4:$K$12,MATCH((ROUNDDOWN('1_手取り'!$F$13/'1_手取り'!$F$16,0)+$H26),月額表!$K$4:$K$12,1)))*INDEX(月額表!$L$4:$L$12,MATCH((ROUNDDOWN('1_手取り'!$F$13/'1_手取り'!$F$16,0)+$H26),月額表!$K$4:$K$12,1)),4),0)))-IF($H26&lt;105000,0,IF($H26&lt;740000,INDEX(月額表!$B$4:$I$234,MATCH($H26,月額表!$A$4:$A$234,1),'1_手取り'!$B$7+1),INDEX(月額表!$M$4:$T$12,MATCH($H26,月額表!$K$4:$K$12,1),'1_手取り'!$B$7+1)+ROUNDDOWN(ROUND(($H26-INDEX(月額表!$K$4:$K$12,MATCH($H26,月額表!$K$4:$K$12,1)))*INDEX(月額表!$L$4:$L$12,MATCH($H26,月額表!$K$4:$K$12,1)),4),0))))*'1_手取り'!$F$16)))</f>
        <v/>
      </c>
      <c r="L26" s="5">
        <f>IF($A26="","",'1_手取り'!$B$3-'1_手取り'!$F$12-$K26)</f>
        <v/>
      </c>
      <c r="M26" s="12">
        <f>IF(OR($A26="",$A25="",ROW()=5),"",$L26-$L25)</f>
        <v/>
      </c>
    </row>
    <row r="27">
      <c r="A27" s="4" t="n"/>
      <c r="B27" s="5">
        <f>IF(OR($A27="",$A27=0),"",INDEX(標準報酬!$B$4:$B$53,MATCH($A27,標準報酬!$A$4:$A$53,1)))</f>
        <v/>
      </c>
      <c r="C27" s="5">
        <f>IF(OR($A27="",$A27=0),"",IF(ROUND($B27*('1_手取り'!$F$6+'1_手取り'!$F$7)/2,4)&lt;=0.5,0,ROUNDUP(ROUND($B27*('1_手取り'!$F$6+'1_手取り'!$F$7)/2,4)-0.5,0)))</f>
        <v/>
      </c>
      <c r="D27" s="5">
        <f>IF(OR($A27="",$A27=0),"",IF(ROUND($B27*料率!$E$5/2,4)&lt;=0.5,0,ROUNDUP(ROUND($B27*料率!$E$5/2,4)-0.5,0)))</f>
        <v/>
      </c>
      <c r="E27" s="5">
        <f>IF(OR($A27="",$A27=0),"",IF(ROUND(MIN(MAX($B27,88000),650000)*料率!$E$6/2,4)&lt;=0.5,0,ROUNDUP(ROUND(MIN(MAX($B27,88000),650000)*料率!$E$6/2,4)-0.5,0)))</f>
        <v/>
      </c>
      <c r="F27" s="5">
        <f>IF(OR($A27="",$A27=0),"",IF(ROUND($A27*INDEX(料率!$E$8:$E$10,MATCH('1_手取り'!$B$6,料率!$D$8:$D$10,0)),4)&lt;=0.5,0,ROUNDUP(ROUND($A27*INDEX(料率!$E$8:$E$10,MATCH('1_手取り'!$B$6,料率!$D$8:$D$10,0)),4)-0.5,0)))</f>
        <v/>
      </c>
      <c r="G27" s="5">
        <f>IF(OR($A27="",$A27=0),"",SUM($C27:$F27))</f>
        <v/>
      </c>
      <c r="H27" s="5">
        <f>IF($A27="","",IF($A27=0,0,$A27-$G27))</f>
        <v/>
      </c>
      <c r="I27" s="5">
        <f>IF($A27="","",IF(OR($A27=0,$H27&lt;=0),"前月の給与なし",IF('1_手取り'!$F$13&gt;$H27*10,"10倍超","算出率の表")))</f>
        <v/>
      </c>
      <c r="J27" s="9">
        <f>IF($A27="","",IF($I27="算出率の表",INDEX(算出率!$A$4:$A$24,MATCH($H27,INDEX(算出率!$B$4:$I$24,0,'1_手取り'!$B$7+1),1)),""))</f>
        <v/>
      </c>
      <c r="K27" s="5">
        <f>IF($A27="","",IF($I27="算出率の表",ROUNDDOWN(ROUND('1_手取り'!$F$13*$J27,4),0),IF($I27="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27)&lt;105000,0,IF((ROUNDDOWN('1_手取り'!$F$13/'1_手取り'!$F$16,0)+$H27)&lt;740000,INDEX(月額表!$B$4:$I$234,MATCH((ROUNDDOWN('1_手取り'!$F$13/'1_手取り'!$F$16,0)+$H27),月額表!$A$4:$A$234,1),'1_手取り'!$B$7+1),INDEX(月額表!$M$4:$T$12,MATCH((ROUNDDOWN('1_手取り'!$F$13/'1_手取り'!$F$16,0)+$H27),月額表!$K$4:$K$12,1),'1_手取り'!$B$7+1)+ROUNDDOWN(ROUND(((ROUNDDOWN('1_手取り'!$F$13/'1_手取り'!$F$16,0)+$H27)-INDEX(月額表!$K$4:$K$12,MATCH((ROUNDDOWN('1_手取り'!$F$13/'1_手取り'!$F$16,0)+$H27),月額表!$K$4:$K$12,1)))*INDEX(月額表!$L$4:$L$12,MATCH((ROUNDDOWN('1_手取り'!$F$13/'1_手取り'!$F$16,0)+$H27),月額表!$K$4:$K$12,1)),4),0)))-IF($H27&lt;105000,0,IF($H27&lt;740000,INDEX(月額表!$B$4:$I$234,MATCH($H27,月額表!$A$4:$A$234,1),'1_手取り'!$B$7+1),INDEX(月額表!$M$4:$T$12,MATCH($H27,月額表!$K$4:$K$12,1),'1_手取り'!$B$7+1)+ROUNDDOWN(ROUND(($H27-INDEX(月額表!$K$4:$K$12,MATCH($H27,月額表!$K$4:$K$12,1)))*INDEX(月額表!$L$4:$L$12,MATCH($H27,月額表!$K$4:$K$12,1)),4),0))))*'1_手取り'!$F$16)))</f>
        <v/>
      </c>
      <c r="L27" s="5">
        <f>IF($A27="","",'1_手取り'!$B$3-'1_手取り'!$F$12-$K27)</f>
        <v/>
      </c>
      <c r="M27" s="12">
        <f>IF(OR($A27="",$A26="",ROW()=5),"",$L27-$L26)</f>
        <v/>
      </c>
    </row>
    <row r="28">
      <c r="A28" s="4" t="n"/>
      <c r="B28" s="5">
        <f>IF(OR($A28="",$A28=0),"",INDEX(標準報酬!$B$4:$B$53,MATCH($A28,標準報酬!$A$4:$A$53,1)))</f>
        <v/>
      </c>
      <c r="C28" s="5">
        <f>IF(OR($A28="",$A28=0),"",IF(ROUND($B28*('1_手取り'!$F$6+'1_手取り'!$F$7)/2,4)&lt;=0.5,0,ROUNDUP(ROUND($B28*('1_手取り'!$F$6+'1_手取り'!$F$7)/2,4)-0.5,0)))</f>
        <v/>
      </c>
      <c r="D28" s="5">
        <f>IF(OR($A28="",$A28=0),"",IF(ROUND($B28*料率!$E$5/2,4)&lt;=0.5,0,ROUNDUP(ROUND($B28*料率!$E$5/2,4)-0.5,0)))</f>
        <v/>
      </c>
      <c r="E28" s="5">
        <f>IF(OR($A28="",$A28=0),"",IF(ROUND(MIN(MAX($B28,88000),650000)*料率!$E$6/2,4)&lt;=0.5,0,ROUNDUP(ROUND(MIN(MAX($B28,88000),650000)*料率!$E$6/2,4)-0.5,0)))</f>
        <v/>
      </c>
      <c r="F28" s="5">
        <f>IF(OR($A28="",$A28=0),"",IF(ROUND($A28*INDEX(料率!$E$8:$E$10,MATCH('1_手取り'!$B$6,料率!$D$8:$D$10,0)),4)&lt;=0.5,0,ROUNDUP(ROUND($A28*INDEX(料率!$E$8:$E$10,MATCH('1_手取り'!$B$6,料率!$D$8:$D$10,0)),4)-0.5,0)))</f>
        <v/>
      </c>
      <c r="G28" s="5">
        <f>IF(OR($A28="",$A28=0),"",SUM($C28:$F28))</f>
        <v/>
      </c>
      <c r="H28" s="5">
        <f>IF($A28="","",IF($A28=0,0,$A28-$G28))</f>
        <v/>
      </c>
      <c r="I28" s="5">
        <f>IF($A28="","",IF(OR($A28=0,$H28&lt;=0),"前月の給与なし",IF('1_手取り'!$F$13&gt;$H28*10,"10倍超","算出率の表")))</f>
        <v/>
      </c>
      <c r="J28" s="9">
        <f>IF($A28="","",IF($I28="算出率の表",INDEX(算出率!$A$4:$A$24,MATCH($H28,INDEX(算出率!$B$4:$I$24,0,'1_手取り'!$B$7+1),1)),""))</f>
        <v/>
      </c>
      <c r="K28" s="5">
        <f>IF($A28="","",IF($I28="算出率の表",ROUNDDOWN(ROUND('1_手取り'!$F$13*$J28,4),0),IF($I28="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28)&lt;105000,0,IF((ROUNDDOWN('1_手取り'!$F$13/'1_手取り'!$F$16,0)+$H28)&lt;740000,INDEX(月額表!$B$4:$I$234,MATCH((ROUNDDOWN('1_手取り'!$F$13/'1_手取り'!$F$16,0)+$H28),月額表!$A$4:$A$234,1),'1_手取り'!$B$7+1),INDEX(月額表!$M$4:$T$12,MATCH((ROUNDDOWN('1_手取り'!$F$13/'1_手取り'!$F$16,0)+$H28),月額表!$K$4:$K$12,1),'1_手取り'!$B$7+1)+ROUNDDOWN(ROUND(((ROUNDDOWN('1_手取り'!$F$13/'1_手取り'!$F$16,0)+$H28)-INDEX(月額表!$K$4:$K$12,MATCH((ROUNDDOWN('1_手取り'!$F$13/'1_手取り'!$F$16,0)+$H28),月額表!$K$4:$K$12,1)))*INDEX(月額表!$L$4:$L$12,MATCH((ROUNDDOWN('1_手取り'!$F$13/'1_手取り'!$F$16,0)+$H28),月額表!$K$4:$K$12,1)),4),0)))-IF($H28&lt;105000,0,IF($H28&lt;740000,INDEX(月額表!$B$4:$I$234,MATCH($H28,月額表!$A$4:$A$234,1),'1_手取り'!$B$7+1),INDEX(月額表!$M$4:$T$12,MATCH($H28,月額表!$K$4:$K$12,1),'1_手取り'!$B$7+1)+ROUNDDOWN(ROUND(($H28-INDEX(月額表!$K$4:$K$12,MATCH($H28,月額表!$K$4:$K$12,1)))*INDEX(月額表!$L$4:$L$12,MATCH($H28,月額表!$K$4:$K$12,1)),4),0))))*'1_手取り'!$F$16)))</f>
        <v/>
      </c>
      <c r="L28" s="5">
        <f>IF($A28="","",'1_手取り'!$B$3-'1_手取り'!$F$12-$K28)</f>
        <v/>
      </c>
      <c r="M28" s="12">
        <f>IF(OR($A28="",$A27="",ROW()=5),"",$L28-$L27)</f>
        <v/>
      </c>
    </row>
    <row r="29">
      <c r="A29" s="4" t="n"/>
      <c r="B29" s="5">
        <f>IF(OR($A29="",$A29=0),"",INDEX(標準報酬!$B$4:$B$53,MATCH($A29,標準報酬!$A$4:$A$53,1)))</f>
        <v/>
      </c>
      <c r="C29" s="5">
        <f>IF(OR($A29="",$A29=0),"",IF(ROUND($B29*('1_手取り'!$F$6+'1_手取り'!$F$7)/2,4)&lt;=0.5,0,ROUNDUP(ROUND($B29*('1_手取り'!$F$6+'1_手取り'!$F$7)/2,4)-0.5,0)))</f>
        <v/>
      </c>
      <c r="D29" s="5">
        <f>IF(OR($A29="",$A29=0),"",IF(ROUND($B29*料率!$E$5/2,4)&lt;=0.5,0,ROUNDUP(ROUND($B29*料率!$E$5/2,4)-0.5,0)))</f>
        <v/>
      </c>
      <c r="E29" s="5">
        <f>IF(OR($A29="",$A29=0),"",IF(ROUND(MIN(MAX($B29,88000),650000)*料率!$E$6/2,4)&lt;=0.5,0,ROUNDUP(ROUND(MIN(MAX($B29,88000),650000)*料率!$E$6/2,4)-0.5,0)))</f>
        <v/>
      </c>
      <c r="F29" s="5">
        <f>IF(OR($A29="",$A29=0),"",IF(ROUND($A29*INDEX(料率!$E$8:$E$10,MATCH('1_手取り'!$B$6,料率!$D$8:$D$10,0)),4)&lt;=0.5,0,ROUNDUP(ROUND($A29*INDEX(料率!$E$8:$E$10,MATCH('1_手取り'!$B$6,料率!$D$8:$D$10,0)),4)-0.5,0)))</f>
        <v/>
      </c>
      <c r="G29" s="5">
        <f>IF(OR($A29="",$A29=0),"",SUM($C29:$F29))</f>
        <v/>
      </c>
      <c r="H29" s="5">
        <f>IF($A29="","",IF($A29=0,0,$A29-$G29))</f>
        <v/>
      </c>
      <c r="I29" s="5">
        <f>IF($A29="","",IF(OR($A29=0,$H29&lt;=0),"前月の給与なし",IF('1_手取り'!$F$13&gt;$H29*10,"10倍超","算出率の表")))</f>
        <v/>
      </c>
      <c r="J29" s="9">
        <f>IF($A29="","",IF($I29="算出率の表",INDEX(算出率!$A$4:$A$24,MATCH($H29,INDEX(算出率!$B$4:$I$24,0,'1_手取り'!$B$7+1),1)),""))</f>
        <v/>
      </c>
      <c r="K29" s="5">
        <f>IF($A29="","",IF($I29="算出率の表",ROUNDDOWN(ROUND('1_手取り'!$F$13*$J29,4),0),IF($I29="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29)&lt;105000,0,IF((ROUNDDOWN('1_手取り'!$F$13/'1_手取り'!$F$16,0)+$H29)&lt;740000,INDEX(月額表!$B$4:$I$234,MATCH((ROUNDDOWN('1_手取り'!$F$13/'1_手取り'!$F$16,0)+$H29),月額表!$A$4:$A$234,1),'1_手取り'!$B$7+1),INDEX(月額表!$M$4:$T$12,MATCH((ROUNDDOWN('1_手取り'!$F$13/'1_手取り'!$F$16,0)+$H29),月額表!$K$4:$K$12,1),'1_手取り'!$B$7+1)+ROUNDDOWN(ROUND(((ROUNDDOWN('1_手取り'!$F$13/'1_手取り'!$F$16,0)+$H29)-INDEX(月額表!$K$4:$K$12,MATCH((ROUNDDOWN('1_手取り'!$F$13/'1_手取り'!$F$16,0)+$H29),月額表!$K$4:$K$12,1)))*INDEX(月額表!$L$4:$L$12,MATCH((ROUNDDOWN('1_手取り'!$F$13/'1_手取り'!$F$16,0)+$H29),月額表!$K$4:$K$12,1)),4),0)))-IF($H29&lt;105000,0,IF($H29&lt;740000,INDEX(月額表!$B$4:$I$234,MATCH($H29,月額表!$A$4:$A$234,1),'1_手取り'!$B$7+1),INDEX(月額表!$M$4:$T$12,MATCH($H29,月額表!$K$4:$K$12,1),'1_手取り'!$B$7+1)+ROUNDDOWN(ROUND(($H29-INDEX(月額表!$K$4:$K$12,MATCH($H29,月額表!$K$4:$K$12,1)))*INDEX(月額表!$L$4:$L$12,MATCH($H29,月額表!$K$4:$K$12,1)),4),0))))*'1_手取り'!$F$16)))</f>
        <v/>
      </c>
      <c r="L29" s="5">
        <f>IF($A29="","",'1_手取り'!$B$3-'1_手取り'!$F$12-$K29)</f>
        <v/>
      </c>
      <c r="M29" s="12">
        <f>IF(OR($A29="",$A28="",ROW()=5),"",$L29-$L28)</f>
        <v/>
      </c>
    </row>
    <row r="30">
      <c r="A30" s="4" t="n"/>
      <c r="B30" s="5">
        <f>IF(OR($A30="",$A30=0),"",INDEX(標準報酬!$B$4:$B$53,MATCH($A30,標準報酬!$A$4:$A$53,1)))</f>
        <v/>
      </c>
      <c r="C30" s="5">
        <f>IF(OR($A30="",$A30=0),"",IF(ROUND($B30*('1_手取り'!$F$6+'1_手取り'!$F$7)/2,4)&lt;=0.5,0,ROUNDUP(ROUND($B30*('1_手取り'!$F$6+'1_手取り'!$F$7)/2,4)-0.5,0)))</f>
        <v/>
      </c>
      <c r="D30" s="5">
        <f>IF(OR($A30="",$A30=0),"",IF(ROUND($B30*料率!$E$5/2,4)&lt;=0.5,0,ROUNDUP(ROUND($B30*料率!$E$5/2,4)-0.5,0)))</f>
        <v/>
      </c>
      <c r="E30" s="5">
        <f>IF(OR($A30="",$A30=0),"",IF(ROUND(MIN(MAX($B30,88000),650000)*料率!$E$6/2,4)&lt;=0.5,0,ROUNDUP(ROUND(MIN(MAX($B30,88000),650000)*料率!$E$6/2,4)-0.5,0)))</f>
        <v/>
      </c>
      <c r="F30" s="5">
        <f>IF(OR($A30="",$A30=0),"",IF(ROUND($A30*INDEX(料率!$E$8:$E$10,MATCH('1_手取り'!$B$6,料率!$D$8:$D$10,0)),4)&lt;=0.5,0,ROUNDUP(ROUND($A30*INDEX(料率!$E$8:$E$10,MATCH('1_手取り'!$B$6,料率!$D$8:$D$10,0)),4)-0.5,0)))</f>
        <v/>
      </c>
      <c r="G30" s="5">
        <f>IF(OR($A30="",$A30=0),"",SUM($C30:$F30))</f>
        <v/>
      </c>
      <c r="H30" s="5">
        <f>IF($A30="","",IF($A30=0,0,$A30-$G30))</f>
        <v/>
      </c>
      <c r="I30" s="5">
        <f>IF($A30="","",IF(OR($A30=0,$H30&lt;=0),"前月の給与なし",IF('1_手取り'!$F$13&gt;$H30*10,"10倍超","算出率の表")))</f>
        <v/>
      </c>
      <c r="J30" s="9">
        <f>IF($A30="","",IF($I30="算出率の表",INDEX(算出率!$A$4:$A$24,MATCH($H30,INDEX(算出率!$B$4:$I$24,0,'1_手取り'!$B$7+1),1)),""))</f>
        <v/>
      </c>
      <c r="K30" s="5">
        <f>IF($A30="","",IF($I30="算出率の表",ROUNDDOWN(ROUND('1_手取り'!$F$13*$J30,4),0),IF($I30="前月の給与なし",IF(ROUNDDOWN('1_手取り'!$F$13/'1_手取り'!$F$16,0)&lt;105000,0,IF(ROUNDDOWN('1_手取り'!$F$13/'1_手取り'!$F$16,0)&lt;740000,INDEX(月額表!$B$4:$I$234,MATCH(ROUNDDOWN('1_手取り'!$F$13/'1_手取り'!$F$16,0),月額表!$A$4:$A$234,1),'1_手取り'!$B$7+1),INDEX(月額表!$M$4:$T$12,MATCH(ROUNDDOWN('1_手取り'!$F$13/'1_手取り'!$F$16,0),月額表!$K$4:$K$12,1),'1_手取り'!$B$7+1)+ROUNDDOWN(ROUND((ROUNDDOWN('1_手取り'!$F$13/'1_手取り'!$F$16,0)-INDEX(月額表!$K$4:$K$12,MATCH(ROUNDDOWN('1_手取り'!$F$13/'1_手取り'!$F$16,0),月額表!$K$4:$K$12,1)))*INDEX(月額表!$L$4:$L$12,MATCH(ROUNDDOWN('1_手取り'!$F$13/'1_手取り'!$F$16,0),月額表!$K$4:$K$12,1)),4),0)))*'1_手取り'!$F$16,(IF((ROUNDDOWN('1_手取り'!$F$13/'1_手取り'!$F$16,0)+$H30)&lt;105000,0,IF((ROUNDDOWN('1_手取り'!$F$13/'1_手取り'!$F$16,0)+$H30)&lt;740000,INDEX(月額表!$B$4:$I$234,MATCH((ROUNDDOWN('1_手取り'!$F$13/'1_手取り'!$F$16,0)+$H30),月額表!$A$4:$A$234,1),'1_手取り'!$B$7+1),INDEX(月額表!$M$4:$T$12,MATCH((ROUNDDOWN('1_手取り'!$F$13/'1_手取り'!$F$16,0)+$H30),月額表!$K$4:$K$12,1),'1_手取り'!$B$7+1)+ROUNDDOWN(ROUND(((ROUNDDOWN('1_手取り'!$F$13/'1_手取り'!$F$16,0)+$H30)-INDEX(月額表!$K$4:$K$12,MATCH((ROUNDDOWN('1_手取り'!$F$13/'1_手取り'!$F$16,0)+$H30),月額表!$K$4:$K$12,1)))*INDEX(月額表!$L$4:$L$12,MATCH((ROUNDDOWN('1_手取り'!$F$13/'1_手取り'!$F$16,0)+$H30),月額表!$K$4:$K$12,1)),4),0)))-IF($H30&lt;105000,0,IF($H30&lt;740000,INDEX(月額表!$B$4:$I$234,MATCH($H30,月額表!$A$4:$A$234,1),'1_手取り'!$B$7+1),INDEX(月額表!$M$4:$T$12,MATCH($H30,月額表!$K$4:$K$12,1),'1_手取り'!$B$7+1)+ROUNDDOWN(ROUND(($H30-INDEX(月額表!$K$4:$K$12,MATCH($H30,月額表!$K$4:$K$12,1)))*INDEX(月額表!$L$4:$L$12,MATCH($H30,月額表!$K$4:$K$12,1)),4),0))))*'1_手取り'!$F$16)))</f>
        <v/>
      </c>
      <c r="L30" s="5">
        <f>IF($A30="","",'1_手取り'!$B$3-'1_手取り'!$F$12-$K30)</f>
        <v/>
      </c>
      <c r="M30" s="12">
        <f>IF(OR($A30="",$A29="",ROW()=5),"",$L30-$L29)</f>
        <v/>
      </c>
    </row>
  </sheetData>
  <conditionalFormatting sqref="M5:M30">
    <cfRule type="expression" priority="1" dxfId="1">
      <formula>AND(ISNUMBER(M5),M5&lt;0)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0" customWidth="1" min="2" max="2"/>
    <col width="12" customWidth="1" min="3" max="3"/>
    <col width="9" customWidth="1" min="4" max="4"/>
    <col width="10" customWidth="1" min="5" max="5"/>
    <col width="9" customWidth="1" min="6" max="6"/>
    <col width="12" customWidth="1" min="7" max="7"/>
    <col width="14" customWidth="1" min="8" max="8"/>
    <col width="13" customWidth="1" min="9" max="9"/>
    <col width="9" customWidth="1" min="10" max="10"/>
    <col width="11" customWidth="1" min="11" max="11"/>
    <col width="11" customWidth="1" min="12" max="12"/>
    <col width="13" customWidth="1" min="13" max="13"/>
    <col width="3" customWidth="1" min="15" max="15"/>
    <col width="14" customWidth="1" min="16" max="16"/>
    <col width="14" customWidth="1" min="17" max="17"/>
    <col width="22" customWidth="1" min="19" max="19"/>
    <col width="12" customWidth="1" min="20" max="20"/>
  </cols>
  <sheetData>
    <row r="1">
      <c r="A1" s="1" t="inlineStr">
        <is>
          <t>協会けんぽの47支部で、同じ人の賞与の手取りを並べる。賞与・前月の給与・年齢・扶養は1_手取りの値を使う</t>
        </is>
      </c>
    </row>
    <row r="2">
      <c r="A2" t="inlineStr">
        <is>
          <t>前月の社会保険料は、1_手取りのB9（前月の給与）から各支部の料率で出し直した。通勤手当はない人とした</t>
        </is>
      </c>
    </row>
    <row r="4">
      <c r="A4" s="2" t="inlineStr">
        <is>
          <t>都道府県</t>
        </is>
      </c>
      <c r="B4" s="2" t="inlineStr">
        <is>
          <t>健康保険料率</t>
        </is>
      </c>
      <c r="C4" s="2" t="inlineStr">
        <is>
          <t>賞与の健康保険料</t>
        </is>
      </c>
      <c r="D4" s="2" t="inlineStr">
        <is>
          <t>支援金</t>
        </is>
      </c>
      <c r="E4" s="2" t="inlineStr">
        <is>
          <t>厚生年金</t>
        </is>
      </c>
      <c r="F4" s="2" t="inlineStr">
        <is>
          <t>雇用保険</t>
        </is>
      </c>
      <c r="G4" s="2" t="inlineStr">
        <is>
          <t>社会保険料の計</t>
        </is>
      </c>
      <c r="H4" s="2" t="inlineStr">
        <is>
          <t>前月の社会保険料等控除後</t>
        </is>
      </c>
      <c r="I4" s="2" t="inlineStr">
        <is>
          <t>計算のしかた</t>
        </is>
      </c>
      <c r="J4" s="2" t="inlineStr">
        <is>
          <t>率</t>
        </is>
      </c>
      <c r="K4" s="2" t="inlineStr">
        <is>
          <t>源泉所得税</t>
        </is>
      </c>
      <c r="L4" s="2" t="inlineStr">
        <is>
          <t>手取り</t>
        </is>
      </c>
      <c r="M4" s="2" t="inlineStr">
        <is>
          <t>いちばん多い手取りとの差</t>
        </is>
      </c>
      <c r="P4" s="13" t="inlineStr">
        <is>
          <t>前月の標準報酬月額</t>
        </is>
      </c>
      <c r="Q4" s="13" t="inlineStr">
        <is>
          <t>前月の社会保険料</t>
        </is>
      </c>
      <c r="S4" s="13" t="inlineStr">
        <is>
          <t>集計</t>
        </is>
      </c>
    </row>
    <row r="5">
      <c r="A5" s="3" t="inlineStr">
        <is>
          <t>北海道</t>
        </is>
      </c>
      <c r="B5" s="7">
        <f>INDEX(料率!$B$4:$B$50,MATCH($A5,料率!$A$4:$A$50,0))</f>
        <v/>
      </c>
      <c r="C5" s="5">
        <f>IF(ROUND('1_手取り'!$F$4*($B5+'1_手取り'!$F$7)/2,4)&lt;=0.5,0,ROUNDUP(ROUND('1_手取り'!$F$4*($B5+'1_手取り'!$F$7)/2,4)-0.5,0))</f>
        <v/>
      </c>
      <c r="D5" s="5">
        <f>'1_手取り'!$F$9</f>
        <v/>
      </c>
      <c r="E5" s="5">
        <f>'1_手取り'!$F$10</f>
        <v/>
      </c>
      <c r="F5" s="5">
        <f>'1_手取り'!$F$11</f>
        <v/>
      </c>
      <c r="G5" s="5">
        <f>SUM($C5:$F5)</f>
        <v/>
      </c>
      <c r="H5" s="5">
        <f>IF('1_手取り'!$B$8="なし",0,'1_手取り'!$B$9-$Q5)</f>
        <v/>
      </c>
      <c r="I5" s="8">
        <f>IF(OR('1_手取り'!$B$8="なし",$H5&lt;=0),"前月の給与なし",IF(('1_手取り'!$B$3-$G5)&gt;$H5*10,"10倍超","算出率の表"))</f>
        <v/>
      </c>
      <c r="J5" s="9">
        <f>IF($I5="算出率の表",INDEX(算出率!$A$4:$A$24,MATCH($H5,INDEX(算出率!$B$4:$I$24,0,'1_手取り'!$B$7+1),1)),"")</f>
        <v/>
      </c>
      <c r="K5" s="5">
        <f>IF($I5="算出率の表",ROUNDDOWN(ROUND(('1_手取り'!$B$3-$G5)*$J5,4),0),IF($I5="前月の給与なし",IF(ROUNDDOWN(('1_手取り'!$B$3-$G5)/'1_手取り'!$F$16,0)&lt;105000,0,IF(ROUNDDOWN(('1_手取り'!$B$3-$G5)/'1_手取り'!$F$16,0)&lt;740000,INDEX(月額表!$B$4:$I$234,MATCH(ROUNDDOWN(('1_手取り'!$B$3-$G5)/'1_手取り'!$F$16,0),月額表!$A$4:$A$234,1),'1_手取り'!$B$7+1),INDEX(月額表!$M$4:$T$12,MATCH(ROUNDDOWN(('1_手取り'!$B$3-$G5)/'1_手取り'!$F$16,0),月額表!$K$4:$K$12,1),'1_手取り'!$B$7+1)+ROUNDDOWN(ROUND((ROUNDDOWN(('1_手取り'!$B$3-$G5)/'1_手取り'!$F$16,0)-INDEX(月額表!$K$4:$K$12,MATCH(ROUNDDOWN(('1_手取り'!$B$3-$G5)/'1_手取り'!$F$16,0),月額表!$K$4:$K$12,1)))*INDEX(月額表!$L$4:$L$12,MATCH(ROUNDDOWN(('1_手取り'!$B$3-$G5)/'1_手取り'!$F$16,0),月額表!$K$4:$K$12,1)),4),0)))*'1_手取り'!$F$16,(IF((ROUNDDOWN(('1_手取り'!$B$3-$G5)/'1_手取り'!$F$16,0)+$H5)&lt;105000,0,IF((ROUNDDOWN(('1_手取り'!$B$3-$G5)/'1_手取り'!$F$16,0)+$H5)&lt;740000,INDEX(月額表!$B$4:$I$234,MATCH((ROUNDDOWN(('1_手取り'!$B$3-$G5)/'1_手取り'!$F$16,0)+$H5),月額表!$A$4:$A$234,1),'1_手取り'!$B$7+1),INDEX(月額表!$M$4:$T$12,MATCH((ROUNDDOWN(('1_手取り'!$B$3-$G5)/'1_手取り'!$F$16,0)+$H5),月額表!$K$4:$K$12,1),'1_手取り'!$B$7+1)+ROUNDDOWN(ROUND(((ROUNDDOWN(('1_手取り'!$B$3-$G5)/'1_手取り'!$F$16,0)+$H5)-INDEX(月額表!$K$4:$K$12,MATCH((ROUNDDOWN(('1_手取り'!$B$3-$G5)/'1_手取り'!$F$16,0)+$H5),月額表!$K$4:$K$12,1)))*INDEX(月額表!$L$4:$L$12,MATCH((ROUNDDOWN(('1_手取り'!$B$3-$G5)/'1_手取り'!$F$16,0)+$H5),月額表!$K$4:$K$12,1)),4),0)))-IF($H5&lt;105000,0,IF($H5&lt;740000,INDEX(月額表!$B$4:$I$234,MATCH($H5,月額表!$A$4:$A$234,1),'1_手取り'!$B$7+1),INDEX(月額表!$M$4:$T$12,MATCH($H5,月額表!$K$4:$K$12,1),'1_手取り'!$B$7+1)+ROUNDDOWN(ROUND(($H5-INDEX(月額表!$K$4:$K$12,MATCH($H5,月額表!$K$4:$K$12,1)))*INDEX(月額表!$L$4:$L$12,MATCH($H5,月額表!$K$4:$K$12,1)),4),0))))*'1_手取り'!$F$16))</f>
        <v/>
      </c>
      <c r="L5" s="5">
        <f>'1_手取り'!$B$3-$G5-$K5</f>
        <v/>
      </c>
      <c r="M5" s="12">
        <f>$L5-MAX($L$5:$L$51)</f>
        <v/>
      </c>
      <c r="P5" s="5">
        <f>IF('1_手取り'!$B$8="なし","",INDEX(標準報酬!$B$4:$B$53,MATCH('1_手取り'!$B$9,標準報酬!$A$4:$A$53,1)))</f>
        <v/>
      </c>
      <c r="Q5" s="5">
        <f>IF($P5="",0,IF(ROUND($P5*($B5+'1_手取り'!$F$7)/2,4)&lt;=0.5,0,ROUNDUP(ROUND($P5*($B5+'1_手取り'!$F$7)/2,4)-0.5,0))+IF(ROUND($P5*料率!$E$5/2,4)&lt;=0.5,0,ROUNDUP(ROUND($P5*料率!$E$5/2,4)-0.5,0))+IF(ROUND(MIN(MAX($P5,88000),650000)*料率!$E$6/2,4)&lt;=0.5,0,ROUNDUP(ROUND(MIN(MAX($P5,88000),650000)*料率!$E$6/2,4)-0.5,0))+IF(ROUND('1_手取り'!$B$9*INDEX(料率!$E$8:$E$10,MATCH('1_手取り'!$B$6,料率!$D$8:$D$10,0)),4)&lt;=0.5,0,ROUNDUP(ROUND('1_手取り'!$B$9*INDEX(料率!$E$8:$E$10,MATCH('1_手取り'!$B$6,料率!$D$8:$D$10,0)),4)-0.5,0)))</f>
        <v/>
      </c>
      <c r="S5" s="3" t="inlineStr">
        <is>
          <t>いちばん多い手取り</t>
        </is>
      </c>
      <c r="T5" s="5">
        <f>MAX($L$5:$L$51)</f>
        <v/>
      </c>
    </row>
    <row r="6">
      <c r="A6" s="3" t="inlineStr">
        <is>
          <t>青森県</t>
        </is>
      </c>
      <c r="B6" s="7">
        <f>INDEX(料率!$B$4:$B$50,MATCH($A6,料率!$A$4:$A$50,0))</f>
        <v/>
      </c>
      <c r="C6" s="5">
        <f>IF(ROUND('1_手取り'!$F$4*($B6+'1_手取り'!$F$7)/2,4)&lt;=0.5,0,ROUNDUP(ROUND('1_手取り'!$F$4*($B6+'1_手取り'!$F$7)/2,4)-0.5,0))</f>
        <v/>
      </c>
      <c r="D6" s="5">
        <f>'1_手取り'!$F$9</f>
        <v/>
      </c>
      <c r="E6" s="5">
        <f>'1_手取り'!$F$10</f>
        <v/>
      </c>
      <c r="F6" s="5">
        <f>'1_手取り'!$F$11</f>
        <v/>
      </c>
      <c r="G6" s="5">
        <f>SUM($C6:$F6)</f>
        <v/>
      </c>
      <c r="H6" s="5">
        <f>IF('1_手取り'!$B$8="なし",0,'1_手取り'!$B$9-$Q6)</f>
        <v/>
      </c>
      <c r="I6" s="8">
        <f>IF(OR('1_手取り'!$B$8="なし",$H6&lt;=0),"前月の給与なし",IF(('1_手取り'!$B$3-$G6)&gt;$H6*10,"10倍超","算出率の表"))</f>
        <v/>
      </c>
      <c r="J6" s="9">
        <f>IF($I6="算出率の表",INDEX(算出率!$A$4:$A$24,MATCH($H6,INDEX(算出率!$B$4:$I$24,0,'1_手取り'!$B$7+1),1)),"")</f>
        <v/>
      </c>
      <c r="K6" s="5">
        <f>IF($I6="算出率の表",ROUNDDOWN(ROUND(('1_手取り'!$B$3-$G6)*$J6,4),0),IF($I6="前月の給与なし",IF(ROUNDDOWN(('1_手取り'!$B$3-$G6)/'1_手取り'!$F$16,0)&lt;105000,0,IF(ROUNDDOWN(('1_手取り'!$B$3-$G6)/'1_手取り'!$F$16,0)&lt;740000,INDEX(月額表!$B$4:$I$234,MATCH(ROUNDDOWN(('1_手取り'!$B$3-$G6)/'1_手取り'!$F$16,0),月額表!$A$4:$A$234,1),'1_手取り'!$B$7+1),INDEX(月額表!$M$4:$T$12,MATCH(ROUNDDOWN(('1_手取り'!$B$3-$G6)/'1_手取り'!$F$16,0),月額表!$K$4:$K$12,1),'1_手取り'!$B$7+1)+ROUNDDOWN(ROUND((ROUNDDOWN(('1_手取り'!$B$3-$G6)/'1_手取り'!$F$16,0)-INDEX(月額表!$K$4:$K$12,MATCH(ROUNDDOWN(('1_手取り'!$B$3-$G6)/'1_手取り'!$F$16,0),月額表!$K$4:$K$12,1)))*INDEX(月額表!$L$4:$L$12,MATCH(ROUNDDOWN(('1_手取り'!$B$3-$G6)/'1_手取り'!$F$16,0),月額表!$K$4:$K$12,1)),4),0)))*'1_手取り'!$F$16,(IF((ROUNDDOWN(('1_手取り'!$B$3-$G6)/'1_手取り'!$F$16,0)+$H6)&lt;105000,0,IF((ROUNDDOWN(('1_手取り'!$B$3-$G6)/'1_手取り'!$F$16,0)+$H6)&lt;740000,INDEX(月額表!$B$4:$I$234,MATCH((ROUNDDOWN(('1_手取り'!$B$3-$G6)/'1_手取り'!$F$16,0)+$H6),月額表!$A$4:$A$234,1),'1_手取り'!$B$7+1),INDEX(月額表!$M$4:$T$12,MATCH((ROUNDDOWN(('1_手取り'!$B$3-$G6)/'1_手取り'!$F$16,0)+$H6),月額表!$K$4:$K$12,1),'1_手取り'!$B$7+1)+ROUNDDOWN(ROUND(((ROUNDDOWN(('1_手取り'!$B$3-$G6)/'1_手取り'!$F$16,0)+$H6)-INDEX(月額表!$K$4:$K$12,MATCH((ROUNDDOWN(('1_手取り'!$B$3-$G6)/'1_手取り'!$F$16,0)+$H6),月額表!$K$4:$K$12,1)))*INDEX(月額表!$L$4:$L$12,MATCH((ROUNDDOWN(('1_手取り'!$B$3-$G6)/'1_手取り'!$F$16,0)+$H6),月額表!$K$4:$K$12,1)),4),0)))-IF($H6&lt;105000,0,IF($H6&lt;740000,INDEX(月額表!$B$4:$I$234,MATCH($H6,月額表!$A$4:$A$234,1),'1_手取り'!$B$7+1),INDEX(月額表!$M$4:$T$12,MATCH($H6,月額表!$K$4:$K$12,1),'1_手取り'!$B$7+1)+ROUNDDOWN(ROUND(($H6-INDEX(月額表!$K$4:$K$12,MATCH($H6,月額表!$K$4:$K$12,1)))*INDEX(月額表!$L$4:$L$12,MATCH($H6,月額表!$K$4:$K$12,1)),4),0))))*'1_手取り'!$F$16))</f>
        <v/>
      </c>
      <c r="L6" s="5">
        <f>'1_手取り'!$B$3-$G6-$K6</f>
        <v/>
      </c>
      <c r="M6" s="12">
        <f>$L6-MAX($L$5:$L$51)</f>
        <v/>
      </c>
      <c r="P6" s="5">
        <f>IF('1_手取り'!$B$8="なし","",INDEX(標準報酬!$B$4:$B$53,MATCH('1_手取り'!$B$9,標準報酬!$A$4:$A$53,1)))</f>
        <v/>
      </c>
      <c r="Q6" s="5">
        <f>IF($P6="",0,IF(ROUND($P6*($B6+'1_手取り'!$F$7)/2,4)&lt;=0.5,0,ROUNDUP(ROUND($P6*($B6+'1_手取り'!$F$7)/2,4)-0.5,0))+IF(ROUND($P6*料率!$E$5/2,4)&lt;=0.5,0,ROUNDUP(ROUND($P6*料率!$E$5/2,4)-0.5,0))+IF(ROUND(MIN(MAX($P6,88000),650000)*料率!$E$6/2,4)&lt;=0.5,0,ROUNDUP(ROUND(MIN(MAX($P6,88000),650000)*料率!$E$6/2,4)-0.5,0))+IF(ROUND('1_手取り'!$B$9*INDEX(料率!$E$8:$E$10,MATCH('1_手取り'!$B$6,料率!$D$8:$D$10,0)),4)&lt;=0.5,0,ROUNDUP(ROUND('1_手取り'!$B$9*INDEX(料率!$E$8:$E$10,MATCH('1_手取り'!$B$6,料率!$D$8:$D$10,0)),4)-0.5,0)))</f>
        <v/>
      </c>
      <c r="S6" s="3" t="inlineStr">
        <is>
          <t>その都道府県</t>
        </is>
      </c>
      <c r="T6" s="5">
        <f>INDEX($A$5:$A$51,MATCH(MAX($L$5:$L$51),$L$5:$L$51,0))</f>
        <v/>
      </c>
    </row>
    <row r="7">
      <c r="A7" s="3" t="inlineStr">
        <is>
          <t>岩手県</t>
        </is>
      </c>
      <c r="B7" s="7">
        <f>INDEX(料率!$B$4:$B$50,MATCH($A7,料率!$A$4:$A$50,0))</f>
        <v/>
      </c>
      <c r="C7" s="5">
        <f>IF(ROUND('1_手取り'!$F$4*($B7+'1_手取り'!$F$7)/2,4)&lt;=0.5,0,ROUNDUP(ROUND('1_手取り'!$F$4*($B7+'1_手取り'!$F$7)/2,4)-0.5,0))</f>
        <v/>
      </c>
      <c r="D7" s="5">
        <f>'1_手取り'!$F$9</f>
        <v/>
      </c>
      <c r="E7" s="5">
        <f>'1_手取り'!$F$10</f>
        <v/>
      </c>
      <c r="F7" s="5">
        <f>'1_手取り'!$F$11</f>
        <v/>
      </c>
      <c r="G7" s="5">
        <f>SUM($C7:$F7)</f>
        <v/>
      </c>
      <c r="H7" s="5">
        <f>IF('1_手取り'!$B$8="なし",0,'1_手取り'!$B$9-$Q7)</f>
        <v/>
      </c>
      <c r="I7" s="8">
        <f>IF(OR('1_手取り'!$B$8="なし",$H7&lt;=0),"前月の給与なし",IF(('1_手取り'!$B$3-$G7)&gt;$H7*10,"10倍超","算出率の表"))</f>
        <v/>
      </c>
      <c r="J7" s="9">
        <f>IF($I7="算出率の表",INDEX(算出率!$A$4:$A$24,MATCH($H7,INDEX(算出率!$B$4:$I$24,0,'1_手取り'!$B$7+1),1)),"")</f>
        <v/>
      </c>
      <c r="K7" s="5">
        <f>IF($I7="算出率の表",ROUNDDOWN(ROUND(('1_手取り'!$B$3-$G7)*$J7,4),0),IF($I7="前月の給与なし",IF(ROUNDDOWN(('1_手取り'!$B$3-$G7)/'1_手取り'!$F$16,0)&lt;105000,0,IF(ROUNDDOWN(('1_手取り'!$B$3-$G7)/'1_手取り'!$F$16,0)&lt;740000,INDEX(月額表!$B$4:$I$234,MATCH(ROUNDDOWN(('1_手取り'!$B$3-$G7)/'1_手取り'!$F$16,0),月額表!$A$4:$A$234,1),'1_手取り'!$B$7+1),INDEX(月額表!$M$4:$T$12,MATCH(ROUNDDOWN(('1_手取り'!$B$3-$G7)/'1_手取り'!$F$16,0),月額表!$K$4:$K$12,1),'1_手取り'!$B$7+1)+ROUNDDOWN(ROUND((ROUNDDOWN(('1_手取り'!$B$3-$G7)/'1_手取り'!$F$16,0)-INDEX(月額表!$K$4:$K$12,MATCH(ROUNDDOWN(('1_手取り'!$B$3-$G7)/'1_手取り'!$F$16,0),月額表!$K$4:$K$12,1)))*INDEX(月額表!$L$4:$L$12,MATCH(ROUNDDOWN(('1_手取り'!$B$3-$G7)/'1_手取り'!$F$16,0),月額表!$K$4:$K$12,1)),4),0)))*'1_手取り'!$F$16,(IF((ROUNDDOWN(('1_手取り'!$B$3-$G7)/'1_手取り'!$F$16,0)+$H7)&lt;105000,0,IF((ROUNDDOWN(('1_手取り'!$B$3-$G7)/'1_手取り'!$F$16,0)+$H7)&lt;740000,INDEX(月額表!$B$4:$I$234,MATCH((ROUNDDOWN(('1_手取り'!$B$3-$G7)/'1_手取り'!$F$16,0)+$H7),月額表!$A$4:$A$234,1),'1_手取り'!$B$7+1),INDEX(月額表!$M$4:$T$12,MATCH((ROUNDDOWN(('1_手取り'!$B$3-$G7)/'1_手取り'!$F$16,0)+$H7),月額表!$K$4:$K$12,1),'1_手取り'!$B$7+1)+ROUNDDOWN(ROUND(((ROUNDDOWN(('1_手取り'!$B$3-$G7)/'1_手取り'!$F$16,0)+$H7)-INDEX(月額表!$K$4:$K$12,MATCH((ROUNDDOWN(('1_手取り'!$B$3-$G7)/'1_手取り'!$F$16,0)+$H7),月額表!$K$4:$K$12,1)))*INDEX(月額表!$L$4:$L$12,MATCH((ROUNDDOWN(('1_手取り'!$B$3-$G7)/'1_手取り'!$F$16,0)+$H7),月額表!$K$4:$K$12,1)),4),0)))-IF($H7&lt;105000,0,IF($H7&lt;740000,INDEX(月額表!$B$4:$I$234,MATCH($H7,月額表!$A$4:$A$234,1),'1_手取り'!$B$7+1),INDEX(月額表!$M$4:$T$12,MATCH($H7,月額表!$K$4:$K$12,1),'1_手取り'!$B$7+1)+ROUNDDOWN(ROUND(($H7-INDEX(月額表!$K$4:$K$12,MATCH($H7,月額表!$K$4:$K$12,1)))*INDEX(月額表!$L$4:$L$12,MATCH($H7,月額表!$K$4:$K$12,1)),4),0))))*'1_手取り'!$F$16))</f>
        <v/>
      </c>
      <c r="L7" s="5">
        <f>'1_手取り'!$B$3-$G7-$K7</f>
        <v/>
      </c>
      <c r="M7" s="12">
        <f>$L7-MAX($L$5:$L$51)</f>
        <v/>
      </c>
      <c r="P7" s="5">
        <f>IF('1_手取り'!$B$8="なし","",INDEX(標準報酬!$B$4:$B$53,MATCH('1_手取り'!$B$9,標準報酬!$A$4:$A$53,1)))</f>
        <v/>
      </c>
      <c r="Q7" s="5">
        <f>IF($P7="",0,IF(ROUND($P7*($B7+'1_手取り'!$F$7)/2,4)&lt;=0.5,0,ROUNDUP(ROUND($P7*($B7+'1_手取り'!$F$7)/2,4)-0.5,0))+IF(ROUND($P7*料率!$E$5/2,4)&lt;=0.5,0,ROUNDUP(ROUND($P7*料率!$E$5/2,4)-0.5,0))+IF(ROUND(MIN(MAX($P7,88000),650000)*料率!$E$6/2,4)&lt;=0.5,0,ROUNDUP(ROUND(MIN(MAX($P7,88000),650000)*料率!$E$6/2,4)-0.5,0))+IF(ROUND('1_手取り'!$B$9*INDEX(料率!$E$8:$E$10,MATCH('1_手取り'!$B$6,料率!$D$8:$D$10,0)),4)&lt;=0.5,0,ROUNDUP(ROUND('1_手取り'!$B$9*INDEX(料率!$E$8:$E$10,MATCH('1_手取り'!$B$6,料率!$D$8:$D$10,0)),4)-0.5,0)))</f>
        <v/>
      </c>
      <c r="S7" s="3" t="inlineStr">
        <is>
          <t>いちばん少ない手取り</t>
        </is>
      </c>
      <c r="T7" s="5">
        <f>MIN($L$5:$L$51)</f>
        <v/>
      </c>
    </row>
    <row r="8">
      <c r="A8" s="3" t="inlineStr">
        <is>
          <t>宮城県</t>
        </is>
      </c>
      <c r="B8" s="7">
        <f>INDEX(料率!$B$4:$B$50,MATCH($A8,料率!$A$4:$A$50,0))</f>
        <v/>
      </c>
      <c r="C8" s="5">
        <f>IF(ROUND('1_手取り'!$F$4*($B8+'1_手取り'!$F$7)/2,4)&lt;=0.5,0,ROUNDUP(ROUND('1_手取り'!$F$4*($B8+'1_手取り'!$F$7)/2,4)-0.5,0))</f>
        <v/>
      </c>
      <c r="D8" s="5">
        <f>'1_手取り'!$F$9</f>
        <v/>
      </c>
      <c r="E8" s="5">
        <f>'1_手取り'!$F$10</f>
        <v/>
      </c>
      <c r="F8" s="5">
        <f>'1_手取り'!$F$11</f>
        <v/>
      </c>
      <c r="G8" s="5">
        <f>SUM($C8:$F8)</f>
        <v/>
      </c>
      <c r="H8" s="5">
        <f>IF('1_手取り'!$B$8="なし",0,'1_手取り'!$B$9-$Q8)</f>
        <v/>
      </c>
      <c r="I8" s="8">
        <f>IF(OR('1_手取り'!$B$8="なし",$H8&lt;=0),"前月の給与なし",IF(('1_手取り'!$B$3-$G8)&gt;$H8*10,"10倍超","算出率の表"))</f>
        <v/>
      </c>
      <c r="J8" s="9">
        <f>IF($I8="算出率の表",INDEX(算出率!$A$4:$A$24,MATCH($H8,INDEX(算出率!$B$4:$I$24,0,'1_手取り'!$B$7+1),1)),"")</f>
        <v/>
      </c>
      <c r="K8" s="5">
        <f>IF($I8="算出率の表",ROUNDDOWN(ROUND(('1_手取り'!$B$3-$G8)*$J8,4),0),IF($I8="前月の給与なし",IF(ROUNDDOWN(('1_手取り'!$B$3-$G8)/'1_手取り'!$F$16,0)&lt;105000,0,IF(ROUNDDOWN(('1_手取り'!$B$3-$G8)/'1_手取り'!$F$16,0)&lt;740000,INDEX(月額表!$B$4:$I$234,MATCH(ROUNDDOWN(('1_手取り'!$B$3-$G8)/'1_手取り'!$F$16,0),月額表!$A$4:$A$234,1),'1_手取り'!$B$7+1),INDEX(月額表!$M$4:$T$12,MATCH(ROUNDDOWN(('1_手取り'!$B$3-$G8)/'1_手取り'!$F$16,0),月額表!$K$4:$K$12,1),'1_手取り'!$B$7+1)+ROUNDDOWN(ROUND((ROUNDDOWN(('1_手取り'!$B$3-$G8)/'1_手取り'!$F$16,0)-INDEX(月額表!$K$4:$K$12,MATCH(ROUNDDOWN(('1_手取り'!$B$3-$G8)/'1_手取り'!$F$16,0),月額表!$K$4:$K$12,1)))*INDEX(月額表!$L$4:$L$12,MATCH(ROUNDDOWN(('1_手取り'!$B$3-$G8)/'1_手取り'!$F$16,0),月額表!$K$4:$K$12,1)),4),0)))*'1_手取り'!$F$16,(IF((ROUNDDOWN(('1_手取り'!$B$3-$G8)/'1_手取り'!$F$16,0)+$H8)&lt;105000,0,IF((ROUNDDOWN(('1_手取り'!$B$3-$G8)/'1_手取り'!$F$16,0)+$H8)&lt;740000,INDEX(月額表!$B$4:$I$234,MATCH((ROUNDDOWN(('1_手取り'!$B$3-$G8)/'1_手取り'!$F$16,0)+$H8),月額表!$A$4:$A$234,1),'1_手取り'!$B$7+1),INDEX(月額表!$M$4:$T$12,MATCH((ROUNDDOWN(('1_手取り'!$B$3-$G8)/'1_手取り'!$F$16,0)+$H8),月額表!$K$4:$K$12,1),'1_手取り'!$B$7+1)+ROUNDDOWN(ROUND(((ROUNDDOWN(('1_手取り'!$B$3-$G8)/'1_手取り'!$F$16,0)+$H8)-INDEX(月額表!$K$4:$K$12,MATCH((ROUNDDOWN(('1_手取り'!$B$3-$G8)/'1_手取り'!$F$16,0)+$H8),月額表!$K$4:$K$12,1)))*INDEX(月額表!$L$4:$L$12,MATCH((ROUNDDOWN(('1_手取り'!$B$3-$G8)/'1_手取り'!$F$16,0)+$H8),月額表!$K$4:$K$12,1)),4),0)))-IF($H8&lt;105000,0,IF($H8&lt;740000,INDEX(月額表!$B$4:$I$234,MATCH($H8,月額表!$A$4:$A$234,1),'1_手取り'!$B$7+1),INDEX(月額表!$M$4:$T$12,MATCH($H8,月額表!$K$4:$K$12,1),'1_手取り'!$B$7+1)+ROUNDDOWN(ROUND(($H8-INDEX(月額表!$K$4:$K$12,MATCH($H8,月額表!$K$4:$K$12,1)))*INDEX(月額表!$L$4:$L$12,MATCH($H8,月額表!$K$4:$K$12,1)),4),0))))*'1_手取り'!$F$16))</f>
        <v/>
      </c>
      <c r="L8" s="5">
        <f>'1_手取り'!$B$3-$G8-$K8</f>
        <v/>
      </c>
      <c r="M8" s="12">
        <f>$L8-MAX($L$5:$L$51)</f>
        <v/>
      </c>
      <c r="P8" s="5">
        <f>IF('1_手取り'!$B$8="なし","",INDEX(標準報酬!$B$4:$B$53,MATCH('1_手取り'!$B$9,標準報酬!$A$4:$A$53,1)))</f>
        <v/>
      </c>
      <c r="Q8" s="5">
        <f>IF($P8="",0,IF(ROUND($P8*($B8+'1_手取り'!$F$7)/2,4)&lt;=0.5,0,ROUNDUP(ROUND($P8*($B8+'1_手取り'!$F$7)/2,4)-0.5,0))+IF(ROUND($P8*料率!$E$5/2,4)&lt;=0.5,0,ROUNDUP(ROUND($P8*料率!$E$5/2,4)-0.5,0))+IF(ROUND(MIN(MAX($P8,88000),650000)*料率!$E$6/2,4)&lt;=0.5,0,ROUNDUP(ROUND(MIN(MAX($P8,88000),650000)*料率!$E$6/2,4)-0.5,0))+IF(ROUND('1_手取り'!$B$9*INDEX(料率!$E$8:$E$10,MATCH('1_手取り'!$B$6,料率!$D$8:$D$10,0)),4)&lt;=0.5,0,ROUNDUP(ROUND('1_手取り'!$B$9*INDEX(料率!$E$8:$E$10,MATCH('1_手取り'!$B$6,料率!$D$8:$D$10,0)),4)-0.5,0)))</f>
        <v/>
      </c>
      <c r="S8" s="3" t="inlineStr">
        <is>
          <t>その都道府県</t>
        </is>
      </c>
      <c r="T8" s="5">
        <f>INDEX($A$5:$A$51,MATCH(MIN($L$5:$L$51),$L$5:$L$51,0))</f>
        <v/>
      </c>
    </row>
    <row r="9">
      <c r="A9" s="3" t="inlineStr">
        <is>
          <t>秋田県</t>
        </is>
      </c>
      <c r="B9" s="7">
        <f>INDEX(料率!$B$4:$B$50,MATCH($A9,料率!$A$4:$A$50,0))</f>
        <v/>
      </c>
      <c r="C9" s="5">
        <f>IF(ROUND('1_手取り'!$F$4*($B9+'1_手取り'!$F$7)/2,4)&lt;=0.5,0,ROUNDUP(ROUND('1_手取り'!$F$4*($B9+'1_手取り'!$F$7)/2,4)-0.5,0))</f>
        <v/>
      </c>
      <c r="D9" s="5">
        <f>'1_手取り'!$F$9</f>
        <v/>
      </c>
      <c r="E9" s="5">
        <f>'1_手取り'!$F$10</f>
        <v/>
      </c>
      <c r="F9" s="5">
        <f>'1_手取り'!$F$11</f>
        <v/>
      </c>
      <c r="G9" s="5">
        <f>SUM($C9:$F9)</f>
        <v/>
      </c>
      <c r="H9" s="5">
        <f>IF('1_手取り'!$B$8="なし",0,'1_手取り'!$B$9-$Q9)</f>
        <v/>
      </c>
      <c r="I9" s="8">
        <f>IF(OR('1_手取り'!$B$8="なし",$H9&lt;=0),"前月の給与なし",IF(('1_手取り'!$B$3-$G9)&gt;$H9*10,"10倍超","算出率の表"))</f>
        <v/>
      </c>
      <c r="J9" s="9">
        <f>IF($I9="算出率の表",INDEX(算出率!$A$4:$A$24,MATCH($H9,INDEX(算出率!$B$4:$I$24,0,'1_手取り'!$B$7+1),1)),"")</f>
        <v/>
      </c>
      <c r="K9" s="5">
        <f>IF($I9="算出率の表",ROUNDDOWN(ROUND(('1_手取り'!$B$3-$G9)*$J9,4),0),IF($I9="前月の給与なし",IF(ROUNDDOWN(('1_手取り'!$B$3-$G9)/'1_手取り'!$F$16,0)&lt;105000,0,IF(ROUNDDOWN(('1_手取り'!$B$3-$G9)/'1_手取り'!$F$16,0)&lt;740000,INDEX(月額表!$B$4:$I$234,MATCH(ROUNDDOWN(('1_手取り'!$B$3-$G9)/'1_手取り'!$F$16,0),月額表!$A$4:$A$234,1),'1_手取り'!$B$7+1),INDEX(月額表!$M$4:$T$12,MATCH(ROUNDDOWN(('1_手取り'!$B$3-$G9)/'1_手取り'!$F$16,0),月額表!$K$4:$K$12,1),'1_手取り'!$B$7+1)+ROUNDDOWN(ROUND((ROUNDDOWN(('1_手取り'!$B$3-$G9)/'1_手取り'!$F$16,0)-INDEX(月額表!$K$4:$K$12,MATCH(ROUNDDOWN(('1_手取り'!$B$3-$G9)/'1_手取り'!$F$16,0),月額表!$K$4:$K$12,1)))*INDEX(月額表!$L$4:$L$12,MATCH(ROUNDDOWN(('1_手取り'!$B$3-$G9)/'1_手取り'!$F$16,0),月額表!$K$4:$K$12,1)),4),0)))*'1_手取り'!$F$16,(IF((ROUNDDOWN(('1_手取り'!$B$3-$G9)/'1_手取り'!$F$16,0)+$H9)&lt;105000,0,IF((ROUNDDOWN(('1_手取り'!$B$3-$G9)/'1_手取り'!$F$16,0)+$H9)&lt;740000,INDEX(月額表!$B$4:$I$234,MATCH((ROUNDDOWN(('1_手取り'!$B$3-$G9)/'1_手取り'!$F$16,0)+$H9),月額表!$A$4:$A$234,1),'1_手取り'!$B$7+1),INDEX(月額表!$M$4:$T$12,MATCH((ROUNDDOWN(('1_手取り'!$B$3-$G9)/'1_手取り'!$F$16,0)+$H9),月額表!$K$4:$K$12,1),'1_手取り'!$B$7+1)+ROUNDDOWN(ROUND(((ROUNDDOWN(('1_手取り'!$B$3-$G9)/'1_手取り'!$F$16,0)+$H9)-INDEX(月額表!$K$4:$K$12,MATCH((ROUNDDOWN(('1_手取り'!$B$3-$G9)/'1_手取り'!$F$16,0)+$H9),月額表!$K$4:$K$12,1)))*INDEX(月額表!$L$4:$L$12,MATCH((ROUNDDOWN(('1_手取り'!$B$3-$G9)/'1_手取り'!$F$16,0)+$H9),月額表!$K$4:$K$12,1)),4),0)))-IF($H9&lt;105000,0,IF($H9&lt;740000,INDEX(月額表!$B$4:$I$234,MATCH($H9,月額表!$A$4:$A$234,1),'1_手取り'!$B$7+1),INDEX(月額表!$M$4:$T$12,MATCH($H9,月額表!$K$4:$K$12,1),'1_手取り'!$B$7+1)+ROUNDDOWN(ROUND(($H9-INDEX(月額表!$K$4:$K$12,MATCH($H9,月額表!$K$4:$K$12,1)))*INDEX(月額表!$L$4:$L$12,MATCH($H9,月額表!$K$4:$K$12,1)),4),0))))*'1_手取り'!$F$16))</f>
        <v/>
      </c>
      <c r="L9" s="5">
        <f>'1_手取り'!$B$3-$G9-$K9</f>
        <v/>
      </c>
      <c r="M9" s="12">
        <f>$L9-MAX($L$5:$L$51)</f>
        <v/>
      </c>
      <c r="P9" s="5">
        <f>IF('1_手取り'!$B$8="なし","",INDEX(標準報酬!$B$4:$B$53,MATCH('1_手取り'!$B$9,標準報酬!$A$4:$A$53,1)))</f>
        <v/>
      </c>
      <c r="Q9" s="5">
        <f>IF($P9="",0,IF(ROUND($P9*($B9+'1_手取り'!$F$7)/2,4)&lt;=0.5,0,ROUNDUP(ROUND($P9*($B9+'1_手取り'!$F$7)/2,4)-0.5,0))+IF(ROUND($P9*料率!$E$5/2,4)&lt;=0.5,0,ROUNDUP(ROUND($P9*料率!$E$5/2,4)-0.5,0))+IF(ROUND(MIN(MAX($P9,88000),650000)*料率!$E$6/2,4)&lt;=0.5,0,ROUNDUP(ROUND(MIN(MAX($P9,88000),650000)*料率!$E$6/2,4)-0.5,0))+IF(ROUND('1_手取り'!$B$9*INDEX(料率!$E$8:$E$10,MATCH('1_手取り'!$B$6,料率!$D$8:$D$10,0)),4)&lt;=0.5,0,ROUNDUP(ROUND('1_手取り'!$B$9*INDEX(料率!$E$8:$E$10,MATCH('1_手取り'!$B$6,料率!$D$8:$D$10,0)),4)-0.5,0)))</f>
        <v/>
      </c>
      <c r="S9" s="3" t="inlineStr">
        <is>
          <t>差</t>
        </is>
      </c>
      <c r="T9" s="5">
        <f>MAX($L$5:$L$51)-MIN($L$5:$L$51)</f>
        <v/>
      </c>
    </row>
    <row r="10">
      <c r="A10" s="3" t="inlineStr">
        <is>
          <t>山形県</t>
        </is>
      </c>
      <c r="B10" s="7">
        <f>INDEX(料率!$B$4:$B$50,MATCH($A10,料率!$A$4:$A$50,0))</f>
        <v/>
      </c>
      <c r="C10" s="5">
        <f>IF(ROUND('1_手取り'!$F$4*($B10+'1_手取り'!$F$7)/2,4)&lt;=0.5,0,ROUNDUP(ROUND('1_手取り'!$F$4*($B10+'1_手取り'!$F$7)/2,4)-0.5,0))</f>
        <v/>
      </c>
      <c r="D10" s="5">
        <f>'1_手取り'!$F$9</f>
        <v/>
      </c>
      <c r="E10" s="5">
        <f>'1_手取り'!$F$10</f>
        <v/>
      </c>
      <c r="F10" s="5">
        <f>'1_手取り'!$F$11</f>
        <v/>
      </c>
      <c r="G10" s="5">
        <f>SUM($C10:$F10)</f>
        <v/>
      </c>
      <c r="H10" s="5">
        <f>IF('1_手取り'!$B$8="なし",0,'1_手取り'!$B$9-$Q10)</f>
        <v/>
      </c>
      <c r="I10" s="8">
        <f>IF(OR('1_手取り'!$B$8="なし",$H10&lt;=0),"前月の給与なし",IF(('1_手取り'!$B$3-$G10)&gt;$H10*10,"10倍超","算出率の表"))</f>
        <v/>
      </c>
      <c r="J10" s="9">
        <f>IF($I10="算出率の表",INDEX(算出率!$A$4:$A$24,MATCH($H10,INDEX(算出率!$B$4:$I$24,0,'1_手取り'!$B$7+1),1)),"")</f>
        <v/>
      </c>
      <c r="K10" s="5">
        <f>IF($I10="算出率の表",ROUNDDOWN(ROUND(('1_手取り'!$B$3-$G10)*$J10,4),0),IF($I10="前月の給与なし",IF(ROUNDDOWN(('1_手取り'!$B$3-$G10)/'1_手取り'!$F$16,0)&lt;105000,0,IF(ROUNDDOWN(('1_手取り'!$B$3-$G10)/'1_手取り'!$F$16,0)&lt;740000,INDEX(月額表!$B$4:$I$234,MATCH(ROUNDDOWN(('1_手取り'!$B$3-$G10)/'1_手取り'!$F$16,0),月額表!$A$4:$A$234,1),'1_手取り'!$B$7+1),INDEX(月額表!$M$4:$T$12,MATCH(ROUNDDOWN(('1_手取り'!$B$3-$G10)/'1_手取り'!$F$16,0),月額表!$K$4:$K$12,1),'1_手取り'!$B$7+1)+ROUNDDOWN(ROUND((ROUNDDOWN(('1_手取り'!$B$3-$G10)/'1_手取り'!$F$16,0)-INDEX(月額表!$K$4:$K$12,MATCH(ROUNDDOWN(('1_手取り'!$B$3-$G10)/'1_手取り'!$F$16,0),月額表!$K$4:$K$12,1)))*INDEX(月額表!$L$4:$L$12,MATCH(ROUNDDOWN(('1_手取り'!$B$3-$G10)/'1_手取り'!$F$16,0),月額表!$K$4:$K$12,1)),4),0)))*'1_手取り'!$F$16,(IF((ROUNDDOWN(('1_手取り'!$B$3-$G10)/'1_手取り'!$F$16,0)+$H10)&lt;105000,0,IF((ROUNDDOWN(('1_手取り'!$B$3-$G10)/'1_手取り'!$F$16,0)+$H10)&lt;740000,INDEX(月額表!$B$4:$I$234,MATCH((ROUNDDOWN(('1_手取り'!$B$3-$G10)/'1_手取り'!$F$16,0)+$H10),月額表!$A$4:$A$234,1),'1_手取り'!$B$7+1),INDEX(月額表!$M$4:$T$12,MATCH((ROUNDDOWN(('1_手取り'!$B$3-$G10)/'1_手取り'!$F$16,0)+$H10),月額表!$K$4:$K$12,1),'1_手取り'!$B$7+1)+ROUNDDOWN(ROUND(((ROUNDDOWN(('1_手取り'!$B$3-$G10)/'1_手取り'!$F$16,0)+$H10)-INDEX(月額表!$K$4:$K$12,MATCH((ROUNDDOWN(('1_手取り'!$B$3-$G10)/'1_手取り'!$F$16,0)+$H10),月額表!$K$4:$K$12,1)))*INDEX(月額表!$L$4:$L$12,MATCH((ROUNDDOWN(('1_手取り'!$B$3-$G10)/'1_手取り'!$F$16,0)+$H10),月額表!$K$4:$K$12,1)),4),0)))-IF($H10&lt;105000,0,IF($H10&lt;740000,INDEX(月額表!$B$4:$I$234,MATCH($H10,月額表!$A$4:$A$234,1),'1_手取り'!$B$7+1),INDEX(月額表!$M$4:$T$12,MATCH($H10,月額表!$K$4:$K$12,1),'1_手取り'!$B$7+1)+ROUNDDOWN(ROUND(($H10-INDEX(月額表!$K$4:$K$12,MATCH($H10,月額表!$K$4:$K$12,1)))*INDEX(月額表!$L$4:$L$12,MATCH($H10,月額表!$K$4:$K$12,1)),4),0))))*'1_手取り'!$F$16))</f>
        <v/>
      </c>
      <c r="L10" s="5">
        <f>'1_手取り'!$B$3-$G10-$K10</f>
        <v/>
      </c>
      <c r="M10" s="12">
        <f>$L10-MAX($L$5:$L$51)</f>
        <v/>
      </c>
      <c r="P10" s="5">
        <f>IF('1_手取り'!$B$8="なし","",INDEX(標準報酬!$B$4:$B$53,MATCH('1_手取り'!$B$9,標準報酬!$A$4:$A$53,1)))</f>
        <v/>
      </c>
      <c r="Q10" s="5">
        <f>IF($P10="",0,IF(ROUND($P10*($B10+'1_手取り'!$F$7)/2,4)&lt;=0.5,0,ROUNDUP(ROUND($P10*($B10+'1_手取り'!$F$7)/2,4)-0.5,0))+IF(ROUND($P10*料率!$E$5/2,4)&lt;=0.5,0,ROUNDUP(ROUND($P10*料率!$E$5/2,4)-0.5,0))+IF(ROUND(MIN(MAX($P10,88000),650000)*料率!$E$6/2,4)&lt;=0.5,0,ROUNDUP(ROUND(MIN(MAX($P10,88000),650000)*料率!$E$6/2,4)-0.5,0))+IF(ROUND('1_手取り'!$B$9*INDEX(料率!$E$8:$E$10,MATCH('1_手取り'!$B$6,料率!$D$8:$D$10,0)),4)&lt;=0.5,0,ROUNDUP(ROUND('1_手取り'!$B$9*INDEX(料率!$E$8:$E$10,MATCH('1_手取り'!$B$6,料率!$D$8:$D$10,0)),4)-0.5,0)))</f>
        <v/>
      </c>
      <c r="S10" s="3" t="inlineStr">
        <is>
          <t>賞与の健康保険料の差</t>
        </is>
      </c>
      <c r="T10" s="5">
        <f>MAX($C$5:$C$51)-MIN($C$5:$C$51)</f>
        <v/>
      </c>
    </row>
    <row r="11">
      <c r="A11" s="3" t="inlineStr">
        <is>
          <t>福島県</t>
        </is>
      </c>
      <c r="B11" s="7">
        <f>INDEX(料率!$B$4:$B$50,MATCH($A11,料率!$A$4:$A$50,0))</f>
        <v/>
      </c>
      <c r="C11" s="5">
        <f>IF(ROUND('1_手取り'!$F$4*($B11+'1_手取り'!$F$7)/2,4)&lt;=0.5,0,ROUNDUP(ROUND('1_手取り'!$F$4*($B11+'1_手取り'!$F$7)/2,4)-0.5,0))</f>
        <v/>
      </c>
      <c r="D11" s="5">
        <f>'1_手取り'!$F$9</f>
        <v/>
      </c>
      <c r="E11" s="5">
        <f>'1_手取り'!$F$10</f>
        <v/>
      </c>
      <c r="F11" s="5">
        <f>'1_手取り'!$F$11</f>
        <v/>
      </c>
      <c r="G11" s="5">
        <f>SUM($C11:$F11)</f>
        <v/>
      </c>
      <c r="H11" s="5">
        <f>IF('1_手取り'!$B$8="なし",0,'1_手取り'!$B$9-$Q11)</f>
        <v/>
      </c>
      <c r="I11" s="8">
        <f>IF(OR('1_手取り'!$B$8="なし",$H11&lt;=0),"前月の給与なし",IF(('1_手取り'!$B$3-$G11)&gt;$H11*10,"10倍超","算出率の表"))</f>
        <v/>
      </c>
      <c r="J11" s="9">
        <f>IF($I11="算出率の表",INDEX(算出率!$A$4:$A$24,MATCH($H11,INDEX(算出率!$B$4:$I$24,0,'1_手取り'!$B$7+1),1)),"")</f>
        <v/>
      </c>
      <c r="K11" s="5">
        <f>IF($I11="算出率の表",ROUNDDOWN(ROUND(('1_手取り'!$B$3-$G11)*$J11,4),0),IF($I11="前月の給与なし",IF(ROUNDDOWN(('1_手取り'!$B$3-$G11)/'1_手取り'!$F$16,0)&lt;105000,0,IF(ROUNDDOWN(('1_手取り'!$B$3-$G11)/'1_手取り'!$F$16,0)&lt;740000,INDEX(月額表!$B$4:$I$234,MATCH(ROUNDDOWN(('1_手取り'!$B$3-$G11)/'1_手取り'!$F$16,0),月額表!$A$4:$A$234,1),'1_手取り'!$B$7+1),INDEX(月額表!$M$4:$T$12,MATCH(ROUNDDOWN(('1_手取り'!$B$3-$G11)/'1_手取り'!$F$16,0),月額表!$K$4:$K$12,1),'1_手取り'!$B$7+1)+ROUNDDOWN(ROUND((ROUNDDOWN(('1_手取り'!$B$3-$G11)/'1_手取り'!$F$16,0)-INDEX(月額表!$K$4:$K$12,MATCH(ROUNDDOWN(('1_手取り'!$B$3-$G11)/'1_手取り'!$F$16,0),月額表!$K$4:$K$12,1)))*INDEX(月額表!$L$4:$L$12,MATCH(ROUNDDOWN(('1_手取り'!$B$3-$G11)/'1_手取り'!$F$16,0),月額表!$K$4:$K$12,1)),4),0)))*'1_手取り'!$F$16,(IF((ROUNDDOWN(('1_手取り'!$B$3-$G11)/'1_手取り'!$F$16,0)+$H11)&lt;105000,0,IF((ROUNDDOWN(('1_手取り'!$B$3-$G11)/'1_手取り'!$F$16,0)+$H11)&lt;740000,INDEX(月額表!$B$4:$I$234,MATCH((ROUNDDOWN(('1_手取り'!$B$3-$G11)/'1_手取り'!$F$16,0)+$H11),月額表!$A$4:$A$234,1),'1_手取り'!$B$7+1),INDEX(月額表!$M$4:$T$12,MATCH((ROUNDDOWN(('1_手取り'!$B$3-$G11)/'1_手取り'!$F$16,0)+$H11),月額表!$K$4:$K$12,1),'1_手取り'!$B$7+1)+ROUNDDOWN(ROUND(((ROUNDDOWN(('1_手取り'!$B$3-$G11)/'1_手取り'!$F$16,0)+$H11)-INDEX(月額表!$K$4:$K$12,MATCH((ROUNDDOWN(('1_手取り'!$B$3-$G11)/'1_手取り'!$F$16,0)+$H11),月額表!$K$4:$K$12,1)))*INDEX(月額表!$L$4:$L$12,MATCH((ROUNDDOWN(('1_手取り'!$B$3-$G11)/'1_手取り'!$F$16,0)+$H11),月額表!$K$4:$K$12,1)),4),0)))-IF($H11&lt;105000,0,IF($H11&lt;740000,INDEX(月額表!$B$4:$I$234,MATCH($H11,月額表!$A$4:$A$234,1),'1_手取り'!$B$7+1),INDEX(月額表!$M$4:$T$12,MATCH($H11,月額表!$K$4:$K$12,1),'1_手取り'!$B$7+1)+ROUNDDOWN(ROUND(($H11-INDEX(月額表!$K$4:$K$12,MATCH($H11,月額表!$K$4:$K$12,1)))*INDEX(月額表!$L$4:$L$12,MATCH($H11,月額表!$K$4:$K$12,1)),4),0))))*'1_手取り'!$F$16))</f>
        <v/>
      </c>
      <c r="L11" s="5">
        <f>'1_手取り'!$B$3-$G11-$K11</f>
        <v/>
      </c>
      <c r="M11" s="12">
        <f>$L11-MAX($L$5:$L$51)</f>
        <v/>
      </c>
      <c r="P11" s="5">
        <f>IF('1_手取り'!$B$8="なし","",INDEX(標準報酬!$B$4:$B$53,MATCH('1_手取り'!$B$9,標準報酬!$A$4:$A$53,1)))</f>
        <v/>
      </c>
      <c r="Q11" s="5">
        <f>IF($P11="",0,IF(ROUND($P11*($B11+'1_手取り'!$F$7)/2,4)&lt;=0.5,0,ROUNDUP(ROUND($P11*($B11+'1_手取り'!$F$7)/2,4)-0.5,0))+IF(ROUND($P11*料率!$E$5/2,4)&lt;=0.5,0,ROUNDUP(ROUND($P11*料率!$E$5/2,4)-0.5,0))+IF(ROUND(MIN(MAX($P11,88000),650000)*料率!$E$6/2,4)&lt;=0.5,0,ROUNDUP(ROUND(MIN(MAX($P11,88000),650000)*料率!$E$6/2,4)-0.5,0))+IF(ROUND('1_手取り'!$B$9*INDEX(料率!$E$8:$E$10,MATCH('1_手取り'!$B$6,料率!$D$8:$D$10,0)),4)&lt;=0.5,0,ROUNDUP(ROUND('1_手取り'!$B$9*INDEX(料率!$E$8:$E$10,MATCH('1_手取り'!$B$6,料率!$D$8:$D$10,0)),4)-0.5,0)))</f>
        <v/>
      </c>
    </row>
    <row r="12">
      <c r="A12" s="3" t="inlineStr">
        <is>
          <t>茨城県</t>
        </is>
      </c>
      <c r="B12" s="7">
        <f>INDEX(料率!$B$4:$B$50,MATCH($A12,料率!$A$4:$A$50,0))</f>
        <v/>
      </c>
      <c r="C12" s="5">
        <f>IF(ROUND('1_手取り'!$F$4*($B12+'1_手取り'!$F$7)/2,4)&lt;=0.5,0,ROUNDUP(ROUND('1_手取り'!$F$4*($B12+'1_手取り'!$F$7)/2,4)-0.5,0))</f>
        <v/>
      </c>
      <c r="D12" s="5">
        <f>'1_手取り'!$F$9</f>
        <v/>
      </c>
      <c r="E12" s="5">
        <f>'1_手取り'!$F$10</f>
        <v/>
      </c>
      <c r="F12" s="5">
        <f>'1_手取り'!$F$11</f>
        <v/>
      </c>
      <c r="G12" s="5">
        <f>SUM($C12:$F12)</f>
        <v/>
      </c>
      <c r="H12" s="5">
        <f>IF('1_手取り'!$B$8="なし",0,'1_手取り'!$B$9-$Q12)</f>
        <v/>
      </c>
      <c r="I12" s="8">
        <f>IF(OR('1_手取り'!$B$8="なし",$H12&lt;=0),"前月の給与なし",IF(('1_手取り'!$B$3-$G12)&gt;$H12*10,"10倍超","算出率の表"))</f>
        <v/>
      </c>
      <c r="J12" s="9">
        <f>IF($I12="算出率の表",INDEX(算出率!$A$4:$A$24,MATCH($H12,INDEX(算出率!$B$4:$I$24,0,'1_手取り'!$B$7+1),1)),"")</f>
        <v/>
      </c>
      <c r="K12" s="5">
        <f>IF($I12="算出率の表",ROUNDDOWN(ROUND(('1_手取り'!$B$3-$G12)*$J12,4),0),IF($I12="前月の給与なし",IF(ROUNDDOWN(('1_手取り'!$B$3-$G12)/'1_手取り'!$F$16,0)&lt;105000,0,IF(ROUNDDOWN(('1_手取り'!$B$3-$G12)/'1_手取り'!$F$16,0)&lt;740000,INDEX(月額表!$B$4:$I$234,MATCH(ROUNDDOWN(('1_手取り'!$B$3-$G12)/'1_手取り'!$F$16,0),月額表!$A$4:$A$234,1),'1_手取り'!$B$7+1),INDEX(月額表!$M$4:$T$12,MATCH(ROUNDDOWN(('1_手取り'!$B$3-$G12)/'1_手取り'!$F$16,0),月額表!$K$4:$K$12,1),'1_手取り'!$B$7+1)+ROUNDDOWN(ROUND((ROUNDDOWN(('1_手取り'!$B$3-$G12)/'1_手取り'!$F$16,0)-INDEX(月額表!$K$4:$K$12,MATCH(ROUNDDOWN(('1_手取り'!$B$3-$G12)/'1_手取り'!$F$16,0),月額表!$K$4:$K$12,1)))*INDEX(月額表!$L$4:$L$12,MATCH(ROUNDDOWN(('1_手取り'!$B$3-$G12)/'1_手取り'!$F$16,0),月額表!$K$4:$K$12,1)),4),0)))*'1_手取り'!$F$16,(IF((ROUNDDOWN(('1_手取り'!$B$3-$G12)/'1_手取り'!$F$16,0)+$H12)&lt;105000,0,IF((ROUNDDOWN(('1_手取り'!$B$3-$G12)/'1_手取り'!$F$16,0)+$H12)&lt;740000,INDEX(月額表!$B$4:$I$234,MATCH((ROUNDDOWN(('1_手取り'!$B$3-$G12)/'1_手取り'!$F$16,0)+$H12),月額表!$A$4:$A$234,1),'1_手取り'!$B$7+1),INDEX(月額表!$M$4:$T$12,MATCH((ROUNDDOWN(('1_手取り'!$B$3-$G12)/'1_手取り'!$F$16,0)+$H12),月額表!$K$4:$K$12,1),'1_手取り'!$B$7+1)+ROUNDDOWN(ROUND(((ROUNDDOWN(('1_手取り'!$B$3-$G12)/'1_手取り'!$F$16,0)+$H12)-INDEX(月額表!$K$4:$K$12,MATCH((ROUNDDOWN(('1_手取り'!$B$3-$G12)/'1_手取り'!$F$16,0)+$H12),月額表!$K$4:$K$12,1)))*INDEX(月額表!$L$4:$L$12,MATCH((ROUNDDOWN(('1_手取り'!$B$3-$G12)/'1_手取り'!$F$16,0)+$H12),月額表!$K$4:$K$12,1)),4),0)))-IF($H12&lt;105000,0,IF($H12&lt;740000,INDEX(月額表!$B$4:$I$234,MATCH($H12,月額表!$A$4:$A$234,1),'1_手取り'!$B$7+1),INDEX(月額表!$M$4:$T$12,MATCH($H12,月額表!$K$4:$K$12,1),'1_手取り'!$B$7+1)+ROUNDDOWN(ROUND(($H12-INDEX(月額表!$K$4:$K$12,MATCH($H12,月額表!$K$4:$K$12,1)))*INDEX(月額表!$L$4:$L$12,MATCH($H12,月額表!$K$4:$K$12,1)),4),0))))*'1_手取り'!$F$16))</f>
        <v/>
      </c>
      <c r="L12" s="5">
        <f>'1_手取り'!$B$3-$G12-$K12</f>
        <v/>
      </c>
      <c r="M12" s="12">
        <f>$L12-MAX($L$5:$L$51)</f>
        <v/>
      </c>
      <c r="P12" s="5">
        <f>IF('1_手取り'!$B$8="なし","",INDEX(標準報酬!$B$4:$B$53,MATCH('1_手取り'!$B$9,標準報酬!$A$4:$A$53,1)))</f>
        <v/>
      </c>
      <c r="Q12" s="5">
        <f>IF($P12="",0,IF(ROUND($P12*($B12+'1_手取り'!$F$7)/2,4)&lt;=0.5,0,ROUNDUP(ROUND($P12*($B12+'1_手取り'!$F$7)/2,4)-0.5,0))+IF(ROUND($P12*料率!$E$5/2,4)&lt;=0.5,0,ROUNDUP(ROUND($P12*料率!$E$5/2,4)-0.5,0))+IF(ROUND(MIN(MAX($P12,88000),650000)*料率!$E$6/2,4)&lt;=0.5,0,ROUNDUP(ROUND(MIN(MAX($P12,88000),650000)*料率!$E$6/2,4)-0.5,0))+IF(ROUND('1_手取り'!$B$9*INDEX(料率!$E$8:$E$10,MATCH('1_手取り'!$B$6,料率!$D$8:$D$10,0)),4)&lt;=0.5,0,ROUNDUP(ROUND('1_手取り'!$B$9*INDEX(料率!$E$8:$E$10,MATCH('1_手取り'!$B$6,料率!$D$8:$D$10,0)),4)-0.5,0)))</f>
        <v/>
      </c>
    </row>
    <row r="13">
      <c r="A13" s="3" t="inlineStr">
        <is>
          <t>栃木県</t>
        </is>
      </c>
      <c r="B13" s="7">
        <f>INDEX(料率!$B$4:$B$50,MATCH($A13,料率!$A$4:$A$50,0))</f>
        <v/>
      </c>
      <c r="C13" s="5">
        <f>IF(ROUND('1_手取り'!$F$4*($B13+'1_手取り'!$F$7)/2,4)&lt;=0.5,0,ROUNDUP(ROUND('1_手取り'!$F$4*($B13+'1_手取り'!$F$7)/2,4)-0.5,0))</f>
        <v/>
      </c>
      <c r="D13" s="5">
        <f>'1_手取り'!$F$9</f>
        <v/>
      </c>
      <c r="E13" s="5">
        <f>'1_手取り'!$F$10</f>
        <v/>
      </c>
      <c r="F13" s="5">
        <f>'1_手取り'!$F$11</f>
        <v/>
      </c>
      <c r="G13" s="5">
        <f>SUM($C13:$F13)</f>
        <v/>
      </c>
      <c r="H13" s="5">
        <f>IF('1_手取り'!$B$8="なし",0,'1_手取り'!$B$9-$Q13)</f>
        <v/>
      </c>
      <c r="I13" s="8">
        <f>IF(OR('1_手取り'!$B$8="なし",$H13&lt;=0),"前月の給与なし",IF(('1_手取り'!$B$3-$G13)&gt;$H13*10,"10倍超","算出率の表"))</f>
        <v/>
      </c>
      <c r="J13" s="9">
        <f>IF($I13="算出率の表",INDEX(算出率!$A$4:$A$24,MATCH($H13,INDEX(算出率!$B$4:$I$24,0,'1_手取り'!$B$7+1),1)),"")</f>
        <v/>
      </c>
      <c r="K13" s="5">
        <f>IF($I13="算出率の表",ROUNDDOWN(ROUND(('1_手取り'!$B$3-$G13)*$J13,4),0),IF($I13="前月の給与なし",IF(ROUNDDOWN(('1_手取り'!$B$3-$G13)/'1_手取り'!$F$16,0)&lt;105000,0,IF(ROUNDDOWN(('1_手取り'!$B$3-$G13)/'1_手取り'!$F$16,0)&lt;740000,INDEX(月額表!$B$4:$I$234,MATCH(ROUNDDOWN(('1_手取り'!$B$3-$G13)/'1_手取り'!$F$16,0),月額表!$A$4:$A$234,1),'1_手取り'!$B$7+1),INDEX(月額表!$M$4:$T$12,MATCH(ROUNDDOWN(('1_手取り'!$B$3-$G13)/'1_手取り'!$F$16,0),月額表!$K$4:$K$12,1),'1_手取り'!$B$7+1)+ROUNDDOWN(ROUND((ROUNDDOWN(('1_手取り'!$B$3-$G13)/'1_手取り'!$F$16,0)-INDEX(月額表!$K$4:$K$12,MATCH(ROUNDDOWN(('1_手取り'!$B$3-$G13)/'1_手取り'!$F$16,0),月額表!$K$4:$K$12,1)))*INDEX(月額表!$L$4:$L$12,MATCH(ROUNDDOWN(('1_手取り'!$B$3-$G13)/'1_手取り'!$F$16,0),月額表!$K$4:$K$12,1)),4),0)))*'1_手取り'!$F$16,(IF((ROUNDDOWN(('1_手取り'!$B$3-$G13)/'1_手取り'!$F$16,0)+$H13)&lt;105000,0,IF((ROUNDDOWN(('1_手取り'!$B$3-$G13)/'1_手取り'!$F$16,0)+$H13)&lt;740000,INDEX(月額表!$B$4:$I$234,MATCH((ROUNDDOWN(('1_手取り'!$B$3-$G13)/'1_手取り'!$F$16,0)+$H13),月額表!$A$4:$A$234,1),'1_手取り'!$B$7+1),INDEX(月額表!$M$4:$T$12,MATCH((ROUNDDOWN(('1_手取り'!$B$3-$G13)/'1_手取り'!$F$16,0)+$H13),月額表!$K$4:$K$12,1),'1_手取り'!$B$7+1)+ROUNDDOWN(ROUND(((ROUNDDOWN(('1_手取り'!$B$3-$G13)/'1_手取り'!$F$16,0)+$H13)-INDEX(月額表!$K$4:$K$12,MATCH((ROUNDDOWN(('1_手取り'!$B$3-$G13)/'1_手取り'!$F$16,0)+$H13),月額表!$K$4:$K$12,1)))*INDEX(月額表!$L$4:$L$12,MATCH((ROUNDDOWN(('1_手取り'!$B$3-$G13)/'1_手取り'!$F$16,0)+$H13),月額表!$K$4:$K$12,1)),4),0)))-IF($H13&lt;105000,0,IF($H13&lt;740000,INDEX(月額表!$B$4:$I$234,MATCH($H13,月額表!$A$4:$A$234,1),'1_手取り'!$B$7+1),INDEX(月額表!$M$4:$T$12,MATCH($H13,月額表!$K$4:$K$12,1),'1_手取り'!$B$7+1)+ROUNDDOWN(ROUND(($H13-INDEX(月額表!$K$4:$K$12,MATCH($H13,月額表!$K$4:$K$12,1)))*INDEX(月額表!$L$4:$L$12,MATCH($H13,月額表!$K$4:$K$12,1)),4),0))))*'1_手取り'!$F$16))</f>
        <v/>
      </c>
      <c r="L13" s="5">
        <f>'1_手取り'!$B$3-$G13-$K13</f>
        <v/>
      </c>
      <c r="M13" s="12">
        <f>$L13-MAX($L$5:$L$51)</f>
        <v/>
      </c>
      <c r="P13" s="5">
        <f>IF('1_手取り'!$B$8="なし","",INDEX(標準報酬!$B$4:$B$53,MATCH('1_手取り'!$B$9,標準報酬!$A$4:$A$53,1)))</f>
        <v/>
      </c>
      <c r="Q13" s="5">
        <f>IF($P13="",0,IF(ROUND($P13*($B13+'1_手取り'!$F$7)/2,4)&lt;=0.5,0,ROUNDUP(ROUND($P13*($B13+'1_手取り'!$F$7)/2,4)-0.5,0))+IF(ROUND($P13*料率!$E$5/2,4)&lt;=0.5,0,ROUNDUP(ROUND($P13*料率!$E$5/2,4)-0.5,0))+IF(ROUND(MIN(MAX($P13,88000),650000)*料率!$E$6/2,4)&lt;=0.5,0,ROUNDUP(ROUND(MIN(MAX($P13,88000),650000)*料率!$E$6/2,4)-0.5,0))+IF(ROUND('1_手取り'!$B$9*INDEX(料率!$E$8:$E$10,MATCH('1_手取り'!$B$6,料率!$D$8:$D$10,0)),4)&lt;=0.5,0,ROUNDUP(ROUND('1_手取り'!$B$9*INDEX(料率!$E$8:$E$10,MATCH('1_手取り'!$B$6,料率!$D$8:$D$10,0)),4)-0.5,0)))</f>
        <v/>
      </c>
    </row>
    <row r="14">
      <c r="A14" s="3" t="inlineStr">
        <is>
          <t>群馬県</t>
        </is>
      </c>
      <c r="B14" s="7">
        <f>INDEX(料率!$B$4:$B$50,MATCH($A14,料率!$A$4:$A$50,0))</f>
        <v/>
      </c>
      <c r="C14" s="5">
        <f>IF(ROUND('1_手取り'!$F$4*($B14+'1_手取り'!$F$7)/2,4)&lt;=0.5,0,ROUNDUP(ROUND('1_手取り'!$F$4*($B14+'1_手取り'!$F$7)/2,4)-0.5,0))</f>
        <v/>
      </c>
      <c r="D14" s="5">
        <f>'1_手取り'!$F$9</f>
        <v/>
      </c>
      <c r="E14" s="5">
        <f>'1_手取り'!$F$10</f>
        <v/>
      </c>
      <c r="F14" s="5">
        <f>'1_手取り'!$F$11</f>
        <v/>
      </c>
      <c r="G14" s="5">
        <f>SUM($C14:$F14)</f>
        <v/>
      </c>
      <c r="H14" s="5">
        <f>IF('1_手取り'!$B$8="なし",0,'1_手取り'!$B$9-$Q14)</f>
        <v/>
      </c>
      <c r="I14" s="8">
        <f>IF(OR('1_手取り'!$B$8="なし",$H14&lt;=0),"前月の給与なし",IF(('1_手取り'!$B$3-$G14)&gt;$H14*10,"10倍超","算出率の表"))</f>
        <v/>
      </c>
      <c r="J14" s="9">
        <f>IF($I14="算出率の表",INDEX(算出率!$A$4:$A$24,MATCH($H14,INDEX(算出率!$B$4:$I$24,0,'1_手取り'!$B$7+1),1)),"")</f>
        <v/>
      </c>
      <c r="K14" s="5">
        <f>IF($I14="算出率の表",ROUNDDOWN(ROUND(('1_手取り'!$B$3-$G14)*$J14,4),0),IF($I14="前月の給与なし",IF(ROUNDDOWN(('1_手取り'!$B$3-$G14)/'1_手取り'!$F$16,0)&lt;105000,0,IF(ROUNDDOWN(('1_手取り'!$B$3-$G14)/'1_手取り'!$F$16,0)&lt;740000,INDEX(月額表!$B$4:$I$234,MATCH(ROUNDDOWN(('1_手取り'!$B$3-$G14)/'1_手取り'!$F$16,0),月額表!$A$4:$A$234,1),'1_手取り'!$B$7+1),INDEX(月額表!$M$4:$T$12,MATCH(ROUNDDOWN(('1_手取り'!$B$3-$G14)/'1_手取り'!$F$16,0),月額表!$K$4:$K$12,1),'1_手取り'!$B$7+1)+ROUNDDOWN(ROUND((ROUNDDOWN(('1_手取り'!$B$3-$G14)/'1_手取り'!$F$16,0)-INDEX(月額表!$K$4:$K$12,MATCH(ROUNDDOWN(('1_手取り'!$B$3-$G14)/'1_手取り'!$F$16,0),月額表!$K$4:$K$12,1)))*INDEX(月額表!$L$4:$L$12,MATCH(ROUNDDOWN(('1_手取り'!$B$3-$G14)/'1_手取り'!$F$16,0),月額表!$K$4:$K$12,1)),4),0)))*'1_手取り'!$F$16,(IF((ROUNDDOWN(('1_手取り'!$B$3-$G14)/'1_手取り'!$F$16,0)+$H14)&lt;105000,0,IF((ROUNDDOWN(('1_手取り'!$B$3-$G14)/'1_手取り'!$F$16,0)+$H14)&lt;740000,INDEX(月額表!$B$4:$I$234,MATCH((ROUNDDOWN(('1_手取り'!$B$3-$G14)/'1_手取り'!$F$16,0)+$H14),月額表!$A$4:$A$234,1),'1_手取り'!$B$7+1),INDEX(月額表!$M$4:$T$12,MATCH((ROUNDDOWN(('1_手取り'!$B$3-$G14)/'1_手取り'!$F$16,0)+$H14),月額表!$K$4:$K$12,1),'1_手取り'!$B$7+1)+ROUNDDOWN(ROUND(((ROUNDDOWN(('1_手取り'!$B$3-$G14)/'1_手取り'!$F$16,0)+$H14)-INDEX(月額表!$K$4:$K$12,MATCH((ROUNDDOWN(('1_手取り'!$B$3-$G14)/'1_手取り'!$F$16,0)+$H14),月額表!$K$4:$K$12,1)))*INDEX(月額表!$L$4:$L$12,MATCH((ROUNDDOWN(('1_手取り'!$B$3-$G14)/'1_手取り'!$F$16,0)+$H14),月額表!$K$4:$K$12,1)),4),0)))-IF($H14&lt;105000,0,IF($H14&lt;740000,INDEX(月額表!$B$4:$I$234,MATCH($H14,月額表!$A$4:$A$234,1),'1_手取り'!$B$7+1),INDEX(月額表!$M$4:$T$12,MATCH($H14,月額表!$K$4:$K$12,1),'1_手取り'!$B$7+1)+ROUNDDOWN(ROUND(($H14-INDEX(月額表!$K$4:$K$12,MATCH($H14,月額表!$K$4:$K$12,1)))*INDEX(月額表!$L$4:$L$12,MATCH($H14,月額表!$K$4:$K$12,1)),4),0))))*'1_手取り'!$F$16))</f>
        <v/>
      </c>
      <c r="L14" s="5">
        <f>'1_手取り'!$B$3-$G14-$K14</f>
        <v/>
      </c>
      <c r="M14" s="12">
        <f>$L14-MAX($L$5:$L$51)</f>
        <v/>
      </c>
      <c r="P14" s="5">
        <f>IF('1_手取り'!$B$8="なし","",INDEX(標準報酬!$B$4:$B$53,MATCH('1_手取り'!$B$9,標準報酬!$A$4:$A$53,1)))</f>
        <v/>
      </c>
      <c r="Q14" s="5">
        <f>IF($P14="",0,IF(ROUND($P14*($B14+'1_手取り'!$F$7)/2,4)&lt;=0.5,0,ROUNDUP(ROUND($P14*($B14+'1_手取り'!$F$7)/2,4)-0.5,0))+IF(ROUND($P14*料率!$E$5/2,4)&lt;=0.5,0,ROUNDUP(ROUND($P14*料率!$E$5/2,4)-0.5,0))+IF(ROUND(MIN(MAX($P14,88000),650000)*料率!$E$6/2,4)&lt;=0.5,0,ROUNDUP(ROUND(MIN(MAX($P14,88000),650000)*料率!$E$6/2,4)-0.5,0))+IF(ROUND('1_手取り'!$B$9*INDEX(料率!$E$8:$E$10,MATCH('1_手取り'!$B$6,料率!$D$8:$D$10,0)),4)&lt;=0.5,0,ROUNDUP(ROUND('1_手取り'!$B$9*INDEX(料率!$E$8:$E$10,MATCH('1_手取り'!$B$6,料率!$D$8:$D$10,0)),4)-0.5,0)))</f>
        <v/>
      </c>
    </row>
    <row r="15">
      <c r="A15" s="3" t="inlineStr">
        <is>
          <t>埼玉県</t>
        </is>
      </c>
      <c r="B15" s="7">
        <f>INDEX(料率!$B$4:$B$50,MATCH($A15,料率!$A$4:$A$50,0))</f>
        <v/>
      </c>
      <c r="C15" s="5">
        <f>IF(ROUND('1_手取り'!$F$4*($B15+'1_手取り'!$F$7)/2,4)&lt;=0.5,0,ROUNDUP(ROUND('1_手取り'!$F$4*($B15+'1_手取り'!$F$7)/2,4)-0.5,0))</f>
        <v/>
      </c>
      <c r="D15" s="5">
        <f>'1_手取り'!$F$9</f>
        <v/>
      </c>
      <c r="E15" s="5">
        <f>'1_手取り'!$F$10</f>
        <v/>
      </c>
      <c r="F15" s="5">
        <f>'1_手取り'!$F$11</f>
        <v/>
      </c>
      <c r="G15" s="5">
        <f>SUM($C15:$F15)</f>
        <v/>
      </c>
      <c r="H15" s="5">
        <f>IF('1_手取り'!$B$8="なし",0,'1_手取り'!$B$9-$Q15)</f>
        <v/>
      </c>
      <c r="I15" s="8">
        <f>IF(OR('1_手取り'!$B$8="なし",$H15&lt;=0),"前月の給与なし",IF(('1_手取り'!$B$3-$G15)&gt;$H15*10,"10倍超","算出率の表"))</f>
        <v/>
      </c>
      <c r="J15" s="9">
        <f>IF($I15="算出率の表",INDEX(算出率!$A$4:$A$24,MATCH($H15,INDEX(算出率!$B$4:$I$24,0,'1_手取り'!$B$7+1),1)),"")</f>
        <v/>
      </c>
      <c r="K15" s="5">
        <f>IF($I15="算出率の表",ROUNDDOWN(ROUND(('1_手取り'!$B$3-$G15)*$J15,4),0),IF($I15="前月の給与なし",IF(ROUNDDOWN(('1_手取り'!$B$3-$G15)/'1_手取り'!$F$16,0)&lt;105000,0,IF(ROUNDDOWN(('1_手取り'!$B$3-$G15)/'1_手取り'!$F$16,0)&lt;740000,INDEX(月額表!$B$4:$I$234,MATCH(ROUNDDOWN(('1_手取り'!$B$3-$G15)/'1_手取り'!$F$16,0),月額表!$A$4:$A$234,1),'1_手取り'!$B$7+1),INDEX(月額表!$M$4:$T$12,MATCH(ROUNDDOWN(('1_手取り'!$B$3-$G15)/'1_手取り'!$F$16,0),月額表!$K$4:$K$12,1),'1_手取り'!$B$7+1)+ROUNDDOWN(ROUND((ROUNDDOWN(('1_手取り'!$B$3-$G15)/'1_手取り'!$F$16,0)-INDEX(月額表!$K$4:$K$12,MATCH(ROUNDDOWN(('1_手取り'!$B$3-$G15)/'1_手取り'!$F$16,0),月額表!$K$4:$K$12,1)))*INDEX(月額表!$L$4:$L$12,MATCH(ROUNDDOWN(('1_手取り'!$B$3-$G15)/'1_手取り'!$F$16,0),月額表!$K$4:$K$12,1)),4),0)))*'1_手取り'!$F$16,(IF((ROUNDDOWN(('1_手取り'!$B$3-$G15)/'1_手取り'!$F$16,0)+$H15)&lt;105000,0,IF((ROUNDDOWN(('1_手取り'!$B$3-$G15)/'1_手取り'!$F$16,0)+$H15)&lt;740000,INDEX(月額表!$B$4:$I$234,MATCH((ROUNDDOWN(('1_手取り'!$B$3-$G15)/'1_手取り'!$F$16,0)+$H15),月額表!$A$4:$A$234,1),'1_手取り'!$B$7+1),INDEX(月額表!$M$4:$T$12,MATCH((ROUNDDOWN(('1_手取り'!$B$3-$G15)/'1_手取り'!$F$16,0)+$H15),月額表!$K$4:$K$12,1),'1_手取り'!$B$7+1)+ROUNDDOWN(ROUND(((ROUNDDOWN(('1_手取り'!$B$3-$G15)/'1_手取り'!$F$16,0)+$H15)-INDEX(月額表!$K$4:$K$12,MATCH((ROUNDDOWN(('1_手取り'!$B$3-$G15)/'1_手取り'!$F$16,0)+$H15),月額表!$K$4:$K$12,1)))*INDEX(月額表!$L$4:$L$12,MATCH((ROUNDDOWN(('1_手取り'!$B$3-$G15)/'1_手取り'!$F$16,0)+$H15),月額表!$K$4:$K$12,1)),4),0)))-IF($H15&lt;105000,0,IF($H15&lt;740000,INDEX(月額表!$B$4:$I$234,MATCH($H15,月額表!$A$4:$A$234,1),'1_手取り'!$B$7+1),INDEX(月額表!$M$4:$T$12,MATCH($H15,月額表!$K$4:$K$12,1),'1_手取り'!$B$7+1)+ROUNDDOWN(ROUND(($H15-INDEX(月額表!$K$4:$K$12,MATCH($H15,月額表!$K$4:$K$12,1)))*INDEX(月額表!$L$4:$L$12,MATCH($H15,月額表!$K$4:$K$12,1)),4),0))))*'1_手取り'!$F$16))</f>
        <v/>
      </c>
      <c r="L15" s="5">
        <f>'1_手取り'!$B$3-$G15-$K15</f>
        <v/>
      </c>
      <c r="M15" s="12">
        <f>$L15-MAX($L$5:$L$51)</f>
        <v/>
      </c>
      <c r="P15" s="5">
        <f>IF('1_手取り'!$B$8="なし","",INDEX(標準報酬!$B$4:$B$53,MATCH('1_手取り'!$B$9,標準報酬!$A$4:$A$53,1)))</f>
        <v/>
      </c>
      <c r="Q15" s="5">
        <f>IF($P15="",0,IF(ROUND($P15*($B15+'1_手取り'!$F$7)/2,4)&lt;=0.5,0,ROUNDUP(ROUND($P15*($B15+'1_手取り'!$F$7)/2,4)-0.5,0))+IF(ROUND($P15*料率!$E$5/2,4)&lt;=0.5,0,ROUNDUP(ROUND($P15*料率!$E$5/2,4)-0.5,0))+IF(ROUND(MIN(MAX($P15,88000),650000)*料率!$E$6/2,4)&lt;=0.5,0,ROUNDUP(ROUND(MIN(MAX($P15,88000),650000)*料率!$E$6/2,4)-0.5,0))+IF(ROUND('1_手取り'!$B$9*INDEX(料率!$E$8:$E$10,MATCH('1_手取り'!$B$6,料率!$D$8:$D$10,0)),4)&lt;=0.5,0,ROUNDUP(ROUND('1_手取り'!$B$9*INDEX(料率!$E$8:$E$10,MATCH('1_手取り'!$B$6,料率!$D$8:$D$10,0)),4)-0.5,0)))</f>
        <v/>
      </c>
    </row>
    <row r="16">
      <c r="A16" s="3" t="inlineStr">
        <is>
          <t>千葉県</t>
        </is>
      </c>
      <c r="B16" s="7">
        <f>INDEX(料率!$B$4:$B$50,MATCH($A16,料率!$A$4:$A$50,0))</f>
        <v/>
      </c>
      <c r="C16" s="5">
        <f>IF(ROUND('1_手取り'!$F$4*($B16+'1_手取り'!$F$7)/2,4)&lt;=0.5,0,ROUNDUP(ROUND('1_手取り'!$F$4*($B16+'1_手取り'!$F$7)/2,4)-0.5,0))</f>
        <v/>
      </c>
      <c r="D16" s="5">
        <f>'1_手取り'!$F$9</f>
        <v/>
      </c>
      <c r="E16" s="5">
        <f>'1_手取り'!$F$10</f>
        <v/>
      </c>
      <c r="F16" s="5">
        <f>'1_手取り'!$F$11</f>
        <v/>
      </c>
      <c r="G16" s="5">
        <f>SUM($C16:$F16)</f>
        <v/>
      </c>
      <c r="H16" s="5">
        <f>IF('1_手取り'!$B$8="なし",0,'1_手取り'!$B$9-$Q16)</f>
        <v/>
      </c>
      <c r="I16" s="8">
        <f>IF(OR('1_手取り'!$B$8="なし",$H16&lt;=0),"前月の給与なし",IF(('1_手取り'!$B$3-$G16)&gt;$H16*10,"10倍超","算出率の表"))</f>
        <v/>
      </c>
      <c r="J16" s="9">
        <f>IF($I16="算出率の表",INDEX(算出率!$A$4:$A$24,MATCH($H16,INDEX(算出率!$B$4:$I$24,0,'1_手取り'!$B$7+1),1)),"")</f>
        <v/>
      </c>
      <c r="K16" s="5">
        <f>IF($I16="算出率の表",ROUNDDOWN(ROUND(('1_手取り'!$B$3-$G16)*$J16,4),0),IF($I16="前月の給与なし",IF(ROUNDDOWN(('1_手取り'!$B$3-$G16)/'1_手取り'!$F$16,0)&lt;105000,0,IF(ROUNDDOWN(('1_手取り'!$B$3-$G16)/'1_手取り'!$F$16,0)&lt;740000,INDEX(月額表!$B$4:$I$234,MATCH(ROUNDDOWN(('1_手取り'!$B$3-$G16)/'1_手取り'!$F$16,0),月額表!$A$4:$A$234,1),'1_手取り'!$B$7+1),INDEX(月額表!$M$4:$T$12,MATCH(ROUNDDOWN(('1_手取り'!$B$3-$G16)/'1_手取り'!$F$16,0),月額表!$K$4:$K$12,1),'1_手取り'!$B$7+1)+ROUNDDOWN(ROUND((ROUNDDOWN(('1_手取り'!$B$3-$G16)/'1_手取り'!$F$16,0)-INDEX(月額表!$K$4:$K$12,MATCH(ROUNDDOWN(('1_手取り'!$B$3-$G16)/'1_手取り'!$F$16,0),月額表!$K$4:$K$12,1)))*INDEX(月額表!$L$4:$L$12,MATCH(ROUNDDOWN(('1_手取り'!$B$3-$G16)/'1_手取り'!$F$16,0),月額表!$K$4:$K$12,1)),4),0)))*'1_手取り'!$F$16,(IF((ROUNDDOWN(('1_手取り'!$B$3-$G16)/'1_手取り'!$F$16,0)+$H16)&lt;105000,0,IF((ROUNDDOWN(('1_手取り'!$B$3-$G16)/'1_手取り'!$F$16,0)+$H16)&lt;740000,INDEX(月額表!$B$4:$I$234,MATCH((ROUNDDOWN(('1_手取り'!$B$3-$G16)/'1_手取り'!$F$16,0)+$H16),月額表!$A$4:$A$234,1),'1_手取り'!$B$7+1),INDEX(月額表!$M$4:$T$12,MATCH((ROUNDDOWN(('1_手取り'!$B$3-$G16)/'1_手取り'!$F$16,0)+$H16),月額表!$K$4:$K$12,1),'1_手取り'!$B$7+1)+ROUNDDOWN(ROUND(((ROUNDDOWN(('1_手取り'!$B$3-$G16)/'1_手取り'!$F$16,0)+$H16)-INDEX(月額表!$K$4:$K$12,MATCH((ROUNDDOWN(('1_手取り'!$B$3-$G16)/'1_手取り'!$F$16,0)+$H16),月額表!$K$4:$K$12,1)))*INDEX(月額表!$L$4:$L$12,MATCH((ROUNDDOWN(('1_手取り'!$B$3-$G16)/'1_手取り'!$F$16,0)+$H16),月額表!$K$4:$K$12,1)),4),0)))-IF($H16&lt;105000,0,IF($H16&lt;740000,INDEX(月額表!$B$4:$I$234,MATCH($H16,月額表!$A$4:$A$234,1),'1_手取り'!$B$7+1),INDEX(月額表!$M$4:$T$12,MATCH($H16,月額表!$K$4:$K$12,1),'1_手取り'!$B$7+1)+ROUNDDOWN(ROUND(($H16-INDEX(月額表!$K$4:$K$12,MATCH($H16,月額表!$K$4:$K$12,1)))*INDEX(月額表!$L$4:$L$12,MATCH($H16,月額表!$K$4:$K$12,1)),4),0))))*'1_手取り'!$F$16))</f>
        <v/>
      </c>
      <c r="L16" s="5">
        <f>'1_手取り'!$B$3-$G16-$K16</f>
        <v/>
      </c>
      <c r="M16" s="12">
        <f>$L16-MAX($L$5:$L$51)</f>
        <v/>
      </c>
      <c r="P16" s="5">
        <f>IF('1_手取り'!$B$8="なし","",INDEX(標準報酬!$B$4:$B$53,MATCH('1_手取り'!$B$9,標準報酬!$A$4:$A$53,1)))</f>
        <v/>
      </c>
      <c r="Q16" s="5">
        <f>IF($P16="",0,IF(ROUND($P16*($B16+'1_手取り'!$F$7)/2,4)&lt;=0.5,0,ROUNDUP(ROUND($P16*($B16+'1_手取り'!$F$7)/2,4)-0.5,0))+IF(ROUND($P16*料率!$E$5/2,4)&lt;=0.5,0,ROUNDUP(ROUND($P16*料率!$E$5/2,4)-0.5,0))+IF(ROUND(MIN(MAX($P16,88000),650000)*料率!$E$6/2,4)&lt;=0.5,0,ROUNDUP(ROUND(MIN(MAX($P16,88000),650000)*料率!$E$6/2,4)-0.5,0))+IF(ROUND('1_手取り'!$B$9*INDEX(料率!$E$8:$E$10,MATCH('1_手取り'!$B$6,料率!$D$8:$D$10,0)),4)&lt;=0.5,0,ROUNDUP(ROUND('1_手取り'!$B$9*INDEX(料率!$E$8:$E$10,MATCH('1_手取り'!$B$6,料率!$D$8:$D$10,0)),4)-0.5,0)))</f>
        <v/>
      </c>
    </row>
    <row r="17">
      <c r="A17" s="3" t="inlineStr">
        <is>
          <t>東京都</t>
        </is>
      </c>
      <c r="B17" s="7">
        <f>INDEX(料率!$B$4:$B$50,MATCH($A17,料率!$A$4:$A$50,0))</f>
        <v/>
      </c>
      <c r="C17" s="5">
        <f>IF(ROUND('1_手取り'!$F$4*($B17+'1_手取り'!$F$7)/2,4)&lt;=0.5,0,ROUNDUP(ROUND('1_手取り'!$F$4*($B17+'1_手取り'!$F$7)/2,4)-0.5,0))</f>
        <v/>
      </c>
      <c r="D17" s="5">
        <f>'1_手取り'!$F$9</f>
        <v/>
      </c>
      <c r="E17" s="5">
        <f>'1_手取り'!$F$10</f>
        <v/>
      </c>
      <c r="F17" s="5">
        <f>'1_手取り'!$F$11</f>
        <v/>
      </c>
      <c r="G17" s="5">
        <f>SUM($C17:$F17)</f>
        <v/>
      </c>
      <c r="H17" s="5">
        <f>IF('1_手取り'!$B$8="なし",0,'1_手取り'!$B$9-$Q17)</f>
        <v/>
      </c>
      <c r="I17" s="8">
        <f>IF(OR('1_手取り'!$B$8="なし",$H17&lt;=0),"前月の給与なし",IF(('1_手取り'!$B$3-$G17)&gt;$H17*10,"10倍超","算出率の表"))</f>
        <v/>
      </c>
      <c r="J17" s="9">
        <f>IF($I17="算出率の表",INDEX(算出率!$A$4:$A$24,MATCH($H17,INDEX(算出率!$B$4:$I$24,0,'1_手取り'!$B$7+1),1)),"")</f>
        <v/>
      </c>
      <c r="K17" s="5">
        <f>IF($I17="算出率の表",ROUNDDOWN(ROUND(('1_手取り'!$B$3-$G17)*$J17,4),0),IF($I17="前月の給与なし",IF(ROUNDDOWN(('1_手取り'!$B$3-$G17)/'1_手取り'!$F$16,0)&lt;105000,0,IF(ROUNDDOWN(('1_手取り'!$B$3-$G17)/'1_手取り'!$F$16,0)&lt;740000,INDEX(月額表!$B$4:$I$234,MATCH(ROUNDDOWN(('1_手取り'!$B$3-$G17)/'1_手取り'!$F$16,0),月額表!$A$4:$A$234,1),'1_手取り'!$B$7+1),INDEX(月額表!$M$4:$T$12,MATCH(ROUNDDOWN(('1_手取り'!$B$3-$G17)/'1_手取り'!$F$16,0),月額表!$K$4:$K$12,1),'1_手取り'!$B$7+1)+ROUNDDOWN(ROUND((ROUNDDOWN(('1_手取り'!$B$3-$G17)/'1_手取り'!$F$16,0)-INDEX(月額表!$K$4:$K$12,MATCH(ROUNDDOWN(('1_手取り'!$B$3-$G17)/'1_手取り'!$F$16,0),月額表!$K$4:$K$12,1)))*INDEX(月額表!$L$4:$L$12,MATCH(ROUNDDOWN(('1_手取り'!$B$3-$G17)/'1_手取り'!$F$16,0),月額表!$K$4:$K$12,1)),4),0)))*'1_手取り'!$F$16,(IF((ROUNDDOWN(('1_手取り'!$B$3-$G17)/'1_手取り'!$F$16,0)+$H17)&lt;105000,0,IF((ROUNDDOWN(('1_手取り'!$B$3-$G17)/'1_手取り'!$F$16,0)+$H17)&lt;740000,INDEX(月額表!$B$4:$I$234,MATCH((ROUNDDOWN(('1_手取り'!$B$3-$G17)/'1_手取り'!$F$16,0)+$H17),月額表!$A$4:$A$234,1),'1_手取り'!$B$7+1),INDEX(月額表!$M$4:$T$12,MATCH((ROUNDDOWN(('1_手取り'!$B$3-$G17)/'1_手取り'!$F$16,0)+$H17),月額表!$K$4:$K$12,1),'1_手取り'!$B$7+1)+ROUNDDOWN(ROUND(((ROUNDDOWN(('1_手取り'!$B$3-$G17)/'1_手取り'!$F$16,0)+$H17)-INDEX(月額表!$K$4:$K$12,MATCH((ROUNDDOWN(('1_手取り'!$B$3-$G17)/'1_手取り'!$F$16,0)+$H17),月額表!$K$4:$K$12,1)))*INDEX(月額表!$L$4:$L$12,MATCH((ROUNDDOWN(('1_手取り'!$B$3-$G17)/'1_手取り'!$F$16,0)+$H17),月額表!$K$4:$K$12,1)),4),0)))-IF($H17&lt;105000,0,IF($H17&lt;740000,INDEX(月額表!$B$4:$I$234,MATCH($H17,月額表!$A$4:$A$234,1),'1_手取り'!$B$7+1),INDEX(月額表!$M$4:$T$12,MATCH($H17,月額表!$K$4:$K$12,1),'1_手取り'!$B$7+1)+ROUNDDOWN(ROUND(($H17-INDEX(月額表!$K$4:$K$12,MATCH($H17,月額表!$K$4:$K$12,1)))*INDEX(月額表!$L$4:$L$12,MATCH($H17,月額表!$K$4:$K$12,1)),4),0))))*'1_手取り'!$F$16))</f>
        <v/>
      </c>
      <c r="L17" s="5">
        <f>'1_手取り'!$B$3-$G17-$K17</f>
        <v/>
      </c>
      <c r="M17" s="12">
        <f>$L17-MAX($L$5:$L$51)</f>
        <v/>
      </c>
      <c r="P17" s="5">
        <f>IF('1_手取り'!$B$8="なし","",INDEX(標準報酬!$B$4:$B$53,MATCH('1_手取り'!$B$9,標準報酬!$A$4:$A$53,1)))</f>
        <v/>
      </c>
      <c r="Q17" s="5">
        <f>IF($P17="",0,IF(ROUND($P17*($B17+'1_手取り'!$F$7)/2,4)&lt;=0.5,0,ROUNDUP(ROUND($P17*($B17+'1_手取り'!$F$7)/2,4)-0.5,0))+IF(ROUND($P17*料率!$E$5/2,4)&lt;=0.5,0,ROUNDUP(ROUND($P17*料率!$E$5/2,4)-0.5,0))+IF(ROUND(MIN(MAX($P17,88000),650000)*料率!$E$6/2,4)&lt;=0.5,0,ROUNDUP(ROUND(MIN(MAX($P17,88000),650000)*料率!$E$6/2,4)-0.5,0))+IF(ROUND('1_手取り'!$B$9*INDEX(料率!$E$8:$E$10,MATCH('1_手取り'!$B$6,料率!$D$8:$D$10,0)),4)&lt;=0.5,0,ROUNDUP(ROUND('1_手取り'!$B$9*INDEX(料率!$E$8:$E$10,MATCH('1_手取り'!$B$6,料率!$D$8:$D$10,0)),4)-0.5,0)))</f>
        <v/>
      </c>
    </row>
    <row r="18">
      <c r="A18" s="3" t="inlineStr">
        <is>
          <t>神奈川県</t>
        </is>
      </c>
      <c r="B18" s="7">
        <f>INDEX(料率!$B$4:$B$50,MATCH($A18,料率!$A$4:$A$50,0))</f>
        <v/>
      </c>
      <c r="C18" s="5">
        <f>IF(ROUND('1_手取り'!$F$4*($B18+'1_手取り'!$F$7)/2,4)&lt;=0.5,0,ROUNDUP(ROUND('1_手取り'!$F$4*($B18+'1_手取り'!$F$7)/2,4)-0.5,0))</f>
        <v/>
      </c>
      <c r="D18" s="5">
        <f>'1_手取り'!$F$9</f>
        <v/>
      </c>
      <c r="E18" s="5">
        <f>'1_手取り'!$F$10</f>
        <v/>
      </c>
      <c r="F18" s="5">
        <f>'1_手取り'!$F$11</f>
        <v/>
      </c>
      <c r="G18" s="5">
        <f>SUM($C18:$F18)</f>
        <v/>
      </c>
      <c r="H18" s="5">
        <f>IF('1_手取り'!$B$8="なし",0,'1_手取り'!$B$9-$Q18)</f>
        <v/>
      </c>
      <c r="I18" s="8">
        <f>IF(OR('1_手取り'!$B$8="なし",$H18&lt;=0),"前月の給与なし",IF(('1_手取り'!$B$3-$G18)&gt;$H18*10,"10倍超","算出率の表"))</f>
        <v/>
      </c>
      <c r="J18" s="9">
        <f>IF($I18="算出率の表",INDEX(算出率!$A$4:$A$24,MATCH($H18,INDEX(算出率!$B$4:$I$24,0,'1_手取り'!$B$7+1),1)),"")</f>
        <v/>
      </c>
      <c r="K18" s="5">
        <f>IF($I18="算出率の表",ROUNDDOWN(ROUND(('1_手取り'!$B$3-$G18)*$J18,4),0),IF($I18="前月の給与なし",IF(ROUNDDOWN(('1_手取り'!$B$3-$G18)/'1_手取り'!$F$16,0)&lt;105000,0,IF(ROUNDDOWN(('1_手取り'!$B$3-$G18)/'1_手取り'!$F$16,0)&lt;740000,INDEX(月額表!$B$4:$I$234,MATCH(ROUNDDOWN(('1_手取り'!$B$3-$G18)/'1_手取り'!$F$16,0),月額表!$A$4:$A$234,1),'1_手取り'!$B$7+1),INDEX(月額表!$M$4:$T$12,MATCH(ROUNDDOWN(('1_手取り'!$B$3-$G18)/'1_手取り'!$F$16,0),月額表!$K$4:$K$12,1),'1_手取り'!$B$7+1)+ROUNDDOWN(ROUND((ROUNDDOWN(('1_手取り'!$B$3-$G18)/'1_手取り'!$F$16,0)-INDEX(月額表!$K$4:$K$12,MATCH(ROUNDDOWN(('1_手取り'!$B$3-$G18)/'1_手取り'!$F$16,0),月額表!$K$4:$K$12,1)))*INDEX(月額表!$L$4:$L$12,MATCH(ROUNDDOWN(('1_手取り'!$B$3-$G18)/'1_手取り'!$F$16,0),月額表!$K$4:$K$12,1)),4),0)))*'1_手取り'!$F$16,(IF((ROUNDDOWN(('1_手取り'!$B$3-$G18)/'1_手取り'!$F$16,0)+$H18)&lt;105000,0,IF((ROUNDDOWN(('1_手取り'!$B$3-$G18)/'1_手取り'!$F$16,0)+$H18)&lt;740000,INDEX(月額表!$B$4:$I$234,MATCH((ROUNDDOWN(('1_手取り'!$B$3-$G18)/'1_手取り'!$F$16,0)+$H18),月額表!$A$4:$A$234,1),'1_手取り'!$B$7+1),INDEX(月額表!$M$4:$T$12,MATCH((ROUNDDOWN(('1_手取り'!$B$3-$G18)/'1_手取り'!$F$16,0)+$H18),月額表!$K$4:$K$12,1),'1_手取り'!$B$7+1)+ROUNDDOWN(ROUND(((ROUNDDOWN(('1_手取り'!$B$3-$G18)/'1_手取り'!$F$16,0)+$H18)-INDEX(月額表!$K$4:$K$12,MATCH((ROUNDDOWN(('1_手取り'!$B$3-$G18)/'1_手取り'!$F$16,0)+$H18),月額表!$K$4:$K$12,1)))*INDEX(月額表!$L$4:$L$12,MATCH((ROUNDDOWN(('1_手取り'!$B$3-$G18)/'1_手取り'!$F$16,0)+$H18),月額表!$K$4:$K$12,1)),4),0)))-IF($H18&lt;105000,0,IF($H18&lt;740000,INDEX(月額表!$B$4:$I$234,MATCH($H18,月額表!$A$4:$A$234,1),'1_手取り'!$B$7+1),INDEX(月額表!$M$4:$T$12,MATCH($H18,月額表!$K$4:$K$12,1),'1_手取り'!$B$7+1)+ROUNDDOWN(ROUND(($H18-INDEX(月額表!$K$4:$K$12,MATCH($H18,月額表!$K$4:$K$12,1)))*INDEX(月額表!$L$4:$L$12,MATCH($H18,月額表!$K$4:$K$12,1)),4),0))))*'1_手取り'!$F$16))</f>
        <v/>
      </c>
      <c r="L18" s="5">
        <f>'1_手取り'!$B$3-$G18-$K18</f>
        <v/>
      </c>
      <c r="M18" s="12">
        <f>$L18-MAX($L$5:$L$51)</f>
        <v/>
      </c>
      <c r="P18" s="5">
        <f>IF('1_手取り'!$B$8="なし","",INDEX(標準報酬!$B$4:$B$53,MATCH('1_手取り'!$B$9,標準報酬!$A$4:$A$53,1)))</f>
        <v/>
      </c>
      <c r="Q18" s="5">
        <f>IF($P18="",0,IF(ROUND($P18*($B18+'1_手取り'!$F$7)/2,4)&lt;=0.5,0,ROUNDUP(ROUND($P18*($B18+'1_手取り'!$F$7)/2,4)-0.5,0))+IF(ROUND($P18*料率!$E$5/2,4)&lt;=0.5,0,ROUNDUP(ROUND($P18*料率!$E$5/2,4)-0.5,0))+IF(ROUND(MIN(MAX($P18,88000),650000)*料率!$E$6/2,4)&lt;=0.5,0,ROUNDUP(ROUND(MIN(MAX($P18,88000),650000)*料率!$E$6/2,4)-0.5,0))+IF(ROUND('1_手取り'!$B$9*INDEX(料率!$E$8:$E$10,MATCH('1_手取り'!$B$6,料率!$D$8:$D$10,0)),4)&lt;=0.5,0,ROUNDUP(ROUND('1_手取り'!$B$9*INDEX(料率!$E$8:$E$10,MATCH('1_手取り'!$B$6,料率!$D$8:$D$10,0)),4)-0.5,0)))</f>
        <v/>
      </c>
    </row>
    <row r="19">
      <c r="A19" s="3" t="inlineStr">
        <is>
          <t>新潟県</t>
        </is>
      </c>
      <c r="B19" s="7">
        <f>INDEX(料率!$B$4:$B$50,MATCH($A19,料率!$A$4:$A$50,0))</f>
        <v/>
      </c>
      <c r="C19" s="5">
        <f>IF(ROUND('1_手取り'!$F$4*($B19+'1_手取り'!$F$7)/2,4)&lt;=0.5,0,ROUNDUP(ROUND('1_手取り'!$F$4*($B19+'1_手取り'!$F$7)/2,4)-0.5,0))</f>
        <v/>
      </c>
      <c r="D19" s="5">
        <f>'1_手取り'!$F$9</f>
        <v/>
      </c>
      <c r="E19" s="5">
        <f>'1_手取り'!$F$10</f>
        <v/>
      </c>
      <c r="F19" s="5">
        <f>'1_手取り'!$F$11</f>
        <v/>
      </c>
      <c r="G19" s="5">
        <f>SUM($C19:$F19)</f>
        <v/>
      </c>
      <c r="H19" s="5">
        <f>IF('1_手取り'!$B$8="なし",0,'1_手取り'!$B$9-$Q19)</f>
        <v/>
      </c>
      <c r="I19" s="8">
        <f>IF(OR('1_手取り'!$B$8="なし",$H19&lt;=0),"前月の給与なし",IF(('1_手取り'!$B$3-$G19)&gt;$H19*10,"10倍超","算出率の表"))</f>
        <v/>
      </c>
      <c r="J19" s="9">
        <f>IF($I19="算出率の表",INDEX(算出率!$A$4:$A$24,MATCH($H19,INDEX(算出率!$B$4:$I$24,0,'1_手取り'!$B$7+1),1)),"")</f>
        <v/>
      </c>
      <c r="K19" s="5">
        <f>IF($I19="算出率の表",ROUNDDOWN(ROUND(('1_手取り'!$B$3-$G19)*$J19,4),0),IF($I19="前月の給与なし",IF(ROUNDDOWN(('1_手取り'!$B$3-$G19)/'1_手取り'!$F$16,0)&lt;105000,0,IF(ROUNDDOWN(('1_手取り'!$B$3-$G19)/'1_手取り'!$F$16,0)&lt;740000,INDEX(月額表!$B$4:$I$234,MATCH(ROUNDDOWN(('1_手取り'!$B$3-$G19)/'1_手取り'!$F$16,0),月額表!$A$4:$A$234,1),'1_手取り'!$B$7+1),INDEX(月額表!$M$4:$T$12,MATCH(ROUNDDOWN(('1_手取り'!$B$3-$G19)/'1_手取り'!$F$16,0),月額表!$K$4:$K$12,1),'1_手取り'!$B$7+1)+ROUNDDOWN(ROUND((ROUNDDOWN(('1_手取り'!$B$3-$G19)/'1_手取り'!$F$16,0)-INDEX(月額表!$K$4:$K$12,MATCH(ROUNDDOWN(('1_手取り'!$B$3-$G19)/'1_手取り'!$F$16,0),月額表!$K$4:$K$12,1)))*INDEX(月額表!$L$4:$L$12,MATCH(ROUNDDOWN(('1_手取り'!$B$3-$G19)/'1_手取り'!$F$16,0),月額表!$K$4:$K$12,1)),4),0)))*'1_手取り'!$F$16,(IF((ROUNDDOWN(('1_手取り'!$B$3-$G19)/'1_手取り'!$F$16,0)+$H19)&lt;105000,0,IF((ROUNDDOWN(('1_手取り'!$B$3-$G19)/'1_手取り'!$F$16,0)+$H19)&lt;740000,INDEX(月額表!$B$4:$I$234,MATCH((ROUNDDOWN(('1_手取り'!$B$3-$G19)/'1_手取り'!$F$16,0)+$H19),月額表!$A$4:$A$234,1),'1_手取り'!$B$7+1),INDEX(月額表!$M$4:$T$12,MATCH((ROUNDDOWN(('1_手取り'!$B$3-$G19)/'1_手取り'!$F$16,0)+$H19),月額表!$K$4:$K$12,1),'1_手取り'!$B$7+1)+ROUNDDOWN(ROUND(((ROUNDDOWN(('1_手取り'!$B$3-$G19)/'1_手取り'!$F$16,0)+$H19)-INDEX(月額表!$K$4:$K$12,MATCH((ROUNDDOWN(('1_手取り'!$B$3-$G19)/'1_手取り'!$F$16,0)+$H19),月額表!$K$4:$K$12,1)))*INDEX(月額表!$L$4:$L$12,MATCH((ROUNDDOWN(('1_手取り'!$B$3-$G19)/'1_手取り'!$F$16,0)+$H19),月額表!$K$4:$K$12,1)),4),0)))-IF($H19&lt;105000,0,IF($H19&lt;740000,INDEX(月額表!$B$4:$I$234,MATCH($H19,月額表!$A$4:$A$234,1),'1_手取り'!$B$7+1),INDEX(月額表!$M$4:$T$12,MATCH($H19,月額表!$K$4:$K$12,1),'1_手取り'!$B$7+1)+ROUNDDOWN(ROUND(($H19-INDEX(月額表!$K$4:$K$12,MATCH($H19,月額表!$K$4:$K$12,1)))*INDEX(月額表!$L$4:$L$12,MATCH($H19,月額表!$K$4:$K$12,1)),4),0))))*'1_手取り'!$F$16))</f>
        <v/>
      </c>
      <c r="L19" s="5">
        <f>'1_手取り'!$B$3-$G19-$K19</f>
        <v/>
      </c>
      <c r="M19" s="12">
        <f>$L19-MAX($L$5:$L$51)</f>
        <v/>
      </c>
      <c r="P19" s="5">
        <f>IF('1_手取り'!$B$8="なし","",INDEX(標準報酬!$B$4:$B$53,MATCH('1_手取り'!$B$9,標準報酬!$A$4:$A$53,1)))</f>
        <v/>
      </c>
      <c r="Q19" s="5">
        <f>IF($P19="",0,IF(ROUND($P19*($B19+'1_手取り'!$F$7)/2,4)&lt;=0.5,0,ROUNDUP(ROUND($P19*($B19+'1_手取り'!$F$7)/2,4)-0.5,0))+IF(ROUND($P19*料率!$E$5/2,4)&lt;=0.5,0,ROUNDUP(ROUND($P19*料率!$E$5/2,4)-0.5,0))+IF(ROUND(MIN(MAX($P19,88000),650000)*料率!$E$6/2,4)&lt;=0.5,0,ROUNDUP(ROUND(MIN(MAX($P19,88000),650000)*料率!$E$6/2,4)-0.5,0))+IF(ROUND('1_手取り'!$B$9*INDEX(料率!$E$8:$E$10,MATCH('1_手取り'!$B$6,料率!$D$8:$D$10,0)),4)&lt;=0.5,0,ROUNDUP(ROUND('1_手取り'!$B$9*INDEX(料率!$E$8:$E$10,MATCH('1_手取り'!$B$6,料率!$D$8:$D$10,0)),4)-0.5,0)))</f>
        <v/>
      </c>
    </row>
    <row r="20">
      <c r="A20" s="3" t="inlineStr">
        <is>
          <t>富山県</t>
        </is>
      </c>
      <c r="B20" s="7">
        <f>INDEX(料率!$B$4:$B$50,MATCH($A20,料率!$A$4:$A$50,0))</f>
        <v/>
      </c>
      <c r="C20" s="5">
        <f>IF(ROUND('1_手取り'!$F$4*($B20+'1_手取り'!$F$7)/2,4)&lt;=0.5,0,ROUNDUP(ROUND('1_手取り'!$F$4*($B20+'1_手取り'!$F$7)/2,4)-0.5,0))</f>
        <v/>
      </c>
      <c r="D20" s="5">
        <f>'1_手取り'!$F$9</f>
        <v/>
      </c>
      <c r="E20" s="5">
        <f>'1_手取り'!$F$10</f>
        <v/>
      </c>
      <c r="F20" s="5">
        <f>'1_手取り'!$F$11</f>
        <v/>
      </c>
      <c r="G20" s="5">
        <f>SUM($C20:$F20)</f>
        <v/>
      </c>
      <c r="H20" s="5">
        <f>IF('1_手取り'!$B$8="なし",0,'1_手取り'!$B$9-$Q20)</f>
        <v/>
      </c>
      <c r="I20" s="8">
        <f>IF(OR('1_手取り'!$B$8="なし",$H20&lt;=0),"前月の給与なし",IF(('1_手取り'!$B$3-$G20)&gt;$H20*10,"10倍超","算出率の表"))</f>
        <v/>
      </c>
      <c r="J20" s="9">
        <f>IF($I20="算出率の表",INDEX(算出率!$A$4:$A$24,MATCH($H20,INDEX(算出率!$B$4:$I$24,0,'1_手取り'!$B$7+1),1)),"")</f>
        <v/>
      </c>
      <c r="K20" s="5">
        <f>IF($I20="算出率の表",ROUNDDOWN(ROUND(('1_手取り'!$B$3-$G20)*$J20,4),0),IF($I20="前月の給与なし",IF(ROUNDDOWN(('1_手取り'!$B$3-$G20)/'1_手取り'!$F$16,0)&lt;105000,0,IF(ROUNDDOWN(('1_手取り'!$B$3-$G20)/'1_手取り'!$F$16,0)&lt;740000,INDEX(月額表!$B$4:$I$234,MATCH(ROUNDDOWN(('1_手取り'!$B$3-$G20)/'1_手取り'!$F$16,0),月額表!$A$4:$A$234,1),'1_手取り'!$B$7+1),INDEX(月額表!$M$4:$T$12,MATCH(ROUNDDOWN(('1_手取り'!$B$3-$G20)/'1_手取り'!$F$16,0),月額表!$K$4:$K$12,1),'1_手取り'!$B$7+1)+ROUNDDOWN(ROUND((ROUNDDOWN(('1_手取り'!$B$3-$G20)/'1_手取り'!$F$16,0)-INDEX(月額表!$K$4:$K$12,MATCH(ROUNDDOWN(('1_手取り'!$B$3-$G20)/'1_手取り'!$F$16,0),月額表!$K$4:$K$12,1)))*INDEX(月額表!$L$4:$L$12,MATCH(ROUNDDOWN(('1_手取り'!$B$3-$G20)/'1_手取り'!$F$16,0),月額表!$K$4:$K$12,1)),4),0)))*'1_手取り'!$F$16,(IF((ROUNDDOWN(('1_手取り'!$B$3-$G20)/'1_手取り'!$F$16,0)+$H20)&lt;105000,0,IF((ROUNDDOWN(('1_手取り'!$B$3-$G20)/'1_手取り'!$F$16,0)+$H20)&lt;740000,INDEX(月額表!$B$4:$I$234,MATCH((ROUNDDOWN(('1_手取り'!$B$3-$G20)/'1_手取り'!$F$16,0)+$H20),月額表!$A$4:$A$234,1),'1_手取り'!$B$7+1),INDEX(月額表!$M$4:$T$12,MATCH((ROUNDDOWN(('1_手取り'!$B$3-$G20)/'1_手取り'!$F$16,0)+$H20),月額表!$K$4:$K$12,1),'1_手取り'!$B$7+1)+ROUNDDOWN(ROUND(((ROUNDDOWN(('1_手取り'!$B$3-$G20)/'1_手取り'!$F$16,0)+$H20)-INDEX(月額表!$K$4:$K$12,MATCH((ROUNDDOWN(('1_手取り'!$B$3-$G20)/'1_手取り'!$F$16,0)+$H20),月額表!$K$4:$K$12,1)))*INDEX(月額表!$L$4:$L$12,MATCH((ROUNDDOWN(('1_手取り'!$B$3-$G20)/'1_手取り'!$F$16,0)+$H20),月額表!$K$4:$K$12,1)),4),0)))-IF($H20&lt;105000,0,IF($H20&lt;740000,INDEX(月額表!$B$4:$I$234,MATCH($H20,月額表!$A$4:$A$234,1),'1_手取り'!$B$7+1),INDEX(月額表!$M$4:$T$12,MATCH($H20,月額表!$K$4:$K$12,1),'1_手取り'!$B$7+1)+ROUNDDOWN(ROUND(($H20-INDEX(月額表!$K$4:$K$12,MATCH($H20,月額表!$K$4:$K$12,1)))*INDEX(月額表!$L$4:$L$12,MATCH($H20,月額表!$K$4:$K$12,1)),4),0))))*'1_手取り'!$F$16))</f>
        <v/>
      </c>
      <c r="L20" s="5">
        <f>'1_手取り'!$B$3-$G20-$K20</f>
        <v/>
      </c>
      <c r="M20" s="12">
        <f>$L20-MAX($L$5:$L$51)</f>
        <v/>
      </c>
      <c r="P20" s="5">
        <f>IF('1_手取り'!$B$8="なし","",INDEX(標準報酬!$B$4:$B$53,MATCH('1_手取り'!$B$9,標準報酬!$A$4:$A$53,1)))</f>
        <v/>
      </c>
      <c r="Q20" s="5">
        <f>IF($P20="",0,IF(ROUND($P20*($B20+'1_手取り'!$F$7)/2,4)&lt;=0.5,0,ROUNDUP(ROUND($P20*($B20+'1_手取り'!$F$7)/2,4)-0.5,0))+IF(ROUND($P20*料率!$E$5/2,4)&lt;=0.5,0,ROUNDUP(ROUND($P20*料率!$E$5/2,4)-0.5,0))+IF(ROUND(MIN(MAX($P20,88000),650000)*料率!$E$6/2,4)&lt;=0.5,0,ROUNDUP(ROUND(MIN(MAX($P20,88000),650000)*料率!$E$6/2,4)-0.5,0))+IF(ROUND('1_手取り'!$B$9*INDEX(料率!$E$8:$E$10,MATCH('1_手取り'!$B$6,料率!$D$8:$D$10,0)),4)&lt;=0.5,0,ROUNDUP(ROUND('1_手取り'!$B$9*INDEX(料率!$E$8:$E$10,MATCH('1_手取り'!$B$6,料率!$D$8:$D$10,0)),4)-0.5,0)))</f>
        <v/>
      </c>
    </row>
    <row r="21">
      <c r="A21" s="3" t="inlineStr">
        <is>
          <t>石川県</t>
        </is>
      </c>
      <c r="B21" s="7">
        <f>INDEX(料率!$B$4:$B$50,MATCH($A21,料率!$A$4:$A$50,0))</f>
        <v/>
      </c>
      <c r="C21" s="5">
        <f>IF(ROUND('1_手取り'!$F$4*($B21+'1_手取り'!$F$7)/2,4)&lt;=0.5,0,ROUNDUP(ROUND('1_手取り'!$F$4*($B21+'1_手取り'!$F$7)/2,4)-0.5,0))</f>
        <v/>
      </c>
      <c r="D21" s="5">
        <f>'1_手取り'!$F$9</f>
        <v/>
      </c>
      <c r="E21" s="5">
        <f>'1_手取り'!$F$10</f>
        <v/>
      </c>
      <c r="F21" s="5">
        <f>'1_手取り'!$F$11</f>
        <v/>
      </c>
      <c r="G21" s="5">
        <f>SUM($C21:$F21)</f>
        <v/>
      </c>
      <c r="H21" s="5">
        <f>IF('1_手取り'!$B$8="なし",0,'1_手取り'!$B$9-$Q21)</f>
        <v/>
      </c>
      <c r="I21" s="8">
        <f>IF(OR('1_手取り'!$B$8="なし",$H21&lt;=0),"前月の給与なし",IF(('1_手取り'!$B$3-$G21)&gt;$H21*10,"10倍超","算出率の表"))</f>
        <v/>
      </c>
      <c r="J21" s="9">
        <f>IF($I21="算出率の表",INDEX(算出率!$A$4:$A$24,MATCH($H21,INDEX(算出率!$B$4:$I$24,0,'1_手取り'!$B$7+1),1)),"")</f>
        <v/>
      </c>
      <c r="K21" s="5">
        <f>IF($I21="算出率の表",ROUNDDOWN(ROUND(('1_手取り'!$B$3-$G21)*$J21,4),0),IF($I21="前月の給与なし",IF(ROUNDDOWN(('1_手取り'!$B$3-$G21)/'1_手取り'!$F$16,0)&lt;105000,0,IF(ROUNDDOWN(('1_手取り'!$B$3-$G21)/'1_手取り'!$F$16,0)&lt;740000,INDEX(月額表!$B$4:$I$234,MATCH(ROUNDDOWN(('1_手取り'!$B$3-$G21)/'1_手取り'!$F$16,0),月額表!$A$4:$A$234,1),'1_手取り'!$B$7+1),INDEX(月額表!$M$4:$T$12,MATCH(ROUNDDOWN(('1_手取り'!$B$3-$G21)/'1_手取り'!$F$16,0),月額表!$K$4:$K$12,1),'1_手取り'!$B$7+1)+ROUNDDOWN(ROUND((ROUNDDOWN(('1_手取り'!$B$3-$G21)/'1_手取り'!$F$16,0)-INDEX(月額表!$K$4:$K$12,MATCH(ROUNDDOWN(('1_手取り'!$B$3-$G21)/'1_手取り'!$F$16,0),月額表!$K$4:$K$12,1)))*INDEX(月額表!$L$4:$L$12,MATCH(ROUNDDOWN(('1_手取り'!$B$3-$G21)/'1_手取り'!$F$16,0),月額表!$K$4:$K$12,1)),4),0)))*'1_手取り'!$F$16,(IF((ROUNDDOWN(('1_手取り'!$B$3-$G21)/'1_手取り'!$F$16,0)+$H21)&lt;105000,0,IF((ROUNDDOWN(('1_手取り'!$B$3-$G21)/'1_手取り'!$F$16,0)+$H21)&lt;740000,INDEX(月額表!$B$4:$I$234,MATCH((ROUNDDOWN(('1_手取り'!$B$3-$G21)/'1_手取り'!$F$16,0)+$H21),月額表!$A$4:$A$234,1),'1_手取り'!$B$7+1),INDEX(月額表!$M$4:$T$12,MATCH((ROUNDDOWN(('1_手取り'!$B$3-$G21)/'1_手取り'!$F$16,0)+$H21),月額表!$K$4:$K$12,1),'1_手取り'!$B$7+1)+ROUNDDOWN(ROUND(((ROUNDDOWN(('1_手取り'!$B$3-$G21)/'1_手取り'!$F$16,0)+$H21)-INDEX(月額表!$K$4:$K$12,MATCH((ROUNDDOWN(('1_手取り'!$B$3-$G21)/'1_手取り'!$F$16,0)+$H21),月額表!$K$4:$K$12,1)))*INDEX(月額表!$L$4:$L$12,MATCH((ROUNDDOWN(('1_手取り'!$B$3-$G21)/'1_手取り'!$F$16,0)+$H21),月額表!$K$4:$K$12,1)),4),0)))-IF($H21&lt;105000,0,IF($H21&lt;740000,INDEX(月額表!$B$4:$I$234,MATCH($H21,月額表!$A$4:$A$234,1),'1_手取り'!$B$7+1),INDEX(月額表!$M$4:$T$12,MATCH($H21,月額表!$K$4:$K$12,1),'1_手取り'!$B$7+1)+ROUNDDOWN(ROUND(($H21-INDEX(月額表!$K$4:$K$12,MATCH($H21,月額表!$K$4:$K$12,1)))*INDEX(月額表!$L$4:$L$12,MATCH($H21,月額表!$K$4:$K$12,1)),4),0))))*'1_手取り'!$F$16))</f>
        <v/>
      </c>
      <c r="L21" s="5">
        <f>'1_手取り'!$B$3-$G21-$K21</f>
        <v/>
      </c>
      <c r="M21" s="12">
        <f>$L21-MAX($L$5:$L$51)</f>
        <v/>
      </c>
      <c r="P21" s="5">
        <f>IF('1_手取り'!$B$8="なし","",INDEX(標準報酬!$B$4:$B$53,MATCH('1_手取り'!$B$9,標準報酬!$A$4:$A$53,1)))</f>
        <v/>
      </c>
      <c r="Q21" s="5">
        <f>IF($P21="",0,IF(ROUND($P21*($B21+'1_手取り'!$F$7)/2,4)&lt;=0.5,0,ROUNDUP(ROUND($P21*($B21+'1_手取り'!$F$7)/2,4)-0.5,0))+IF(ROUND($P21*料率!$E$5/2,4)&lt;=0.5,0,ROUNDUP(ROUND($P21*料率!$E$5/2,4)-0.5,0))+IF(ROUND(MIN(MAX($P21,88000),650000)*料率!$E$6/2,4)&lt;=0.5,0,ROUNDUP(ROUND(MIN(MAX($P21,88000),650000)*料率!$E$6/2,4)-0.5,0))+IF(ROUND('1_手取り'!$B$9*INDEX(料率!$E$8:$E$10,MATCH('1_手取り'!$B$6,料率!$D$8:$D$10,0)),4)&lt;=0.5,0,ROUNDUP(ROUND('1_手取り'!$B$9*INDEX(料率!$E$8:$E$10,MATCH('1_手取り'!$B$6,料率!$D$8:$D$10,0)),4)-0.5,0)))</f>
        <v/>
      </c>
    </row>
    <row r="22">
      <c r="A22" s="3" t="inlineStr">
        <is>
          <t>福井県</t>
        </is>
      </c>
      <c r="B22" s="7">
        <f>INDEX(料率!$B$4:$B$50,MATCH($A22,料率!$A$4:$A$50,0))</f>
        <v/>
      </c>
      <c r="C22" s="5">
        <f>IF(ROUND('1_手取り'!$F$4*($B22+'1_手取り'!$F$7)/2,4)&lt;=0.5,0,ROUNDUP(ROUND('1_手取り'!$F$4*($B22+'1_手取り'!$F$7)/2,4)-0.5,0))</f>
        <v/>
      </c>
      <c r="D22" s="5">
        <f>'1_手取り'!$F$9</f>
        <v/>
      </c>
      <c r="E22" s="5">
        <f>'1_手取り'!$F$10</f>
        <v/>
      </c>
      <c r="F22" s="5">
        <f>'1_手取り'!$F$11</f>
        <v/>
      </c>
      <c r="G22" s="5">
        <f>SUM($C22:$F22)</f>
        <v/>
      </c>
      <c r="H22" s="5">
        <f>IF('1_手取り'!$B$8="なし",0,'1_手取り'!$B$9-$Q22)</f>
        <v/>
      </c>
      <c r="I22" s="8">
        <f>IF(OR('1_手取り'!$B$8="なし",$H22&lt;=0),"前月の給与なし",IF(('1_手取り'!$B$3-$G22)&gt;$H22*10,"10倍超","算出率の表"))</f>
        <v/>
      </c>
      <c r="J22" s="9">
        <f>IF($I22="算出率の表",INDEX(算出率!$A$4:$A$24,MATCH($H22,INDEX(算出率!$B$4:$I$24,0,'1_手取り'!$B$7+1),1)),"")</f>
        <v/>
      </c>
      <c r="K22" s="5">
        <f>IF($I22="算出率の表",ROUNDDOWN(ROUND(('1_手取り'!$B$3-$G22)*$J22,4),0),IF($I22="前月の給与なし",IF(ROUNDDOWN(('1_手取り'!$B$3-$G22)/'1_手取り'!$F$16,0)&lt;105000,0,IF(ROUNDDOWN(('1_手取り'!$B$3-$G22)/'1_手取り'!$F$16,0)&lt;740000,INDEX(月額表!$B$4:$I$234,MATCH(ROUNDDOWN(('1_手取り'!$B$3-$G22)/'1_手取り'!$F$16,0),月額表!$A$4:$A$234,1),'1_手取り'!$B$7+1),INDEX(月額表!$M$4:$T$12,MATCH(ROUNDDOWN(('1_手取り'!$B$3-$G22)/'1_手取り'!$F$16,0),月額表!$K$4:$K$12,1),'1_手取り'!$B$7+1)+ROUNDDOWN(ROUND((ROUNDDOWN(('1_手取り'!$B$3-$G22)/'1_手取り'!$F$16,0)-INDEX(月額表!$K$4:$K$12,MATCH(ROUNDDOWN(('1_手取り'!$B$3-$G22)/'1_手取り'!$F$16,0),月額表!$K$4:$K$12,1)))*INDEX(月額表!$L$4:$L$12,MATCH(ROUNDDOWN(('1_手取り'!$B$3-$G22)/'1_手取り'!$F$16,0),月額表!$K$4:$K$12,1)),4),0)))*'1_手取り'!$F$16,(IF((ROUNDDOWN(('1_手取り'!$B$3-$G22)/'1_手取り'!$F$16,0)+$H22)&lt;105000,0,IF((ROUNDDOWN(('1_手取り'!$B$3-$G22)/'1_手取り'!$F$16,0)+$H22)&lt;740000,INDEX(月額表!$B$4:$I$234,MATCH((ROUNDDOWN(('1_手取り'!$B$3-$G22)/'1_手取り'!$F$16,0)+$H22),月額表!$A$4:$A$234,1),'1_手取り'!$B$7+1),INDEX(月額表!$M$4:$T$12,MATCH((ROUNDDOWN(('1_手取り'!$B$3-$G22)/'1_手取り'!$F$16,0)+$H22),月額表!$K$4:$K$12,1),'1_手取り'!$B$7+1)+ROUNDDOWN(ROUND(((ROUNDDOWN(('1_手取り'!$B$3-$G22)/'1_手取り'!$F$16,0)+$H22)-INDEX(月額表!$K$4:$K$12,MATCH((ROUNDDOWN(('1_手取り'!$B$3-$G22)/'1_手取り'!$F$16,0)+$H22),月額表!$K$4:$K$12,1)))*INDEX(月額表!$L$4:$L$12,MATCH((ROUNDDOWN(('1_手取り'!$B$3-$G22)/'1_手取り'!$F$16,0)+$H22),月額表!$K$4:$K$12,1)),4),0)))-IF($H22&lt;105000,0,IF($H22&lt;740000,INDEX(月額表!$B$4:$I$234,MATCH($H22,月額表!$A$4:$A$234,1),'1_手取り'!$B$7+1),INDEX(月額表!$M$4:$T$12,MATCH($H22,月額表!$K$4:$K$12,1),'1_手取り'!$B$7+1)+ROUNDDOWN(ROUND(($H22-INDEX(月額表!$K$4:$K$12,MATCH($H22,月額表!$K$4:$K$12,1)))*INDEX(月額表!$L$4:$L$12,MATCH($H22,月額表!$K$4:$K$12,1)),4),0))))*'1_手取り'!$F$16))</f>
        <v/>
      </c>
      <c r="L22" s="5">
        <f>'1_手取り'!$B$3-$G22-$K22</f>
        <v/>
      </c>
      <c r="M22" s="12">
        <f>$L22-MAX($L$5:$L$51)</f>
        <v/>
      </c>
      <c r="P22" s="5">
        <f>IF('1_手取り'!$B$8="なし","",INDEX(標準報酬!$B$4:$B$53,MATCH('1_手取り'!$B$9,標準報酬!$A$4:$A$53,1)))</f>
        <v/>
      </c>
      <c r="Q22" s="5">
        <f>IF($P22="",0,IF(ROUND($P22*($B22+'1_手取り'!$F$7)/2,4)&lt;=0.5,0,ROUNDUP(ROUND($P22*($B22+'1_手取り'!$F$7)/2,4)-0.5,0))+IF(ROUND($P22*料率!$E$5/2,4)&lt;=0.5,0,ROUNDUP(ROUND($P22*料率!$E$5/2,4)-0.5,0))+IF(ROUND(MIN(MAX($P22,88000),650000)*料率!$E$6/2,4)&lt;=0.5,0,ROUNDUP(ROUND(MIN(MAX($P22,88000),650000)*料率!$E$6/2,4)-0.5,0))+IF(ROUND('1_手取り'!$B$9*INDEX(料率!$E$8:$E$10,MATCH('1_手取り'!$B$6,料率!$D$8:$D$10,0)),4)&lt;=0.5,0,ROUNDUP(ROUND('1_手取り'!$B$9*INDEX(料率!$E$8:$E$10,MATCH('1_手取り'!$B$6,料率!$D$8:$D$10,0)),4)-0.5,0)))</f>
        <v/>
      </c>
    </row>
    <row r="23">
      <c r="A23" s="3" t="inlineStr">
        <is>
          <t>山梨県</t>
        </is>
      </c>
      <c r="B23" s="7">
        <f>INDEX(料率!$B$4:$B$50,MATCH($A23,料率!$A$4:$A$50,0))</f>
        <v/>
      </c>
      <c r="C23" s="5">
        <f>IF(ROUND('1_手取り'!$F$4*($B23+'1_手取り'!$F$7)/2,4)&lt;=0.5,0,ROUNDUP(ROUND('1_手取り'!$F$4*($B23+'1_手取り'!$F$7)/2,4)-0.5,0))</f>
        <v/>
      </c>
      <c r="D23" s="5">
        <f>'1_手取り'!$F$9</f>
        <v/>
      </c>
      <c r="E23" s="5">
        <f>'1_手取り'!$F$10</f>
        <v/>
      </c>
      <c r="F23" s="5">
        <f>'1_手取り'!$F$11</f>
        <v/>
      </c>
      <c r="G23" s="5">
        <f>SUM($C23:$F23)</f>
        <v/>
      </c>
      <c r="H23" s="5">
        <f>IF('1_手取り'!$B$8="なし",0,'1_手取り'!$B$9-$Q23)</f>
        <v/>
      </c>
      <c r="I23" s="8">
        <f>IF(OR('1_手取り'!$B$8="なし",$H23&lt;=0),"前月の給与なし",IF(('1_手取り'!$B$3-$G23)&gt;$H23*10,"10倍超","算出率の表"))</f>
        <v/>
      </c>
      <c r="J23" s="9">
        <f>IF($I23="算出率の表",INDEX(算出率!$A$4:$A$24,MATCH($H23,INDEX(算出率!$B$4:$I$24,0,'1_手取り'!$B$7+1),1)),"")</f>
        <v/>
      </c>
      <c r="K23" s="5">
        <f>IF($I23="算出率の表",ROUNDDOWN(ROUND(('1_手取り'!$B$3-$G23)*$J23,4),0),IF($I23="前月の給与なし",IF(ROUNDDOWN(('1_手取り'!$B$3-$G23)/'1_手取り'!$F$16,0)&lt;105000,0,IF(ROUNDDOWN(('1_手取り'!$B$3-$G23)/'1_手取り'!$F$16,0)&lt;740000,INDEX(月額表!$B$4:$I$234,MATCH(ROUNDDOWN(('1_手取り'!$B$3-$G23)/'1_手取り'!$F$16,0),月額表!$A$4:$A$234,1),'1_手取り'!$B$7+1),INDEX(月額表!$M$4:$T$12,MATCH(ROUNDDOWN(('1_手取り'!$B$3-$G23)/'1_手取り'!$F$16,0),月額表!$K$4:$K$12,1),'1_手取り'!$B$7+1)+ROUNDDOWN(ROUND((ROUNDDOWN(('1_手取り'!$B$3-$G23)/'1_手取り'!$F$16,0)-INDEX(月額表!$K$4:$K$12,MATCH(ROUNDDOWN(('1_手取り'!$B$3-$G23)/'1_手取り'!$F$16,0),月額表!$K$4:$K$12,1)))*INDEX(月額表!$L$4:$L$12,MATCH(ROUNDDOWN(('1_手取り'!$B$3-$G23)/'1_手取り'!$F$16,0),月額表!$K$4:$K$12,1)),4),0)))*'1_手取り'!$F$16,(IF((ROUNDDOWN(('1_手取り'!$B$3-$G23)/'1_手取り'!$F$16,0)+$H23)&lt;105000,0,IF((ROUNDDOWN(('1_手取り'!$B$3-$G23)/'1_手取り'!$F$16,0)+$H23)&lt;740000,INDEX(月額表!$B$4:$I$234,MATCH((ROUNDDOWN(('1_手取り'!$B$3-$G23)/'1_手取り'!$F$16,0)+$H23),月額表!$A$4:$A$234,1),'1_手取り'!$B$7+1),INDEX(月額表!$M$4:$T$12,MATCH((ROUNDDOWN(('1_手取り'!$B$3-$G23)/'1_手取り'!$F$16,0)+$H23),月額表!$K$4:$K$12,1),'1_手取り'!$B$7+1)+ROUNDDOWN(ROUND(((ROUNDDOWN(('1_手取り'!$B$3-$G23)/'1_手取り'!$F$16,0)+$H23)-INDEX(月額表!$K$4:$K$12,MATCH((ROUNDDOWN(('1_手取り'!$B$3-$G23)/'1_手取り'!$F$16,0)+$H23),月額表!$K$4:$K$12,1)))*INDEX(月額表!$L$4:$L$12,MATCH((ROUNDDOWN(('1_手取り'!$B$3-$G23)/'1_手取り'!$F$16,0)+$H23),月額表!$K$4:$K$12,1)),4),0)))-IF($H23&lt;105000,0,IF($H23&lt;740000,INDEX(月額表!$B$4:$I$234,MATCH($H23,月額表!$A$4:$A$234,1),'1_手取り'!$B$7+1),INDEX(月額表!$M$4:$T$12,MATCH($H23,月額表!$K$4:$K$12,1),'1_手取り'!$B$7+1)+ROUNDDOWN(ROUND(($H23-INDEX(月額表!$K$4:$K$12,MATCH($H23,月額表!$K$4:$K$12,1)))*INDEX(月額表!$L$4:$L$12,MATCH($H23,月額表!$K$4:$K$12,1)),4),0))))*'1_手取り'!$F$16))</f>
        <v/>
      </c>
      <c r="L23" s="5">
        <f>'1_手取り'!$B$3-$G23-$K23</f>
        <v/>
      </c>
      <c r="M23" s="12">
        <f>$L23-MAX($L$5:$L$51)</f>
        <v/>
      </c>
      <c r="P23" s="5">
        <f>IF('1_手取り'!$B$8="なし","",INDEX(標準報酬!$B$4:$B$53,MATCH('1_手取り'!$B$9,標準報酬!$A$4:$A$53,1)))</f>
        <v/>
      </c>
      <c r="Q23" s="5">
        <f>IF($P23="",0,IF(ROUND($P23*($B23+'1_手取り'!$F$7)/2,4)&lt;=0.5,0,ROUNDUP(ROUND($P23*($B23+'1_手取り'!$F$7)/2,4)-0.5,0))+IF(ROUND($P23*料率!$E$5/2,4)&lt;=0.5,0,ROUNDUP(ROUND($P23*料率!$E$5/2,4)-0.5,0))+IF(ROUND(MIN(MAX($P23,88000),650000)*料率!$E$6/2,4)&lt;=0.5,0,ROUNDUP(ROUND(MIN(MAX($P23,88000),650000)*料率!$E$6/2,4)-0.5,0))+IF(ROUND('1_手取り'!$B$9*INDEX(料率!$E$8:$E$10,MATCH('1_手取り'!$B$6,料率!$D$8:$D$10,0)),4)&lt;=0.5,0,ROUNDUP(ROUND('1_手取り'!$B$9*INDEX(料率!$E$8:$E$10,MATCH('1_手取り'!$B$6,料率!$D$8:$D$10,0)),4)-0.5,0)))</f>
        <v/>
      </c>
    </row>
    <row r="24">
      <c r="A24" s="3" t="inlineStr">
        <is>
          <t>長野県</t>
        </is>
      </c>
      <c r="B24" s="7">
        <f>INDEX(料率!$B$4:$B$50,MATCH($A24,料率!$A$4:$A$50,0))</f>
        <v/>
      </c>
      <c r="C24" s="5">
        <f>IF(ROUND('1_手取り'!$F$4*($B24+'1_手取り'!$F$7)/2,4)&lt;=0.5,0,ROUNDUP(ROUND('1_手取り'!$F$4*($B24+'1_手取り'!$F$7)/2,4)-0.5,0))</f>
        <v/>
      </c>
      <c r="D24" s="5">
        <f>'1_手取り'!$F$9</f>
        <v/>
      </c>
      <c r="E24" s="5">
        <f>'1_手取り'!$F$10</f>
        <v/>
      </c>
      <c r="F24" s="5">
        <f>'1_手取り'!$F$11</f>
        <v/>
      </c>
      <c r="G24" s="5">
        <f>SUM($C24:$F24)</f>
        <v/>
      </c>
      <c r="H24" s="5">
        <f>IF('1_手取り'!$B$8="なし",0,'1_手取り'!$B$9-$Q24)</f>
        <v/>
      </c>
      <c r="I24" s="8">
        <f>IF(OR('1_手取り'!$B$8="なし",$H24&lt;=0),"前月の給与なし",IF(('1_手取り'!$B$3-$G24)&gt;$H24*10,"10倍超","算出率の表"))</f>
        <v/>
      </c>
      <c r="J24" s="9">
        <f>IF($I24="算出率の表",INDEX(算出率!$A$4:$A$24,MATCH($H24,INDEX(算出率!$B$4:$I$24,0,'1_手取り'!$B$7+1),1)),"")</f>
        <v/>
      </c>
      <c r="K24" s="5">
        <f>IF($I24="算出率の表",ROUNDDOWN(ROUND(('1_手取り'!$B$3-$G24)*$J24,4),0),IF($I24="前月の給与なし",IF(ROUNDDOWN(('1_手取り'!$B$3-$G24)/'1_手取り'!$F$16,0)&lt;105000,0,IF(ROUNDDOWN(('1_手取り'!$B$3-$G24)/'1_手取り'!$F$16,0)&lt;740000,INDEX(月額表!$B$4:$I$234,MATCH(ROUNDDOWN(('1_手取り'!$B$3-$G24)/'1_手取り'!$F$16,0),月額表!$A$4:$A$234,1),'1_手取り'!$B$7+1),INDEX(月額表!$M$4:$T$12,MATCH(ROUNDDOWN(('1_手取り'!$B$3-$G24)/'1_手取り'!$F$16,0),月額表!$K$4:$K$12,1),'1_手取り'!$B$7+1)+ROUNDDOWN(ROUND((ROUNDDOWN(('1_手取り'!$B$3-$G24)/'1_手取り'!$F$16,0)-INDEX(月額表!$K$4:$K$12,MATCH(ROUNDDOWN(('1_手取り'!$B$3-$G24)/'1_手取り'!$F$16,0),月額表!$K$4:$K$12,1)))*INDEX(月額表!$L$4:$L$12,MATCH(ROUNDDOWN(('1_手取り'!$B$3-$G24)/'1_手取り'!$F$16,0),月額表!$K$4:$K$12,1)),4),0)))*'1_手取り'!$F$16,(IF((ROUNDDOWN(('1_手取り'!$B$3-$G24)/'1_手取り'!$F$16,0)+$H24)&lt;105000,0,IF((ROUNDDOWN(('1_手取り'!$B$3-$G24)/'1_手取り'!$F$16,0)+$H24)&lt;740000,INDEX(月額表!$B$4:$I$234,MATCH((ROUNDDOWN(('1_手取り'!$B$3-$G24)/'1_手取り'!$F$16,0)+$H24),月額表!$A$4:$A$234,1),'1_手取り'!$B$7+1),INDEX(月額表!$M$4:$T$12,MATCH((ROUNDDOWN(('1_手取り'!$B$3-$G24)/'1_手取り'!$F$16,0)+$H24),月額表!$K$4:$K$12,1),'1_手取り'!$B$7+1)+ROUNDDOWN(ROUND(((ROUNDDOWN(('1_手取り'!$B$3-$G24)/'1_手取り'!$F$16,0)+$H24)-INDEX(月額表!$K$4:$K$12,MATCH((ROUNDDOWN(('1_手取り'!$B$3-$G24)/'1_手取り'!$F$16,0)+$H24),月額表!$K$4:$K$12,1)))*INDEX(月額表!$L$4:$L$12,MATCH((ROUNDDOWN(('1_手取り'!$B$3-$G24)/'1_手取り'!$F$16,0)+$H24),月額表!$K$4:$K$12,1)),4),0)))-IF($H24&lt;105000,0,IF($H24&lt;740000,INDEX(月額表!$B$4:$I$234,MATCH($H24,月額表!$A$4:$A$234,1),'1_手取り'!$B$7+1),INDEX(月額表!$M$4:$T$12,MATCH($H24,月額表!$K$4:$K$12,1),'1_手取り'!$B$7+1)+ROUNDDOWN(ROUND(($H24-INDEX(月額表!$K$4:$K$12,MATCH($H24,月額表!$K$4:$K$12,1)))*INDEX(月額表!$L$4:$L$12,MATCH($H24,月額表!$K$4:$K$12,1)),4),0))))*'1_手取り'!$F$16))</f>
        <v/>
      </c>
      <c r="L24" s="5">
        <f>'1_手取り'!$B$3-$G24-$K24</f>
        <v/>
      </c>
      <c r="M24" s="12">
        <f>$L24-MAX($L$5:$L$51)</f>
        <v/>
      </c>
      <c r="P24" s="5">
        <f>IF('1_手取り'!$B$8="なし","",INDEX(標準報酬!$B$4:$B$53,MATCH('1_手取り'!$B$9,標準報酬!$A$4:$A$53,1)))</f>
        <v/>
      </c>
      <c r="Q24" s="5">
        <f>IF($P24="",0,IF(ROUND($P24*($B24+'1_手取り'!$F$7)/2,4)&lt;=0.5,0,ROUNDUP(ROUND($P24*($B24+'1_手取り'!$F$7)/2,4)-0.5,0))+IF(ROUND($P24*料率!$E$5/2,4)&lt;=0.5,0,ROUNDUP(ROUND($P24*料率!$E$5/2,4)-0.5,0))+IF(ROUND(MIN(MAX($P24,88000),650000)*料率!$E$6/2,4)&lt;=0.5,0,ROUNDUP(ROUND(MIN(MAX($P24,88000),650000)*料率!$E$6/2,4)-0.5,0))+IF(ROUND('1_手取り'!$B$9*INDEX(料率!$E$8:$E$10,MATCH('1_手取り'!$B$6,料率!$D$8:$D$10,0)),4)&lt;=0.5,0,ROUNDUP(ROUND('1_手取り'!$B$9*INDEX(料率!$E$8:$E$10,MATCH('1_手取り'!$B$6,料率!$D$8:$D$10,0)),4)-0.5,0)))</f>
        <v/>
      </c>
    </row>
    <row r="25">
      <c r="A25" s="3" t="inlineStr">
        <is>
          <t>岐阜県</t>
        </is>
      </c>
      <c r="B25" s="7">
        <f>INDEX(料率!$B$4:$B$50,MATCH($A25,料率!$A$4:$A$50,0))</f>
        <v/>
      </c>
      <c r="C25" s="5">
        <f>IF(ROUND('1_手取り'!$F$4*($B25+'1_手取り'!$F$7)/2,4)&lt;=0.5,0,ROUNDUP(ROUND('1_手取り'!$F$4*($B25+'1_手取り'!$F$7)/2,4)-0.5,0))</f>
        <v/>
      </c>
      <c r="D25" s="5">
        <f>'1_手取り'!$F$9</f>
        <v/>
      </c>
      <c r="E25" s="5">
        <f>'1_手取り'!$F$10</f>
        <v/>
      </c>
      <c r="F25" s="5">
        <f>'1_手取り'!$F$11</f>
        <v/>
      </c>
      <c r="G25" s="5">
        <f>SUM($C25:$F25)</f>
        <v/>
      </c>
      <c r="H25" s="5">
        <f>IF('1_手取り'!$B$8="なし",0,'1_手取り'!$B$9-$Q25)</f>
        <v/>
      </c>
      <c r="I25" s="8">
        <f>IF(OR('1_手取り'!$B$8="なし",$H25&lt;=0),"前月の給与なし",IF(('1_手取り'!$B$3-$G25)&gt;$H25*10,"10倍超","算出率の表"))</f>
        <v/>
      </c>
      <c r="J25" s="9">
        <f>IF($I25="算出率の表",INDEX(算出率!$A$4:$A$24,MATCH($H25,INDEX(算出率!$B$4:$I$24,0,'1_手取り'!$B$7+1),1)),"")</f>
        <v/>
      </c>
      <c r="K25" s="5">
        <f>IF($I25="算出率の表",ROUNDDOWN(ROUND(('1_手取り'!$B$3-$G25)*$J25,4),0),IF($I25="前月の給与なし",IF(ROUNDDOWN(('1_手取り'!$B$3-$G25)/'1_手取り'!$F$16,0)&lt;105000,0,IF(ROUNDDOWN(('1_手取り'!$B$3-$G25)/'1_手取り'!$F$16,0)&lt;740000,INDEX(月額表!$B$4:$I$234,MATCH(ROUNDDOWN(('1_手取り'!$B$3-$G25)/'1_手取り'!$F$16,0),月額表!$A$4:$A$234,1),'1_手取り'!$B$7+1),INDEX(月額表!$M$4:$T$12,MATCH(ROUNDDOWN(('1_手取り'!$B$3-$G25)/'1_手取り'!$F$16,0),月額表!$K$4:$K$12,1),'1_手取り'!$B$7+1)+ROUNDDOWN(ROUND((ROUNDDOWN(('1_手取り'!$B$3-$G25)/'1_手取り'!$F$16,0)-INDEX(月額表!$K$4:$K$12,MATCH(ROUNDDOWN(('1_手取り'!$B$3-$G25)/'1_手取り'!$F$16,0),月額表!$K$4:$K$12,1)))*INDEX(月額表!$L$4:$L$12,MATCH(ROUNDDOWN(('1_手取り'!$B$3-$G25)/'1_手取り'!$F$16,0),月額表!$K$4:$K$12,1)),4),0)))*'1_手取り'!$F$16,(IF((ROUNDDOWN(('1_手取り'!$B$3-$G25)/'1_手取り'!$F$16,0)+$H25)&lt;105000,0,IF((ROUNDDOWN(('1_手取り'!$B$3-$G25)/'1_手取り'!$F$16,0)+$H25)&lt;740000,INDEX(月額表!$B$4:$I$234,MATCH((ROUNDDOWN(('1_手取り'!$B$3-$G25)/'1_手取り'!$F$16,0)+$H25),月額表!$A$4:$A$234,1),'1_手取り'!$B$7+1),INDEX(月額表!$M$4:$T$12,MATCH((ROUNDDOWN(('1_手取り'!$B$3-$G25)/'1_手取り'!$F$16,0)+$H25),月額表!$K$4:$K$12,1),'1_手取り'!$B$7+1)+ROUNDDOWN(ROUND(((ROUNDDOWN(('1_手取り'!$B$3-$G25)/'1_手取り'!$F$16,0)+$H25)-INDEX(月額表!$K$4:$K$12,MATCH((ROUNDDOWN(('1_手取り'!$B$3-$G25)/'1_手取り'!$F$16,0)+$H25),月額表!$K$4:$K$12,1)))*INDEX(月額表!$L$4:$L$12,MATCH((ROUNDDOWN(('1_手取り'!$B$3-$G25)/'1_手取り'!$F$16,0)+$H25),月額表!$K$4:$K$12,1)),4),0)))-IF($H25&lt;105000,0,IF($H25&lt;740000,INDEX(月額表!$B$4:$I$234,MATCH($H25,月額表!$A$4:$A$234,1),'1_手取り'!$B$7+1),INDEX(月額表!$M$4:$T$12,MATCH($H25,月額表!$K$4:$K$12,1),'1_手取り'!$B$7+1)+ROUNDDOWN(ROUND(($H25-INDEX(月額表!$K$4:$K$12,MATCH($H25,月額表!$K$4:$K$12,1)))*INDEX(月額表!$L$4:$L$12,MATCH($H25,月額表!$K$4:$K$12,1)),4),0))))*'1_手取り'!$F$16))</f>
        <v/>
      </c>
      <c r="L25" s="5">
        <f>'1_手取り'!$B$3-$G25-$K25</f>
        <v/>
      </c>
      <c r="M25" s="12">
        <f>$L25-MAX($L$5:$L$51)</f>
        <v/>
      </c>
      <c r="P25" s="5">
        <f>IF('1_手取り'!$B$8="なし","",INDEX(標準報酬!$B$4:$B$53,MATCH('1_手取り'!$B$9,標準報酬!$A$4:$A$53,1)))</f>
        <v/>
      </c>
      <c r="Q25" s="5">
        <f>IF($P25="",0,IF(ROUND($P25*($B25+'1_手取り'!$F$7)/2,4)&lt;=0.5,0,ROUNDUP(ROUND($P25*($B25+'1_手取り'!$F$7)/2,4)-0.5,0))+IF(ROUND($P25*料率!$E$5/2,4)&lt;=0.5,0,ROUNDUP(ROUND($P25*料率!$E$5/2,4)-0.5,0))+IF(ROUND(MIN(MAX($P25,88000),650000)*料率!$E$6/2,4)&lt;=0.5,0,ROUNDUP(ROUND(MIN(MAX($P25,88000),650000)*料率!$E$6/2,4)-0.5,0))+IF(ROUND('1_手取り'!$B$9*INDEX(料率!$E$8:$E$10,MATCH('1_手取り'!$B$6,料率!$D$8:$D$10,0)),4)&lt;=0.5,0,ROUNDUP(ROUND('1_手取り'!$B$9*INDEX(料率!$E$8:$E$10,MATCH('1_手取り'!$B$6,料率!$D$8:$D$10,0)),4)-0.5,0)))</f>
        <v/>
      </c>
    </row>
    <row r="26">
      <c r="A26" s="3" t="inlineStr">
        <is>
          <t>静岡県</t>
        </is>
      </c>
      <c r="B26" s="7">
        <f>INDEX(料率!$B$4:$B$50,MATCH($A26,料率!$A$4:$A$50,0))</f>
        <v/>
      </c>
      <c r="C26" s="5">
        <f>IF(ROUND('1_手取り'!$F$4*($B26+'1_手取り'!$F$7)/2,4)&lt;=0.5,0,ROUNDUP(ROUND('1_手取り'!$F$4*($B26+'1_手取り'!$F$7)/2,4)-0.5,0))</f>
        <v/>
      </c>
      <c r="D26" s="5">
        <f>'1_手取り'!$F$9</f>
        <v/>
      </c>
      <c r="E26" s="5">
        <f>'1_手取り'!$F$10</f>
        <v/>
      </c>
      <c r="F26" s="5">
        <f>'1_手取り'!$F$11</f>
        <v/>
      </c>
      <c r="G26" s="5">
        <f>SUM($C26:$F26)</f>
        <v/>
      </c>
      <c r="H26" s="5">
        <f>IF('1_手取り'!$B$8="なし",0,'1_手取り'!$B$9-$Q26)</f>
        <v/>
      </c>
      <c r="I26" s="8">
        <f>IF(OR('1_手取り'!$B$8="なし",$H26&lt;=0),"前月の給与なし",IF(('1_手取り'!$B$3-$G26)&gt;$H26*10,"10倍超","算出率の表"))</f>
        <v/>
      </c>
      <c r="J26" s="9">
        <f>IF($I26="算出率の表",INDEX(算出率!$A$4:$A$24,MATCH($H26,INDEX(算出率!$B$4:$I$24,0,'1_手取り'!$B$7+1),1)),"")</f>
        <v/>
      </c>
      <c r="K26" s="5">
        <f>IF($I26="算出率の表",ROUNDDOWN(ROUND(('1_手取り'!$B$3-$G26)*$J26,4),0),IF($I26="前月の給与なし",IF(ROUNDDOWN(('1_手取り'!$B$3-$G26)/'1_手取り'!$F$16,0)&lt;105000,0,IF(ROUNDDOWN(('1_手取り'!$B$3-$G26)/'1_手取り'!$F$16,0)&lt;740000,INDEX(月額表!$B$4:$I$234,MATCH(ROUNDDOWN(('1_手取り'!$B$3-$G26)/'1_手取り'!$F$16,0),月額表!$A$4:$A$234,1),'1_手取り'!$B$7+1),INDEX(月額表!$M$4:$T$12,MATCH(ROUNDDOWN(('1_手取り'!$B$3-$G26)/'1_手取り'!$F$16,0),月額表!$K$4:$K$12,1),'1_手取り'!$B$7+1)+ROUNDDOWN(ROUND((ROUNDDOWN(('1_手取り'!$B$3-$G26)/'1_手取り'!$F$16,0)-INDEX(月額表!$K$4:$K$12,MATCH(ROUNDDOWN(('1_手取り'!$B$3-$G26)/'1_手取り'!$F$16,0),月額表!$K$4:$K$12,1)))*INDEX(月額表!$L$4:$L$12,MATCH(ROUNDDOWN(('1_手取り'!$B$3-$G26)/'1_手取り'!$F$16,0),月額表!$K$4:$K$12,1)),4),0)))*'1_手取り'!$F$16,(IF((ROUNDDOWN(('1_手取り'!$B$3-$G26)/'1_手取り'!$F$16,0)+$H26)&lt;105000,0,IF((ROUNDDOWN(('1_手取り'!$B$3-$G26)/'1_手取り'!$F$16,0)+$H26)&lt;740000,INDEX(月額表!$B$4:$I$234,MATCH((ROUNDDOWN(('1_手取り'!$B$3-$G26)/'1_手取り'!$F$16,0)+$H26),月額表!$A$4:$A$234,1),'1_手取り'!$B$7+1),INDEX(月額表!$M$4:$T$12,MATCH((ROUNDDOWN(('1_手取り'!$B$3-$G26)/'1_手取り'!$F$16,0)+$H26),月額表!$K$4:$K$12,1),'1_手取り'!$B$7+1)+ROUNDDOWN(ROUND(((ROUNDDOWN(('1_手取り'!$B$3-$G26)/'1_手取り'!$F$16,0)+$H26)-INDEX(月額表!$K$4:$K$12,MATCH((ROUNDDOWN(('1_手取り'!$B$3-$G26)/'1_手取り'!$F$16,0)+$H26),月額表!$K$4:$K$12,1)))*INDEX(月額表!$L$4:$L$12,MATCH((ROUNDDOWN(('1_手取り'!$B$3-$G26)/'1_手取り'!$F$16,0)+$H26),月額表!$K$4:$K$12,1)),4),0)))-IF($H26&lt;105000,0,IF($H26&lt;740000,INDEX(月額表!$B$4:$I$234,MATCH($H26,月額表!$A$4:$A$234,1),'1_手取り'!$B$7+1),INDEX(月額表!$M$4:$T$12,MATCH($H26,月額表!$K$4:$K$12,1),'1_手取り'!$B$7+1)+ROUNDDOWN(ROUND(($H26-INDEX(月額表!$K$4:$K$12,MATCH($H26,月額表!$K$4:$K$12,1)))*INDEX(月額表!$L$4:$L$12,MATCH($H26,月額表!$K$4:$K$12,1)),4),0))))*'1_手取り'!$F$16))</f>
        <v/>
      </c>
      <c r="L26" s="5">
        <f>'1_手取り'!$B$3-$G26-$K26</f>
        <v/>
      </c>
      <c r="M26" s="12">
        <f>$L26-MAX($L$5:$L$51)</f>
        <v/>
      </c>
      <c r="P26" s="5">
        <f>IF('1_手取り'!$B$8="なし","",INDEX(標準報酬!$B$4:$B$53,MATCH('1_手取り'!$B$9,標準報酬!$A$4:$A$53,1)))</f>
        <v/>
      </c>
      <c r="Q26" s="5">
        <f>IF($P26="",0,IF(ROUND($P26*($B26+'1_手取り'!$F$7)/2,4)&lt;=0.5,0,ROUNDUP(ROUND($P26*($B26+'1_手取り'!$F$7)/2,4)-0.5,0))+IF(ROUND($P26*料率!$E$5/2,4)&lt;=0.5,0,ROUNDUP(ROUND($P26*料率!$E$5/2,4)-0.5,0))+IF(ROUND(MIN(MAX($P26,88000),650000)*料率!$E$6/2,4)&lt;=0.5,0,ROUNDUP(ROUND(MIN(MAX($P26,88000),650000)*料率!$E$6/2,4)-0.5,0))+IF(ROUND('1_手取り'!$B$9*INDEX(料率!$E$8:$E$10,MATCH('1_手取り'!$B$6,料率!$D$8:$D$10,0)),4)&lt;=0.5,0,ROUNDUP(ROUND('1_手取り'!$B$9*INDEX(料率!$E$8:$E$10,MATCH('1_手取り'!$B$6,料率!$D$8:$D$10,0)),4)-0.5,0)))</f>
        <v/>
      </c>
    </row>
    <row r="27">
      <c r="A27" s="3" t="inlineStr">
        <is>
          <t>愛知県</t>
        </is>
      </c>
      <c r="B27" s="7">
        <f>INDEX(料率!$B$4:$B$50,MATCH($A27,料率!$A$4:$A$50,0))</f>
        <v/>
      </c>
      <c r="C27" s="5">
        <f>IF(ROUND('1_手取り'!$F$4*($B27+'1_手取り'!$F$7)/2,4)&lt;=0.5,0,ROUNDUP(ROUND('1_手取り'!$F$4*($B27+'1_手取り'!$F$7)/2,4)-0.5,0))</f>
        <v/>
      </c>
      <c r="D27" s="5">
        <f>'1_手取り'!$F$9</f>
        <v/>
      </c>
      <c r="E27" s="5">
        <f>'1_手取り'!$F$10</f>
        <v/>
      </c>
      <c r="F27" s="5">
        <f>'1_手取り'!$F$11</f>
        <v/>
      </c>
      <c r="G27" s="5">
        <f>SUM($C27:$F27)</f>
        <v/>
      </c>
      <c r="H27" s="5">
        <f>IF('1_手取り'!$B$8="なし",0,'1_手取り'!$B$9-$Q27)</f>
        <v/>
      </c>
      <c r="I27" s="8">
        <f>IF(OR('1_手取り'!$B$8="なし",$H27&lt;=0),"前月の給与なし",IF(('1_手取り'!$B$3-$G27)&gt;$H27*10,"10倍超","算出率の表"))</f>
        <v/>
      </c>
      <c r="J27" s="9">
        <f>IF($I27="算出率の表",INDEX(算出率!$A$4:$A$24,MATCH($H27,INDEX(算出率!$B$4:$I$24,0,'1_手取り'!$B$7+1),1)),"")</f>
        <v/>
      </c>
      <c r="K27" s="5">
        <f>IF($I27="算出率の表",ROUNDDOWN(ROUND(('1_手取り'!$B$3-$G27)*$J27,4),0),IF($I27="前月の給与なし",IF(ROUNDDOWN(('1_手取り'!$B$3-$G27)/'1_手取り'!$F$16,0)&lt;105000,0,IF(ROUNDDOWN(('1_手取り'!$B$3-$G27)/'1_手取り'!$F$16,0)&lt;740000,INDEX(月額表!$B$4:$I$234,MATCH(ROUNDDOWN(('1_手取り'!$B$3-$G27)/'1_手取り'!$F$16,0),月額表!$A$4:$A$234,1),'1_手取り'!$B$7+1),INDEX(月額表!$M$4:$T$12,MATCH(ROUNDDOWN(('1_手取り'!$B$3-$G27)/'1_手取り'!$F$16,0),月額表!$K$4:$K$12,1),'1_手取り'!$B$7+1)+ROUNDDOWN(ROUND((ROUNDDOWN(('1_手取り'!$B$3-$G27)/'1_手取り'!$F$16,0)-INDEX(月額表!$K$4:$K$12,MATCH(ROUNDDOWN(('1_手取り'!$B$3-$G27)/'1_手取り'!$F$16,0),月額表!$K$4:$K$12,1)))*INDEX(月額表!$L$4:$L$12,MATCH(ROUNDDOWN(('1_手取り'!$B$3-$G27)/'1_手取り'!$F$16,0),月額表!$K$4:$K$12,1)),4),0)))*'1_手取り'!$F$16,(IF((ROUNDDOWN(('1_手取り'!$B$3-$G27)/'1_手取り'!$F$16,0)+$H27)&lt;105000,0,IF((ROUNDDOWN(('1_手取り'!$B$3-$G27)/'1_手取り'!$F$16,0)+$H27)&lt;740000,INDEX(月額表!$B$4:$I$234,MATCH((ROUNDDOWN(('1_手取り'!$B$3-$G27)/'1_手取り'!$F$16,0)+$H27),月額表!$A$4:$A$234,1),'1_手取り'!$B$7+1),INDEX(月額表!$M$4:$T$12,MATCH((ROUNDDOWN(('1_手取り'!$B$3-$G27)/'1_手取り'!$F$16,0)+$H27),月額表!$K$4:$K$12,1),'1_手取り'!$B$7+1)+ROUNDDOWN(ROUND(((ROUNDDOWN(('1_手取り'!$B$3-$G27)/'1_手取り'!$F$16,0)+$H27)-INDEX(月額表!$K$4:$K$12,MATCH((ROUNDDOWN(('1_手取り'!$B$3-$G27)/'1_手取り'!$F$16,0)+$H27),月額表!$K$4:$K$12,1)))*INDEX(月額表!$L$4:$L$12,MATCH((ROUNDDOWN(('1_手取り'!$B$3-$G27)/'1_手取り'!$F$16,0)+$H27),月額表!$K$4:$K$12,1)),4),0)))-IF($H27&lt;105000,0,IF($H27&lt;740000,INDEX(月額表!$B$4:$I$234,MATCH($H27,月額表!$A$4:$A$234,1),'1_手取り'!$B$7+1),INDEX(月額表!$M$4:$T$12,MATCH($H27,月額表!$K$4:$K$12,1),'1_手取り'!$B$7+1)+ROUNDDOWN(ROUND(($H27-INDEX(月額表!$K$4:$K$12,MATCH($H27,月額表!$K$4:$K$12,1)))*INDEX(月額表!$L$4:$L$12,MATCH($H27,月額表!$K$4:$K$12,1)),4),0))))*'1_手取り'!$F$16))</f>
        <v/>
      </c>
      <c r="L27" s="5">
        <f>'1_手取り'!$B$3-$G27-$K27</f>
        <v/>
      </c>
      <c r="M27" s="12">
        <f>$L27-MAX($L$5:$L$51)</f>
        <v/>
      </c>
      <c r="P27" s="5">
        <f>IF('1_手取り'!$B$8="なし","",INDEX(標準報酬!$B$4:$B$53,MATCH('1_手取り'!$B$9,標準報酬!$A$4:$A$53,1)))</f>
        <v/>
      </c>
      <c r="Q27" s="5">
        <f>IF($P27="",0,IF(ROUND($P27*($B27+'1_手取り'!$F$7)/2,4)&lt;=0.5,0,ROUNDUP(ROUND($P27*($B27+'1_手取り'!$F$7)/2,4)-0.5,0))+IF(ROUND($P27*料率!$E$5/2,4)&lt;=0.5,0,ROUNDUP(ROUND($P27*料率!$E$5/2,4)-0.5,0))+IF(ROUND(MIN(MAX($P27,88000),650000)*料率!$E$6/2,4)&lt;=0.5,0,ROUNDUP(ROUND(MIN(MAX($P27,88000),650000)*料率!$E$6/2,4)-0.5,0))+IF(ROUND('1_手取り'!$B$9*INDEX(料率!$E$8:$E$10,MATCH('1_手取り'!$B$6,料率!$D$8:$D$10,0)),4)&lt;=0.5,0,ROUNDUP(ROUND('1_手取り'!$B$9*INDEX(料率!$E$8:$E$10,MATCH('1_手取り'!$B$6,料率!$D$8:$D$10,0)),4)-0.5,0)))</f>
        <v/>
      </c>
    </row>
    <row r="28">
      <c r="A28" s="3" t="inlineStr">
        <is>
          <t>三重県</t>
        </is>
      </c>
      <c r="B28" s="7">
        <f>INDEX(料率!$B$4:$B$50,MATCH($A28,料率!$A$4:$A$50,0))</f>
        <v/>
      </c>
      <c r="C28" s="5">
        <f>IF(ROUND('1_手取り'!$F$4*($B28+'1_手取り'!$F$7)/2,4)&lt;=0.5,0,ROUNDUP(ROUND('1_手取り'!$F$4*($B28+'1_手取り'!$F$7)/2,4)-0.5,0))</f>
        <v/>
      </c>
      <c r="D28" s="5">
        <f>'1_手取り'!$F$9</f>
        <v/>
      </c>
      <c r="E28" s="5">
        <f>'1_手取り'!$F$10</f>
        <v/>
      </c>
      <c r="F28" s="5">
        <f>'1_手取り'!$F$11</f>
        <v/>
      </c>
      <c r="G28" s="5">
        <f>SUM($C28:$F28)</f>
        <v/>
      </c>
      <c r="H28" s="5">
        <f>IF('1_手取り'!$B$8="なし",0,'1_手取り'!$B$9-$Q28)</f>
        <v/>
      </c>
      <c r="I28" s="8">
        <f>IF(OR('1_手取り'!$B$8="なし",$H28&lt;=0),"前月の給与なし",IF(('1_手取り'!$B$3-$G28)&gt;$H28*10,"10倍超","算出率の表"))</f>
        <v/>
      </c>
      <c r="J28" s="9">
        <f>IF($I28="算出率の表",INDEX(算出率!$A$4:$A$24,MATCH($H28,INDEX(算出率!$B$4:$I$24,0,'1_手取り'!$B$7+1),1)),"")</f>
        <v/>
      </c>
      <c r="K28" s="5">
        <f>IF($I28="算出率の表",ROUNDDOWN(ROUND(('1_手取り'!$B$3-$G28)*$J28,4),0),IF($I28="前月の給与なし",IF(ROUNDDOWN(('1_手取り'!$B$3-$G28)/'1_手取り'!$F$16,0)&lt;105000,0,IF(ROUNDDOWN(('1_手取り'!$B$3-$G28)/'1_手取り'!$F$16,0)&lt;740000,INDEX(月額表!$B$4:$I$234,MATCH(ROUNDDOWN(('1_手取り'!$B$3-$G28)/'1_手取り'!$F$16,0),月額表!$A$4:$A$234,1),'1_手取り'!$B$7+1),INDEX(月額表!$M$4:$T$12,MATCH(ROUNDDOWN(('1_手取り'!$B$3-$G28)/'1_手取り'!$F$16,0),月額表!$K$4:$K$12,1),'1_手取り'!$B$7+1)+ROUNDDOWN(ROUND((ROUNDDOWN(('1_手取り'!$B$3-$G28)/'1_手取り'!$F$16,0)-INDEX(月額表!$K$4:$K$12,MATCH(ROUNDDOWN(('1_手取り'!$B$3-$G28)/'1_手取り'!$F$16,0),月額表!$K$4:$K$12,1)))*INDEX(月額表!$L$4:$L$12,MATCH(ROUNDDOWN(('1_手取り'!$B$3-$G28)/'1_手取り'!$F$16,0),月額表!$K$4:$K$12,1)),4),0)))*'1_手取り'!$F$16,(IF((ROUNDDOWN(('1_手取り'!$B$3-$G28)/'1_手取り'!$F$16,0)+$H28)&lt;105000,0,IF((ROUNDDOWN(('1_手取り'!$B$3-$G28)/'1_手取り'!$F$16,0)+$H28)&lt;740000,INDEX(月額表!$B$4:$I$234,MATCH((ROUNDDOWN(('1_手取り'!$B$3-$G28)/'1_手取り'!$F$16,0)+$H28),月額表!$A$4:$A$234,1),'1_手取り'!$B$7+1),INDEX(月額表!$M$4:$T$12,MATCH((ROUNDDOWN(('1_手取り'!$B$3-$G28)/'1_手取り'!$F$16,0)+$H28),月額表!$K$4:$K$12,1),'1_手取り'!$B$7+1)+ROUNDDOWN(ROUND(((ROUNDDOWN(('1_手取り'!$B$3-$G28)/'1_手取り'!$F$16,0)+$H28)-INDEX(月額表!$K$4:$K$12,MATCH((ROUNDDOWN(('1_手取り'!$B$3-$G28)/'1_手取り'!$F$16,0)+$H28),月額表!$K$4:$K$12,1)))*INDEX(月額表!$L$4:$L$12,MATCH((ROUNDDOWN(('1_手取り'!$B$3-$G28)/'1_手取り'!$F$16,0)+$H28),月額表!$K$4:$K$12,1)),4),0)))-IF($H28&lt;105000,0,IF($H28&lt;740000,INDEX(月額表!$B$4:$I$234,MATCH($H28,月額表!$A$4:$A$234,1),'1_手取り'!$B$7+1),INDEX(月額表!$M$4:$T$12,MATCH($H28,月額表!$K$4:$K$12,1),'1_手取り'!$B$7+1)+ROUNDDOWN(ROUND(($H28-INDEX(月額表!$K$4:$K$12,MATCH($H28,月額表!$K$4:$K$12,1)))*INDEX(月額表!$L$4:$L$12,MATCH($H28,月額表!$K$4:$K$12,1)),4),0))))*'1_手取り'!$F$16))</f>
        <v/>
      </c>
      <c r="L28" s="5">
        <f>'1_手取り'!$B$3-$G28-$K28</f>
        <v/>
      </c>
      <c r="M28" s="12">
        <f>$L28-MAX($L$5:$L$51)</f>
        <v/>
      </c>
      <c r="P28" s="5">
        <f>IF('1_手取り'!$B$8="なし","",INDEX(標準報酬!$B$4:$B$53,MATCH('1_手取り'!$B$9,標準報酬!$A$4:$A$53,1)))</f>
        <v/>
      </c>
      <c r="Q28" s="5">
        <f>IF($P28="",0,IF(ROUND($P28*($B28+'1_手取り'!$F$7)/2,4)&lt;=0.5,0,ROUNDUP(ROUND($P28*($B28+'1_手取り'!$F$7)/2,4)-0.5,0))+IF(ROUND($P28*料率!$E$5/2,4)&lt;=0.5,0,ROUNDUP(ROUND($P28*料率!$E$5/2,4)-0.5,0))+IF(ROUND(MIN(MAX($P28,88000),650000)*料率!$E$6/2,4)&lt;=0.5,0,ROUNDUP(ROUND(MIN(MAX($P28,88000),650000)*料率!$E$6/2,4)-0.5,0))+IF(ROUND('1_手取り'!$B$9*INDEX(料率!$E$8:$E$10,MATCH('1_手取り'!$B$6,料率!$D$8:$D$10,0)),4)&lt;=0.5,0,ROUNDUP(ROUND('1_手取り'!$B$9*INDEX(料率!$E$8:$E$10,MATCH('1_手取り'!$B$6,料率!$D$8:$D$10,0)),4)-0.5,0)))</f>
        <v/>
      </c>
    </row>
    <row r="29">
      <c r="A29" s="3" t="inlineStr">
        <is>
          <t>滋賀県</t>
        </is>
      </c>
      <c r="B29" s="7">
        <f>INDEX(料率!$B$4:$B$50,MATCH($A29,料率!$A$4:$A$50,0))</f>
        <v/>
      </c>
      <c r="C29" s="5">
        <f>IF(ROUND('1_手取り'!$F$4*($B29+'1_手取り'!$F$7)/2,4)&lt;=0.5,0,ROUNDUP(ROUND('1_手取り'!$F$4*($B29+'1_手取り'!$F$7)/2,4)-0.5,0))</f>
        <v/>
      </c>
      <c r="D29" s="5">
        <f>'1_手取り'!$F$9</f>
        <v/>
      </c>
      <c r="E29" s="5">
        <f>'1_手取り'!$F$10</f>
        <v/>
      </c>
      <c r="F29" s="5">
        <f>'1_手取り'!$F$11</f>
        <v/>
      </c>
      <c r="G29" s="5">
        <f>SUM($C29:$F29)</f>
        <v/>
      </c>
      <c r="H29" s="5">
        <f>IF('1_手取り'!$B$8="なし",0,'1_手取り'!$B$9-$Q29)</f>
        <v/>
      </c>
      <c r="I29" s="8">
        <f>IF(OR('1_手取り'!$B$8="なし",$H29&lt;=0),"前月の給与なし",IF(('1_手取り'!$B$3-$G29)&gt;$H29*10,"10倍超","算出率の表"))</f>
        <v/>
      </c>
      <c r="J29" s="9">
        <f>IF($I29="算出率の表",INDEX(算出率!$A$4:$A$24,MATCH($H29,INDEX(算出率!$B$4:$I$24,0,'1_手取り'!$B$7+1),1)),"")</f>
        <v/>
      </c>
      <c r="K29" s="5">
        <f>IF($I29="算出率の表",ROUNDDOWN(ROUND(('1_手取り'!$B$3-$G29)*$J29,4),0),IF($I29="前月の給与なし",IF(ROUNDDOWN(('1_手取り'!$B$3-$G29)/'1_手取り'!$F$16,0)&lt;105000,0,IF(ROUNDDOWN(('1_手取り'!$B$3-$G29)/'1_手取り'!$F$16,0)&lt;740000,INDEX(月額表!$B$4:$I$234,MATCH(ROUNDDOWN(('1_手取り'!$B$3-$G29)/'1_手取り'!$F$16,0),月額表!$A$4:$A$234,1),'1_手取り'!$B$7+1),INDEX(月額表!$M$4:$T$12,MATCH(ROUNDDOWN(('1_手取り'!$B$3-$G29)/'1_手取り'!$F$16,0),月額表!$K$4:$K$12,1),'1_手取り'!$B$7+1)+ROUNDDOWN(ROUND((ROUNDDOWN(('1_手取り'!$B$3-$G29)/'1_手取り'!$F$16,0)-INDEX(月額表!$K$4:$K$12,MATCH(ROUNDDOWN(('1_手取り'!$B$3-$G29)/'1_手取り'!$F$16,0),月額表!$K$4:$K$12,1)))*INDEX(月額表!$L$4:$L$12,MATCH(ROUNDDOWN(('1_手取り'!$B$3-$G29)/'1_手取り'!$F$16,0),月額表!$K$4:$K$12,1)),4),0)))*'1_手取り'!$F$16,(IF((ROUNDDOWN(('1_手取り'!$B$3-$G29)/'1_手取り'!$F$16,0)+$H29)&lt;105000,0,IF((ROUNDDOWN(('1_手取り'!$B$3-$G29)/'1_手取り'!$F$16,0)+$H29)&lt;740000,INDEX(月額表!$B$4:$I$234,MATCH((ROUNDDOWN(('1_手取り'!$B$3-$G29)/'1_手取り'!$F$16,0)+$H29),月額表!$A$4:$A$234,1),'1_手取り'!$B$7+1),INDEX(月額表!$M$4:$T$12,MATCH((ROUNDDOWN(('1_手取り'!$B$3-$G29)/'1_手取り'!$F$16,0)+$H29),月額表!$K$4:$K$12,1),'1_手取り'!$B$7+1)+ROUNDDOWN(ROUND(((ROUNDDOWN(('1_手取り'!$B$3-$G29)/'1_手取り'!$F$16,0)+$H29)-INDEX(月額表!$K$4:$K$12,MATCH((ROUNDDOWN(('1_手取り'!$B$3-$G29)/'1_手取り'!$F$16,0)+$H29),月額表!$K$4:$K$12,1)))*INDEX(月額表!$L$4:$L$12,MATCH((ROUNDDOWN(('1_手取り'!$B$3-$G29)/'1_手取り'!$F$16,0)+$H29),月額表!$K$4:$K$12,1)),4),0)))-IF($H29&lt;105000,0,IF($H29&lt;740000,INDEX(月額表!$B$4:$I$234,MATCH($H29,月額表!$A$4:$A$234,1),'1_手取り'!$B$7+1),INDEX(月額表!$M$4:$T$12,MATCH($H29,月額表!$K$4:$K$12,1),'1_手取り'!$B$7+1)+ROUNDDOWN(ROUND(($H29-INDEX(月額表!$K$4:$K$12,MATCH($H29,月額表!$K$4:$K$12,1)))*INDEX(月額表!$L$4:$L$12,MATCH($H29,月額表!$K$4:$K$12,1)),4),0))))*'1_手取り'!$F$16))</f>
        <v/>
      </c>
      <c r="L29" s="5">
        <f>'1_手取り'!$B$3-$G29-$K29</f>
        <v/>
      </c>
      <c r="M29" s="12">
        <f>$L29-MAX($L$5:$L$51)</f>
        <v/>
      </c>
      <c r="P29" s="5">
        <f>IF('1_手取り'!$B$8="なし","",INDEX(標準報酬!$B$4:$B$53,MATCH('1_手取り'!$B$9,標準報酬!$A$4:$A$53,1)))</f>
        <v/>
      </c>
      <c r="Q29" s="5">
        <f>IF($P29="",0,IF(ROUND($P29*($B29+'1_手取り'!$F$7)/2,4)&lt;=0.5,0,ROUNDUP(ROUND($P29*($B29+'1_手取り'!$F$7)/2,4)-0.5,0))+IF(ROUND($P29*料率!$E$5/2,4)&lt;=0.5,0,ROUNDUP(ROUND($P29*料率!$E$5/2,4)-0.5,0))+IF(ROUND(MIN(MAX($P29,88000),650000)*料率!$E$6/2,4)&lt;=0.5,0,ROUNDUP(ROUND(MIN(MAX($P29,88000),650000)*料率!$E$6/2,4)-0.5,0))+IF(ROUND('1_手取り'!$B$9*INDEX(料率!$E$8:$E$10,MATCH('1_手取り'!$B$6,料率!$D$8:$D$10,0)),4)&lt;=0.5,0,ROUNDUP(ROUND('1_手取り'!$B$9*INDEX(料率!$E$8:$E$10,MATCH('1_手取り'!$B$6,料率!$D$8:$D$10,0)),4)-0.5,0)))</f>
        <v/>
      </c>
    </row>
    <row r="30">
      <c r="A30" s="3" t="inlineStr">
        <is>
          <t>京都府</t>
        </is>
      </c>
      <c r="B30" s="7">
        <f>INDEX(料率!$B$4:$B$50,MATCH($A30,料率!$A$4:$A$50,0))</f>
        <v/>
      </c>
      <c r="C30" s="5">
        <f>IF(ROUND('1_手取り'!$F$4*($B30+'1_手取り'!$F$7)/2,4)&lt;=0.5,0,ROUNDUP(ROUND('1_手取り'!$F$4*($B30+'1_手取り'!$F$7)/2,4)-0.5,0))</f>
        <v/>
      </c>
      <c r="D30" s="5">
        <f>'1_手取り'!$F$9</f>
        <v/>
      </c>
      <c r="E30" s="5">
        <f>'1_手取り'!$F$10</f>
        <v/>
      </c>
      <c r="F30" s="5">
        <f>'1_手取り'!$F$11</f>
        <v/>
      </c>
      <c r="G30" s="5">
        <f>SUM($C30:$F30)</f>
        <v/>
      </c>
      <c r="H30" s="5">
        <f>IF('1_手取り'!$B$8="なし",0,'1_手取り'!$B$9-$Q30)</f>
        <v/>
      </c>
      <c r="I30" s="8">
        <f>IF(OR('1_手取り'!$B$8="なし",$H30&lt;=0),"前月の給与なし",IF(('1_手取り'!$B$3-$G30)&gt;$H30*10,"10倍超","算出率の表"))</f>
        <v/>
      </c>
      <c r="J30" s="9">
        <f>IF($I30="算出率の表",INDEX(算出率!$A$4:$A$24,MATCH($H30,INDEX(算出率!$B$4:$I$24,0,'1_手取り'!$B$7+1),1)),"")</f>
        <v/>
      </c>
      <c r="K30" s="5">
        <f>IF($I30="算出率の表",ROUNDDOWN(ROUND(('1_手取り'!$B$3-$G30)*$J30,4),0),IF($I30="前月の給与なし",IF(ROUNDDOWN(('1_手取り'!$B$3-$G30)/'1_手取り'!$F$16,0)&lt;105000,0,IF(ROUNDDOWN(('1_手取り'!$B$3-$G30)/'1_手取り'!$F$16,0)&lt;740000,INDEX(月額表!$B$4:$I$234,MATCH(ROUNDDOWN(('1_手取り'!$B$3-$G30)/'1_手取り'!$F$16,0),月額表!$A$4:$A$234,1),'1_手取り'!$B$7+1),INDEX(月額表!$M$4:$T$12,MATCH(ROUNDDOWN(('1_手取り'!$B$3-$G30)/'1_手取り'!$F$16,0),月額表!$K$4:$K$12,1),'1_手取り'!$B$7+1)+ROUNDDOWN(ROUND((ROUNDDOWN(('1_手取り'!$B$3-$G30)/'1_手取り'!$F$16,0)-INDEX(月額表!$K$4:$K$12,MATCH(ROUNDDOWN(('1_手取り'!$B$3-$G30)/'1_手取り'!$F$16,0),月額表!$K$4:$K$12,1)))*INDEX(月額表!$L$4:$L$12,MATCH(ROUNDDOWN(('1_手取り'!$B$3-$G30)/'1_手取り'!$F$16,0),月額表!$K$4:$K$12,1)),4),0)))*'1_手取り'!$F$16,(IF((ROUNDDOWN(('1_手取り'!$B$3-$G30)/'1_手取り'!$F$16,0)+$H30)&lt;105000,0,IF((ROUNDDOWN(('1_手取り'!$B$3-$G30)/'1_手取り'!$F$16,0)+$H30)&lt;740000,INDEX(月額表!$B$4:$I$234,MATCH((ROUNDDOWN(('1_手取り'!$B$3-$G30)/'1_手取り'!$F$16,0)+$H30),月額表!$A$4:$A$234,1),'1_手取り'!$B$7+1),INDEX(月額表!$M$4:$T$12,MATCH((ROUNDDOWN(('1_手取り'!$B$3-$G30)/'1_手取り'!$F$16,0)+$H30),月額表!$K$4:$K$12,1),'1_手取り'!$B$7+1)+ROUNDDOWN(ROUND(((ROUNDDOWN(('1_手取り'!$B$3-$G30)/'1_手取り'!$F$16,0)+$H30)-INDEX(月額表!$K$4:$K$12,MATCH((ROUNDDOWN(('1_手取り'!$B$3-$G30)/'1_手取り'!$F$16,0)+$H30),月額表!$K$4:$K$12,1)))*INDEX(月額表!$L$4:$L$12,MATCH((ROUNDDOWN(('1_手取り'!$B$3-$G30)/'1_手取り'!$F$16,0)+$H30),月額表!$K$4:$K$12,1)),4),0)))-IF($H30&lt;105000,0,IF($H30&lt;740000,INDEX(月額表!$B$4:$I$234,MATCH($H30,月額表!$A$4:$A$234,1),'1_手取り'!$B$7+1),INDEX(月額表!$M$4:$T$12,MATCH($H30,月額表!$K$4:$K$12,1),'1_手取り'!$B$7+1)+ROUNDDOWN(ROUND(($H30-INDEX(月額表!$K$4:$K$12,MATCH($H30,月額表!$K$4:$K$12,1)))*INDEX(月額表!$L$4:$L$12,MATCH($H30,月額表!$K$4:$K$12,1)),4),0))))*'1_手取り'!$F$16))</f>
        <v/>
      </c>
      <c r="L30" s="5">
        <f>'1_手取り'!$B$3-$G30-$K30</f>
        <v/>
      </c>
      <c r="M30" s="12">
        <f>$L30-MAX($L$5:$L$51)</f>
        <v/>
      </c>
      <c r="P30" s="5">
        <f>IF('1_手取り'!$B$8="なし","",INDEX(標準報酬!$B$4:$B$53,MATCH('1_手取り'!$B$9,標準報酬!$A$4:$A$53,1)))</f>
        <v/>
      </c>
      <c r="Q30" s="5">
        <f>IF($P30="",0,IF(ROUND($P30*($B30+'1_手取り'!$F$7)/2,4)&lt;=0.5,0,ROUNDUP(ROUND($P30*($B30+'1_手取り'!$F$7)/2,4)-0.5,0))+IF(ROUND($P30*料率!$E$5/2,4)&lt;=0.5,0,ROUNDUP(ROUND($P30*料率!$E$5/2,4)-0.5,0))+IF(ROUND(MIN(MAX($P30,88000),650000)*料率!$E$6/2,4)&lt;=0.5,0,ROUNDUP(ROUND(MIN(MAX($P30,88000),650000)*料率!$E$6/2,4)-0.5,0))+IF(ROUND('1_手取り'!$B$9*INDEX(料率!$E$8:$E$10,MATCH('1_手取り'!$B$6,料率!$D$8:$D$10,0)),4)&lt;=0.5,0,ROUNDUP(ROUND('1_手取り'!$B$9*INDEX(料率!$E$8:$E$10,MATCH('1_手取り'!$B$6,料率!$D$8:$D$10,0)),4)-0.5,0)))</f>
        <v/>
      </c>
    </row>
    <row r="31">
      <c r="A31" s="3" t="inlineStr">
        <is>
          <t>大阪府</t>
        </is>
      </c>
      <c r="B31" s="7">
        <f>INDEX(料率!$B$4:$B$50,MATCH($A31,料率!$A$4:$A$50,0))</f>
        <v/>
      </c>
      <c r="C31" s="5">
        <f>IF(ROUND('1_手取り'!$F$4*($B31+'1_手取り'!$F$7)/2,4)&lt;=0.5,0,ROUNDUP(ROUND('1_手取り'!$F$4*($B31+'1_手取り'!$F$7)/2,4)-0.5,0))</f>
        <v/>
      </c>
      <c r="D31" s="5">
        <f>'1_手取り'!$F$9</f>
        <v/>
      </c>
      <c r="E31" s="5">
        <f>'1_手取り'!$F$10</f>
        <v/>
      </c>
      <c r="F31" s="5">
        <f>'1_手取り'!$F$11</f>
        <v/>
      </c>
      <c r="G31" s="5">
        <f>SUM($C31:$F31)</f>
        <v/>
      </c>
      <c r="H31" s="5">
        <f>IF('1_手取り'!$B$8="なし",0,'1_手取り'!$B$9-$Q31)</f>
        <v/>
      </c>
      <c r="I31" s="8">
        <f>IF(OR('1_手取り'!$B$8="なし",$H31&lt;=0),"前月の給与なし",IF(('1_手取り'!$B$3-$G31)&gt;$H31*10,"10倍超","算出率の表"))</f>
        <v/>
      </c>
      <c r="J31" s="9">
        <f>IF($I31="算出率の表",INDEX(算出率!$A$4:$A$24,MATCH($H31,INDEX(算出率!$B$4:$I$24,0,'1_手取り'!$B$7+1),1)),"")</f>
        <v/>
      </c>
      <c r="K31" s="5">
        <f>IF($I31="算出率の表",ROUNDDOWN(ROUND(('1_手取り'!$B$3-$G31)*$J31,4),0),IF($I31="前月の給与なし",IF(ROUNDDOWN(('1_手取り'!$B$3-$G31)/'1_手取り'!$F$16,0)&lt;105000,0,IF(ROUNDDOWN(('1_手取り'!$B$3-$G31)/'1_手取り'!$F$16,0)&lt;740000,INDEX(月額表!$B$4:$I$234,MATCH(ROUNDDOWN(('1_手取り'!$B$3-$G31)/'1_手取り'!$F$16,0),月額表!$A$4:$A$234,1),'1_手取り'!$B$7+1),INDEX(月額表!$M$4:$T$12,MATCH(ROUNDDOWN(('1_手取り'!$B$3-$G31)/'1_手取り'!$F$16,0),月額表!$K$4:$K$12,1),'1_手取り'!$B$7+1)+ROUNDDOWN(ROUND((ROUNDDOWN(('1_手取り'!$B$3-$G31)/'1_手取り'!$F$16,0)-INDEX(月額表!$K$4:$K$12,MATCH(ROUNDDOWN(('1_手取り'!$B$3-$G31)/'1_手取り'!$F$16,0),月額表!$K$4:$K$12,1)))*INDEX(月額表!$L$4:$L$12,MATCH(ROUNDDOWN(('1_手取り'!$B$3-$G31)/'1_手取り'!$F$16,0),月額表!$K$4:$K$12,1)),4),0)))*'1_手取り'!$F$16,(IF((ROUNDDOWN(('1_手取り'!$B$3-$G31)/'1_手取り'!$F$16,0)+$H31)&lt;105000,0,IF((ROUNDDOWN(('1_手取り'!$B$3-$G31)/'1_手取り'!$F$16,0)+$H31)&lt;740000,INDEX(月額表!$B$4:$I$234,MATCH((ROUNDDOWN(('1_手取り'!$B$3-$G31)/'1_手取り'!$F$16,0)+$H31),月額表!$A$4:$A$234,1),'1_手取り'!$B$7+1),INDEX(月額表!$M$4:$T$12,MATCH((ROUNDDOWN(('1_手取り'!$B$3-$G31)/'1_手取り'!$F$16,0)+$H31),月額表!$K$4:$K$12,1),'1_手取り'!$B$7+1)+ROUNDDOWN(ROUND(((ROUNDDOWN(('1_手取り'!$B$3-$G31)/'1_手取り'!$F$16,0)+$H31)-INDEX(月額表!$K$4:$K$12,MATCH((ROUNDDOWN(('1_手取り'!$B$3-$G31)/'1_手取り'!$F$16,0)+$H31),月額表!$K$4:$K$12,1)))*INDEX(月額表!$L$4:$L$12,MATCH((ROUNDDOWN(('1_手取り'!$B$3-$G31)/'1_手取り'!$F$16,0)+$H31),月額表!$K$4:$K$12,1)),4),0)))-IF($H31&lt;105000,0,IF($H31&lt;740000,INDEX(月額表!$B$4:$I$234,MATCH($H31,月額表!$A$4:$A$234,1),'1_手取り'!$B$7+1),INDEX(月額表!$M$4:$T$12,MATCH($H31,月額表!$K$4:$K$12,1),'1_手取り'!$B$7+1)+ROUNDDOWN(ROUND(($H31-INDEX(月額表!$K$4:$K$12,MATCH($H31,月額表!$K$4:$K$12,1)))*INDEX(月額表!$L$4:$L$12,MATCH($H31,月額表!$K$4:$K$12,1)),4),0))))*'1_手取り'!$F$16))</f>
        <v/>
      </c>
      <c r="L31" s="5">
        <f>'1_手取り'!$B$3-$G31-$K31</f>
        <v/>
      </c>
      <c r="M31" s="12">
        <f>$L31-MAX($L$5:$L$51)</f>
        <v/>
      </c>
      <c r="P31" s="5">
        <f>IF('1_手取り'!$B$8="なし","",INDEX(標準報酬!$B$4:$B$53,MATCH('1_手取り'!$B$9,標準報酬!$A$4:$A$53,1)))</f>
        <v/>
      </c>
      <c r="Q31" s="5">
        <f>IF($P31="",0,IF(ROUND($P31*($B31+'1_手取り'!$F$7)/2,4)&lt;=0.5,0,ROUNDUP(ROUND($P31*($B31+'1_手取り'!$F$7)/2,4)-0.5,0))+IF(ROUND($P31*料率!$E$5/2,4)&lt;=0.5,0,ROUNDUP(ROUND($P31*料率!$E$5/2,4)-0.5,0))+IF(ROUND(MIN(MAX($P31,88000),650000)*料率!$E$6/2,4)&lt;=0.5,0,ROUNDUP(ROUND(MIN(MAX($P31,88000),650000)*料率!$E$6/2,4)-0.5,0))+IF(ROUND('1_手取り'!$B$9*INDEX(料率!$E$8:$E$10,MATCH('1_手取り'!$B$6,料率!$D$8:$D$10,0)),4)&lt;=0.5,0,ROUNDUP(ROUND('1_手取り'!$B$9*INDEX(料率!$E$8:$E$10,MATCH('1_手取り'!$B$6,料率!$D$8:$D$10,0)),4)-0.5,0)))</f>
        <v/>
      </c>
    </row>
    <row r="32">
      <c r="A32" s="3" t="inlineStr">
        <is>
          <t>兵庫県</t>
        </is>
      </c>
      <c r="B32" s="7">
        <f>INDEX(料率!$B$4:$B$50,MATCH($A32,料率!$A$4:$A$50,0))</f>
        <v/>
      </c>
      <c r="C32" s="5">
        <f>IF(ROUND('1_手取り'!$F$4*($B32+'1_手取り'!$F$7)/2,4)&lt;=0.5,0,ROUNDUP(ROUND('1_手取り'!$F$4*($B32+'1_手取り'!$F$7)/2,4)-0.5,0))</f>
        <v/>
      </c>
      <c r="D32" s="5">
        <f>'1_手取り'!$F$9</f>
        <v/>
      </c>
      <c r="E32" s="5">
        <f>'1_手取り'!$F$10</f>
        <v/>
      </c>
      <c r="F32" s="5">
        <f>'1_手取り'!$F$11</f>
        <v/>
      </c>
      <c r="G32" s="5">
        <f>SUM($C32:$F32)</f>
        <v/>
      </c>
      <c r="H32" s="5">
        <f>IF('1_手取り'!$B$8="なし",0,'1_手取り'!$B$9-$Q32)</f>
        <v/>
      </c>
      <c r="I32" s="8">
        <f>IF(OR('1_手取り'!$B$8="なし",$H32&lt;=0),"前月の給与なし",IF(('1_手取り'!$B$3-$G32)&gt;$H32*10,"10倍超","算出率の表"))</f>
        <v/>
      </c>
      <c r="J32" s="9">
        <f>IF($I32="算出率の表",INDEX(算出率!$A$4:$A$24,MATCH($H32,INDEX(算出率!$B$4:$I$24,0,'1_手取り'!$B$7+1),1)),"")</f>
        <v/>
      </c>
      <c r="K32" s="5">
        <f>IF($I32="算出率の表",ROUNDDOWN(ROUND(('1_手取り'!$B$3-$G32)*$J32,4),0),IF($I32="前月の給与なし",IF(ROUNDDOWN(('1_手取り'!$B$3-$G32)/'1_手取り'!$F$16,0)&lt;105000,0,IF(ROUNDDOWN(('1_手取り'!$B$3-$G32)/'1_手取り'!$F$16,0)&lt;740000,INDEX(月額表!$B$4:$I$234,MATCH(ROUNDDOWN(('1_手取り'!$B$3-$G32)/'1_手取り'!$F$16,0),月額表!$A$4:$A$234,1),'1_手取り'!$B$7+1),INDEX(月額表!$M$4:$T$12,MATCH(ROUNDDOWN(('1_手取り'!$B$3-$G32)/'1_手取り'!$F$16,0),月額表!$K$4:$K$12,1),'1_手取り'!$B$7+1)+ROUNDDOWN(ROUND((ROUNDDOWN(('1_手取り'!$B$3-$G32)/'1_手取り'!$F$16,0)-INDEX(月額表!$K$4:$K$12,MATCH(ROUNDDOWN(('1_手取り'!$B$3-$G32)/'1_手取り'!$F$16,0),月額表!$K$4:$K$12,1)))*INDEX(月額表!$L$4:$L$12,MATCH(ROUNDDOWN(('1_手取り'!$B$3-$G32)/'1_手取り'!$F$16,0),月額表!$K$4:$K$12,1)),4),0)))*'1_手取り'!$F$16,(IF((ROUNDDOWN(('1_手取り'!$B$3-$G32)/'1_手取り'!$F$16,0)+$H32)&lt;105000,0,IF((ROUNDDOWN(('1_手取り'!$B$3-$G32)/'1_手取り'!$F$16,0)+$H32)&lt;740000,INDEX(月額表!$B$4:$I$234,MATCH((ROUNDDOWN(('1_手取り'!$B$3-$G32)/'1_手取り'!$F$16,0)+$H32),月額表!$A$4:$A$234,1),'1_手取り'!$B$7+1),INDEX(月額表!$M$4:$T$12,MATCH((ROUNDDOWN(('1_手取り'!$B$3-$G32)/'1_手取り'!$F$16,0)+$H32),月額表!$K$4:$K$12,1),'1_手取り'!$B$7+1)+ROUNDDOWN(ROUND(((ROUNDDOWN(('1_手取り'!$B$3-$G32)/'1_手取り'!$F$16,0)+$H32)-INDEX(月額表!$K$4:$K$12,MATCH((ROUNDDOWN(('1_手取り'!$B$3-$G32)/'1_手取り'!$F$16,0)+$H32),月額表!$K$4:$K$12,1)))*INDEX(月額表!$L$4:$L$12,MATCH((ROUNDDOWN(('1_手取り'!$B$3-$G32)/'1_手取り'!$F$16,0)+$H32),月額表!$K$4:$K$12,1)),4),0)))-IF($H32&lt;105000,0,IF($H32&lt;740000,INDEX(月額表!$B$4:$I$234,MATCH($H32,月額表!$A$4:$A$234,1),'1_手取り'!$B$7+1),INDEX(月額表!$M$4:$T$12,MATCH($H32,月額表!$K$4:$K$12,1),'1_手取り'!$B$7+1)+ROUNDDOWN(ROUND(($H32-INDEX(月額表!$K$4:$K$12,MATCH($H32,月額表!$K$4:$K$12,1)))*INDEX(月額表!$L$4:$L$12,MATCH($H32,月額表!$K$4:$K$12,1)),4),0))))*'1_手取り'!$F$16))</f>
        <v/>
      </c>
      <c r="L32" s="5">
        <f>'1_手取り'!$B$3-$G32-$K32</f>
        <v/>
      </c>
      <c r="M32" s="12">
        <f>$L32-MAX($L$5:$L$51)</f>
        <v/>
      </c>
      <c r="P32" s="5">
        <f>IF('1_手取り'!$B$8="なし","",INDEX(標準報酬!$B$4:$B$53,MATCH('1_手取り'!$B$9,標準報酬!$A$4:$A$53,1)))</f>
        <v/>
      </c>
      <c r="Q32" s="5">
        <f>IF($P32="",0,IF(ROUND($P32*($B32+'1_手取り'!$F$7)/2,4)&lt;=0.5,0,ROUNDUP(ROUND($P32*($B32+'1_手取り'!$F$7)/2,4)-0.5,0))+IF(ROUND($P32*料率!$E$5/2,4)&lt;=0.5,0,ROUNDUP(ROUND($P32*料率!$E$5/2,4)-0.5,0))+IF(ROUND(MIN(MAX($P32,88000),650000)*料率!$E$6/2,4)&lt;=0.5,0,ROUNDUP(ROUND(MIN(MAX($P32,88000),650000)*料率!$E$6/2,4)-0.5,0))+IF(ROUND('1_手取り'!$B$9*INDEX(料率!$E$8:$E$10,MATCH('1_手取り'!$B$6,料率!$D$8:$D$10,0)),4)&lt;=0.5,0,ROUNDUP(ROUND('1_手取り'!$B$9*INDEX(料率!$E$8:$E$10,MATCH('1_手取り'!$B$6,料率!$D$8:$D$10,0)),4)-0.5,0)))</f>
        <v/>
      </c>
    </row>
    <row r="33">
      <c r="A33" s="3" t="inlineStr">
        <is>
          <t>奈良県</t>
        </is>
      </c>
      <c r="B33" s="7">
        <f>INDEX(料率!$B$4:$B$50,MATCH($A33,料率!$A$4:$A$50,0))</f>
        <v/>
      </c>
      <c r="C33" s="5">
        <f>IF(ROUND('1_手取り'!$F$4*($B33+'1_手取り'!$F$7)/2,4)&lt;=0.5,0,ROUNDUP(ROUND('1_手取り'!$F$4*($B33+'1_手取り'!$F$7)/2,4)-0.5,0))</f>
        <v/>
      </c>
      <c r="D33" s="5">
        <f>'1_手取り'!$F$9</f>
        <v/>
      </c>
      <c r="E33" s="5">
        <f>'1_手取り'!$F$10</f>
        <v/>
      </c>
      <c r="F33" s="5">
        <f>'1_手取り'!$F$11</f>
        <v/>
      </c>
      <c r="G33" s="5">
        <f>SUM($C33:$F33)</f>
        <v/>
      </c>
      <c r="H33" s="5">
        <f>IF('1_手取り'!$B$8="なし",0,'1_手取り'!$B$9-$Q33)</f>
        <v/>
      </c>
      <c r="I33" s="8">
        <f>IF(OR('1_手取り'!$B$8="なし",$H33&lt;=0),"前月の給与なし",IF(('1_手取り'!$B$3-$G33)&gt;$H33*10,"10倍超","算出率の表"))</f>
        <v/>
      </c>
      <c r="J33" s="9">
        <f>IF($I33="算出率の表",INDEX(算出率!$A$4:$A$24,MATCH($H33,INDEX(算出率!$B$4:$I$24,0,'1_手取り'!$B$7+1),1)),"")</f>
        <v/>
      </c>
      <c r="K33" s="5">
        <f>IF($I33="算出率の表",ROUNDDOWN(ROUND(('1_手取り'!$B$3-$G33)*$J33,4),0),IF($I33="前月の給与なし",IF(ROUNDDOWN(('1_手取り'!$B$3-$G33)/'1_手取り'!$F$16,0)&lt;105000,0,IF(ROUNDDOWN(('1_手取り'!$B$3-$G33)/'1_手取り'!$F$16,0)&lt;740000,INDEX(月額表!$B$4:$I$234,MATCH(ROUNDDOWN(('1_手取り'!$B$3-$G33)/'1_手取り'!$F$16,0),月額表!$A$4:$A$234,1),'1_手取り'!$B$7+1),INDEX(月額表!$M$4:$T$12,MATCH(ROUNDDOWN(('1_手取り'!$B$3-$G33)/'1_手取り'!$F$16,0),月額表!$K$4:$K$12,1),'1_手取り'!$B$7+1)+ROUNDDOWN(ROUND((ROUNDDOWN(('1_手取り'!$B$3-$G33)/'1_手取り'!$F$16,0)-INDEX(月額表!$K$4:$K$12,MATCH(ROUNDDOWN(('1_手取り'!$B$3-$G33)/'1_手取り'!$F$16,0),月額表!$K$4:$K$12,1)))*INDEX(月額表!$L$4:$L$12,MATCH(ROUNDDOWN(('1_手取り'!$B$3-$G33)/'1_手取り'!$F$16,0),月額表!$K$4:$K$12,1)),4),0)))*'1_手取り'!$F$16,(IF((ROUNDDOWN(('1_手取り'!$B$3-$G33)/'1_手取り'!$F$16,0)+$H33)&lt;105000,0,IF((ROUNDDOWN(('1_手取り'!$B$3-$G33)/'1_手取り'!$F$16,0)+$H33)&lt;740000,INDEX(月額表!$B$4:$I$234,MATCH((ROUNDDOWN(('1_手取り'!$B$3-$G33)/'1_手取り'!$F$16,0)+$H33),月額表!$A$4:$A$234,1),'1_手取り'!$B$7+1),INDEX(月額表!$M$4:$T$12,MATCH((ROUNDDOWN(('1_手取り'!$B$3-$G33)/'1_手取り'!$F$16,0)+$H33),月額表!$K$4:$K$12,1),'1_手取り'!$B$7+1)+ROUNDDOWN(ROUND(((ROUNDDOWN(('1_手取り'!$B$3-$G33)/'1_手取り'!$F$16,0)+$H33)-INDEX(月額表!$K$4:$K$12,MATCH((ROUNDDOWN(('1_手取り'!$B$3-$G33)/'1_手取り'!$F$16,0)+$H33),月額表!$K$4:$K$12,1)))*INDEX(月額表!$L$4:$L$12,MATCH((ROUNDDOWN(('1_手取り'!$B$3-$G33)/'1_手取り'!$F$16,0)+$H33),月額表!$K$4:$K$12,1)),4),0)))-IF($H33&lt;105000,0,IF($H33&lt;740000,INDEX(月額表!$B$4:$I$234,MATCH($H33,月額表!$A$4:$A$234,1),'1_手取り'!$B$7+1),INDEX(月額表!$M$4:$T$12,MATCH($H33,月額表!$K$4:$K$12,1),'1_手取り'!$B$7+1)+ROUNDDOWN(ROUND(($H33-INDEX(月額表!$K$4:$K$12,MATCH($H33,月額表!$K$4:$K$12,1)))*INDEX(月額表!$L$4:$L$12,MATCH($H33,月額表!$K$4:$K$12,1)),4),0))))*'1_手取り'!$F$16))</f>
        <v/>
      </c>
      <c r="L33" s="5">
        <f>'1_手取り'!$B$3-$G33-$K33</f>
        <v/>
      </c>
      <c r="M33" s="12">
        <f>$L33-MAX($L$5:$L$51)</f>
        <v/>
      </c>
      <c r="P33" s="5">
        <f>IF('1_手取り'!$B$8="なし","",INDEX(標準報酬!$B$4:$B$53,MATCH('1_手取り'!$B$9,標準報酬!$A$4:$A$53,1)))</f>
        <v/>
      </c>
      <c r="Q33" s="5">
        <f>IF($P33="",0,IF(ROUND($P33*($B33+'1_手取り'!$F$7)/2,4)&lt;=0.5,0,ROUNDUP(ROUND($P33*($B33+'1_手取り'!$F$7)/2,4)-0.5,0))+IF(ROUND($P33*料率!$E$5/2,4)&lt;=0.5,0,ROUNDUP(ROUND($P33*料率!$E$5/2,4)-0.5,0))+IF(ROUND(MIN(MAX($P33,88000),650000)*料率!$E$6/2,4)&lt;=0.5,0,ROUNDUP(ROUND(MIN(MAX($P33,88000),650000)*料率!$E$6/2,4)-0.5,0))+IF(ROUND('1_手取り'!$B$9*INDEX(料率!$E$8:$E$10,MATCH('1_手取り'!$B$6,料率!$D$8:$D$10,0)),4)&lt;=0.5,0,ROUNDUP(ROUND('1_手取り'!$B$9*INDEX(料率!$E$8:$E$10,MATCH('1_手取り'!$B$6,料率!$D$8:$D$10,0)),4)-0.5,0)))</f>
        <v/>
      </c>
    </row>
    <row r="34">
      <c r="A34" s="3" t="inlineStr">
        <is>
          <t>和歌山県</t>
        </is>
      </c>
      <c r="B34" s="7">
        <f>INDEX(料率!$B$4:$B$50,MATCH($A34,料率!$A$4:$A$50,0))</f>
        <v/>
      </c>
      <c r="C34" s="5">
        <f>IF(ROUND('1_手取り'!$F$4*($B34+'1_手取り'!$F$7)/2,4)&lt;=0.5,0,ROUNDUP(ROUND('1_手取り'!$F$4*($B34+'1_手取り'!$F$7)/2,4)-0.5,0))</f>
        <v/>
      </c>
      <c r="D34" s="5">
        <f>'1_手取り'!$F$9</f>
        <v/>
      </c>
      <c r="E34" s="5">
        <f>'1_手取り'!$F$10</f>
        <v/>
      </c>
      <c r="F34" s="5">
        <f>'1_手取り'!$F$11</f>
        <v/>
      </c>
      <c r="G34" s="5">
        <f>SUM($C34:$F34)</f>
        <v/>
      </c>
      <c r="H34" s="5">
        <f>IF('1_手取り'!$B$8="なし",0,'1_手取り'!$B$9-$Q34)</f>
        <v/>
      </c>
      <c r="I34" s="8">
        <f>IF(OR('1_手取り'!$B$8="なし",$H34&lt;=0),"前月の給与なし",IF(('1_手取り'!$B$3-$G34)&gt;$H34*10,"10倍超","算出率の表"))</f>
        <v/>
      </c>
      <c r="J34" s="9">
        <f>IF($I34="算出率の表",INDEX(算出率!$A$4:$A$24,MATCH($H34,INDEX(算出率!$B$4:$I$24,0,'1_手取り'!$B$7+1),1)),"")</f>
        <v/>
      </c>
      <c r="K34" s="5">
        <f>IF($I34="算出率の表",ROUNDDOWN(ROUND(('1_手取り'!$B$3-$G34)*$J34,4),0),IF($I34="前月の給与なし",IF(ROUNDDOWN(('1_手取り'!$B$3-$G34)/'1_手取り'!$F$16,0)&lt;105000,0,IF(ROUNDDOWN(('1_手取り'!$B$3-$G34)/'1_手取り'!$F$16,0)&lt;740000,INDEX(月額表!$B$4:$I$234,MATCH(ROUNDDOWN(('1_手取り'!$B$3-$G34)/'1_手取り'!$F$16,0),月額表!$A$4:$A$234,1),'1_手取り'!$B$7+1),INDEX(月額表!$M$4:$T$12,MATCH(ROUNDDOWN(('1_手取り'!$B$3-$G34)/'1_手取り'!$F$16,0),月額表!$K$4:$K$12,1),'1_手取り'!$B$7+1)+ROUNDDOWN(ROUND((ROUNDDOWN(('1_手取り'!$B$3-$G34)/'1_手取り'!$F$16,0)-INDEX(月額表!$K$4:$K$12,MATCH(ROUNDDOWN(('1_手取り'!$B$3-$G34)/'1_手取り'!$F$16,0),月額表!$K$4:$K$12,1)))*INDEX(月額表!$L$4:$L$12,MATCH(ROUNDDOWN(('1_手取り'!$B$3-$G34)/'1_手取り'!$F$16,0),月額表!$K$4:$K$12,1)),4),0)))*'1_手取り'!$F$16,(IF((ROUNDDOWN(('1_手取り'!$B$3-$G34)/'1_手取り'!$F$16,0)+$H34)&lt;105000,0,IF((ROUNDDOWN(('1_手取り'!$B$3-$G34)/'1_手取り'!$F$16,0)+$H34)&lt;740000,INDEX(月額表!$B$4:$I$234,MATCH((ROUNDDOWN(('1_手取り'!$B$3-$G34)/'1_手取り'!$F$16,0)+$H34),月額表!$A$4:$A$234,1),'1_手取り'!$B$7+1),INDEX(月額表!$M$4:$T$12,MATCH((ROUNDDOWN(('1_手取り'!$B$3-$G34)/'1_手取り'!$F$16,0)+$H34),月額表!$K$4:$K$12,1),'1_手取り'!$B$7+1)+ROUNDDOWN(ROUND(((ROUNDDOWN(('1_手取り'!$B$3-$G34)/'1_手取り'!$F$16,0)+$H34)-INDEX(月額表!$K$4:$K$12,MATCH((ROUNDDOWN(('1_手取り'!$B$3-$G34)/'1_手取り'!$F$16,0)+$H34),月額表!$K$4:$K$12,1)))*INDEX(月額表!$L$4:$L$12,MATCH((ROUNDDOWN(('1_手取り'!$B$3-$G34)/'1_手取り'!$F$16,0)+$H34),月額表!$K$4:$K$12,1)),4),0)))-IF($H34&lt;105000,0,IF($H34&lt;740000,INDEX(月額表!$B$4:$I$234,MATCH($H34,月額表!$A$4:$A$234,1),'1_手取り'!$B$7+1),INDEX(月額表!$M$4:$T$12,MATCH($H34,月額表!$K$4:$K$12,1),'1_手取り'!$B$7+1)+ROUNDDOWN(ROUND(($H34-INDEX(月額表!$K$4:$K$12,MATCH($H34,月額表!$K$4:$K$12,1)))*INDEX(月額表!$L$4:$L$12,MATCH($H34,月額表!$K$4:$K$12,1)),4),0))))*'1_手取り'!$F$16))</f>
        <v/>
      </c>
      <c r="L34" s="5">
        <f>'1_手取り'!$B$3-$G34-$K34</f>
        <v/>
      </c>
      <c r="M34" s="12">
        <f>$L34-MAX($L$5:$L$51)</f>
        <v/>
      </c>
      <c r="P34" s="5">
        <f>IF('1_手取り'!$B$8="なし","",INDEX(標準報酬!$B$4:$B$53,MATCH('1_手取り'!$B$9,標準報酬!$A$4:$A$53,1)))</f>
        <v/>
      </c>
      <c r="Q34" s="5">
        <f>IF($P34="",0,IF(ROUND($P34*($B34+'1_手取り'!$F$7)/2,4)&lt;=0.5,0,ROUNDUP(ROUND($P34*($B34+'1_手取り'!$F$7)/2,4)-0.5,0))+IF(ROUND($P34*料率!$E$5/2,4)&lt;=0.5,0,ROUNDUP(ROUND($P34*料率!$E$5/2,4)-0.5,0))+IF(ROUND(MIN(MAX($P34,88000),650000)*料率!$E$6/2,4)&lt;=0.5,0,ROUNDUP(ROUND(MIN(MAX($P34,88000),650000)*料率!$E$6/2,4)-0.5,0))+IF(ROUND('1_手取り'!$B$9*INDEX(料率!$E$8:$E$10,MATCH('1_手取り'!$B$6,料率!$D$8:$D$10,0)),4)&lt;=0.5,0,ROUNDUP(ROUND('1_手取り'!$B$9*INDEX(料率!$E$8:$E$10,MATCH('1_手取り'!$B$6,料率!$D$8:$D$10,0)),4)-0.5,0)))</f>
        <v/>
      </c>
    </row>
    <row r="35">
      <c r="A35" s="3" t="inlineStr">
        <is>
          <t>鳥取県</t>
        </is>
      </c>
      <c r="B35" s="7">
        <f>INDEX(料率!$B$4:$B$50,MATCH($A35,料率!$A$4:$A$50,0))</f>
        <v/>
      </c>
      <c r="C35" s="5">
        <f>IF(ROUND('1_手取り'!$F$4*($B35+'1_手取り'!$F$7)/2,4)&lt;=0.5,0,ROUNDUP(ROUND('1_手取り'!$F$4*($B35+'1_手取り'!$F$7)/2,4)-0.5,0))</f>
        <v/>
      </c>
      <c r="D35" s="5">
        <f>'1_手取り'!$F$9</f>
        <v/>
      </c>
      <c r="E35" s="5">
        <f>'1_手取り'!$F$10</f>
        <v/>
      </c>
      <c r="F35" s="5">
        <f>'1_手取り'!$F$11</f>
        <v/>
      </c>
      <c r="G35" s="5">
        <f>SUM($C35:$F35)</f>
        <v/>
      </c>
      <c r="H35" s="5">
        <f>IF('1_手取り'!$B$8="なし",0,'1_手取り'!$B$9-$Q35)</f>
        <v/>
      </c>
      <c r="I35" s="8">
        <f>IF(OR('1_手取り'!$B$8="なし",$H35&lt;=0),"前月の給与なし",IF(('1_手取り'!$B$3-$G35)&gt;$H35*10,"10倍超","算出率の表"))</f>
        <v/>
      </c>
      <c r="J35" s="9">
        <f>IF($I35="算出率の表",INDEX(算出率!$A$4:$A$24,MATCH($H35,INDEX(算出率!$B$4:$I$24,0,'1_手取り'!$B$7+1),1)),"")</f>
        <v/>
      </c>
      <c r="K35" s="5">
        <f>IF($I35="算出率の表",ROUNDDOWN(ROUND(('1_手取り'!$B$3-$G35)*$J35,4),0),IF($I35="前月の給与なし",IF(ROUNDDOWN(('1_手取り'!$B$3-$G35)/'1_手取り'!$F$16,0)&lt;105000,0,IF(ROUNDDOWN(('1_手取り'!$B$3-$G35)/'1_手取り'!$F$16,0)&lt;740000,INDEX(月額表!$B$4:$I$234,MATCH(ROUNDDOWN(('1_手取り'!$B$3-$G35)/'1_手取り'!$F$16,0),月額表!$A$4:$A$234,1),'1_手取り'!$B$7+1),INDEX(月額表!$M$4:$T$12,MATCH(ROUNDDOWN(('1_手取り'!$B$3-$G35)/'1_手取り'!$F$16,0),月額表!$K$4:$K$12,1),'1_手取り'!$B$7+1)+ROUNDDOWN(ROUND((ROUNDDOWN(('1_手取り'!$B$3-$G35)/'1_手取り'!$F$16,0)-INDEX(月額表!$K$4:$K$12,MATCH(ROUNDDOWN(('1_手取り'!$B$3-$G35)/'1_手取り'!$F$16,0),月額表!$K$4:$K$12,1)))*INDEX(月額表!$L$4:$L$12,MATCH(ROUNDDOWN(('1_手取り'!$B$3-$G35)/'1_手取り'!$F$16,0),月額表!$K$4:$K$12,1)),4),0)))*'1_手取り'!$F$16,(IF((ROUNDDOWN(('1_手取り'!$B$3-$G35)/'1_手取り'!$F$16,0)+$H35)&lt;105000,0,IF((ROUNDDOWN(('1_手取り'!$B$3-$G35)/'1_手取り'!$F$16,0)+$H35)&lt;740000,INDEX(月額表!$B$4:$I$234,MATCH((ROUNDDOWN(('1_手取り'!$B$3-$G35)/'1_手取り'!$F$16,0)+$H35),月額表!$A$4:$A$234,1),'1_手取り'!$B$7+1),INDEX(月額表!$M$4:$T$12,MATCH((ROUNDDOWN(('1_手取り'!$B$3-$G35)/'1_手取り'!$F$16,0)+$H35),月額表!$K$4:$K$12,1),'1_手取り'!$B$7+1)+ROUNDDOWN(ROUND(((ROUNDDOWN(('1_手取り'!$B$3-$G35)/'1_手取り'!$F$16,0)+$H35)-INDEX(月額表!$K$4:$K$12,MATCH((ROUNDDOWN(('1_手取り'!$B$3-$G35)/'1_手取り'!$F$16,0)+$H35),月額表!$K$4:$K$12,1)))*INDEX(月額表!$L$4:$L$12,MATCH((ROUNDDOWN(('1_手取り'!$B$3-$G35)/'1_手取り'!$F$16,0)+$H35),月額表!$K$4:$K$12,1)),4),0)))-IF($H35&lt;105000,0,IF($H35&lt;740000,INDEX(月額表!$B$4:$I$234,MATCH($H35,月額表!$A$4:$A$234,1),'1_手取り'!$B$7+1),INDEX(月額表!$M$4:$T$12,MATCH($H35,月額表!$K$4:$K$12,1),'1_手取り'!$B$7+1)+ROUNDDOWN(ROUND(($H35-INDEX(月額表!$K$4:$K$12,MATCH($H35,月額表!$K$4:$K$12,1)))*INDEX(月額表!$L$4:$L$12,MATCH($H35,月額表!$K$4:$K$12,1)),4),0))))*'1_手取り'!$F$16))</f>
        <v/>
      </c>
      <c r="L35" s="5">
        <f>'1_手取り'!$B$3-$G35-$K35</f>
        <v/>
      </c>
      <c r="M35" s="12">
        <f>$L35-MAX($L$5:$L$51)</f>
        <v/>
      </c>
      <c r="P35" s="5">
        <f>IF('1_手取り'!$B$8="なし","",INDEX(標準報酬!$B$4:$B$53,MATCH('1_手取り'!$B$9,標準報酬!$A$4:$A$53,1)))</f>
        <v/>
      </c>
      <c r="Q35" s="5">
        <f>IF($P35="",0,IF(ROUND($P35*($B35+'1_手取り'!$F$7)/2,4)&lt;=0.5,0,ROUNDUP(ROUND($P35*($B35+'1_手取り'!$F$7)/2,4)-0.5,0))+IF(ROUND($P35*料率!$E$5/2,4)&lt;=0.5,0,ROUNDUP(ROUND($P35*料率!$E$5/2,4)-0.5,0))+IF(ROUND(MIN(MAX($P35,88000),650000)*料率!$E$6/2,4)&lt;=0.5,0,ROUNDUP(ROUND(MIN(MAX($P35,88000),650000)*料率!$E$6/2,4)-0.5,0))+IF(ROUND('1_手取り'!$B$9*INDEX(料率!$E$8:$E$10,MATCH('1_手取り'!$B$6,料率!$D$8:$D$10,0)),4)&lt;=0.5,0,ROUNDUP(ROUND('1_手取り'!$B$9*INDEX(料率!$E$8:$E$10,MATCH('1_手取り'!$B$6,料率!$D$8:$D$10,0)),4)-0.5,0)))</f>
        <v/>
      </c>
    </row>
    <row r="36">
      <c r="A36" s="3" t="inlineStr">
        <is>
          <t>島根県</t>
        </is>
      </c>
      <c r="B36" s="7">
        <f>INDEX(料率!$B$4:$B$50,MATCH($A36,料率!$A$4:$A$50,0))</f>
        <v/>
      </c>
      <c r="C36" s="5">
        <f>IF(ROUND('1_手取り'!$F$4*($B36+'1_手取り'!$F$7)/2,4)&lt;=0.5,0,ROUNDUP(ROUND('1_手取り'!$F$4*($B36+'1_手取り'!$F$7)/2,4)-0.5,0))</f>
        <v/>
      </c>
      <c r="D36" s="5">
        <f>'1_手取り'!$F$9</f>
        <v/>
      </c>
      <c r="E36" s="5">
        <f>'1_手取り'!$F$10</f>
        <v/>
      </c>
      <c r="F36" s="5">
        <f>'1_手取り'!$F$11</f>
        <v/>
      </c>
      <c r="G36" s="5">
        <f>SUM($C36:$F36)</f>
        <v/>
      </c>
      <c r="H36" s="5">
        <f>IF('1_手取り'!$B$8="なし",0,'1_手取り'!$B$9-$Q36)</f>
        <v/>
      </c>
      <c r="I36" s="8">
        <f>IF(OR('1_手取り'!$B$8="なし",$H36&lt;=0),"前月の給与なし",IF(('1_手取り'!$B$3-$G36)&gt;$H36*10,"10倍超","算出率の表"))</f>
        <v/>
      </c>
      <c r="J36" s="9">
        <f>IF($I36="算出率の表",INDEX(算出率!$A$4:$A$24,MATCH($H36,INDEX(算出率!$B$4:$I$24,0,'1_手取り'!$B$7+1),1)),"")</f>
        <v/>
      </c>
      <c r="K36" s="5">
        <f>IF($I36="算出率の表",ROUNDDOWN(ROUND(('1_手取り'!$B$3-$G36)*$J36,4),0),IF($I36="前月の給与なし",IF(ROUNDDOWN(('1_手取り'!$B$3-$G36)/'1_手取り'!$F$16,0)&lt;105000,0,IF(ROUNDDOWN(('1_手取り'!$B$3-$G36)/'1_手取り'!$F$16,0)&lt;740000,INDEX(月額表!$B$4:$I$234,MATCH(ROUNDDOWN(('1_手取り'!$B$3-$G36)/'1_手取り'!$F$16,0),月額表!$A$4:$A$234,1),'1_手取り'!$B$7+1),INDEX(月額表!$M$4:$T$12,MATCH(ROUNDDOWN(('1_手取り'!$B$3-$G36)/'1_手取り'!$F$16,0),月額表!$K$4:$K$12,1),'1_手取り'!$B$7+1)+ROUNDDOWN(ROUND((ROUNDDOWN(('1_手取り'!$B$3-$G36)/'1_手取り'!$F$16,0)-INDEX(月額表!$K$4:$K$12,MATCH(ROUNDDOWN(('1_手取り'!$B$3-$G36)/'1_手取り'!$F$16,0),月額表!$K$4:$K$12,1)))*INDEX(月額表!$L$4:$L$12,MATCH(ROUNDDOWN(('1_手取り'!$B$3-$G36)/'1_手取り'!$F$16,0),月額表!$K$4:$K$12,1)),4),0)))*'1_手取り'!$F$16,(IF((ROUNDDOWN(('1_手取り'!$B$3-$G36)/'1_手取り'!$F$16,0)+$H36)&lt;105000,0,IF((ROUNDDOWN(('1_手取り'!$B$3-$G36)/'1_手取り'!$F$16,0)+$H36)&lt;740000,INDEX(月額表!$B$4:$I$234,MATCH((ROUNDDOWN(('1_手取り'!$B$3-$G36)/'1_手取り'!$F$16,0)+$H36),月額表!$A$4:$A$234,1),'1_手取り'!$B$7+1),INDEX(月額表!$M$4:$T$12,MATCH((ROUNDDOWN(('1_手取り'!$B$3-$G36)/'1_手取り'!$F$16,0)+$H36),月額表!$K$4:$K$12,1),'1_手取り'!$B$7+1)+ROUNDDOWN(ROUND(((ROUNDDOWN(('1_手取り'!$B$3-$G36)/'1_手取り'!$F$16,0)+$H36)-INDEX(月額表!$K$4:$K$12,MATCH((ROUNDDOWN(('1_手取り'!$B$3-$G36)/'1_手取り'!$F$16,0)+$H36),月額表!$K$4:$K$12,1)))*INDEX(月額表!$L$4:$L$12,MATCH((ROUNDDOWN(('1_手取り'!$B$3-$G36)/'1_手取り'!$F$16,0)+$H36),月額表!$K$4:$K$12,1)),4),0)))-IF($H36&lt;105000,0,IF($H36&lt;740000,INDEX(月額表!$B$4:$I$234,MATCH($H36,月額表!$A$4:$A$234,1),'1_手取り'!$B$7+1),INDEX(月額表!$M$4:$T$12,MATCH($H36,月額表!$K$4:$K$12,1),'1_手取り'!$B$7+1)+ROUNDDOWN(ROUND(($H36-INDEX(月額表!$K$4:$K$12,MATCH($H36,月額表!$K$4:$K$12,1)))*INDEX(月額表!$L$4:$L$12,MATCH($H36,月額表!$K$4:$K$12,1)),4),0))))*'1_手取り'!$F$16))</f>
        <v/>
      </c>
      <c r="L36" s="5">
        <f>'1_手取り'!$B$3-$G36-$K36</f>
        <v/>
      </c>
      <c r="M36" s="12">
        <f>$L36-MAX($L$5:$L$51)</f>
        <v/>
      </c>
      <c r="P36" s="5">
        <f>IF('1_手取り'!$B$8="なし","",INDEX(標準報酬!$B$4:$B$53,MATCH('1_手取り'!$B$9,標準報酬!$A$4:$A$53,1)))</f>
        <v/>
      </c>
      <c r="Q36" s="5">
        <f>IF($P36="",0,IF(ROUND($P36*($B36+'1_手取り'!$F$7)/2,4)&lt;=0.5,0,ROUNDUP(ROUND($P36*($B36+'1_手取り'!$F$7)/2,4)-0.5,0))+IF(ROUND($P36*料率!$E$5/2,4)&lt;=0.5,0,ROUNDUP(ROUND($P36*料率!$E$5/2,4)-0.5,0))+IF(ROUND(MIN(MAX($P36,88000),650000)*料率!$E$6/2,4)&lt;=0.5,0,ROUNDUP(ROUND(MIN(MAX($P36,88000),650000)*料率!$E$6/2,4)-0.5,0))+IF(ROUND('1_手取り'!$B$9*INDEX(料率!$E$8:$E$10,MATCH('1_手取り'!$B$6,料率!$D$8:$D$10,0)),4)&lt;=0.5,0,ROUNDUP(ROUND('1_手取り'!$B$9*INDEX(料率!$E$8:$E$10,MATCH('1_手取り'!$B$6,料率!$D$8:$D$10,0)),4)-0.5,0)))</f>
        <v/>
      </c>
    </row>
    <row r="37">
      <c r="A37" s="3" t="inlineStr">
        <is>
          <t>岡山県</t>
        </is>
      </c>
      <c r="B37" s="7">
        <f>INDEX(料率!$B$4:$B$50,MATCH($A37,料率!$A$4:$A$50,0))</f>
        <v/>
      </c>
      <c r="C37" s="5">
        <f>IF(ROUND('1_手取り'!$F$4*($B37+'1_手取り'!$F$7)/2,4)&lt;=0.5,0,ROUNDUP(ROUND('1_手取り'!$F$4*($B37+'1_手取り'!$F$7)/2,4)-0.5,0))</f>
        <v/>
      </c>
      <c r="D37" s="5">
        <f>'1_手取り'!$F$9</f>
        <v/>
      </c>
      <c r="E37" s="5">
        <f>'1_手取り'!$F$10</f>
        <v/>
      </c>
      <c r="F37" s="5">
        <f>'1_手取り'!$F$11</f>
        <v/>
      </c>
      <c r="G37" s="5">
        <f>SUM($C37:$F37)</f>
        <v/>
      </c>
      <c r="H37" s="5">
        <f>IF('1_手取り'!$B$8="なし",0,'1_手取り'!$B$9-$Q37)</f>
        <v/>
      </c>
      <c r="I37" s="8">
        <f>IF(OR('1_手取り'!$B$8="なし",$H37&lt;=0),"前月の給与なし",IF(('1_手取り'!$B$3-$G37)&gt;$H37*10,"10倍超","算出率の表"))</f>
        <v/>
      </c>
      <c r="J37" s="9">
        <f>IF($I37="算出率の表",INDEX(算出率!$A$4:$A$24,MATCH($H37,INDEX(算出率!$B$4:$I$24,0,'1_手取り'!$B$7+1),1)),"")</f>
        <v/>
      </c>
      <c r="K37" s="5">
        <f>IF($I37="算出率の表",ROUNDDOWN(ROUND(('1_手取り'!$B$3-$G37)*$J37,4),0),IF($I37="前月の給与なし",IF(ROUNDDOWN(('1_手取り'!$B$3-$G37)/'1_手取り'!$F$16,0)&lt;105000,0,IF(ROUNDDOWN(('1_手取り'!$B$3-$G37)/'1_手取り'!$F$16,0)&lt;740000,INDEX(月額表!$B$4:$I$234,MATCH(ROUNDDOWN(('1_手取り'!$B$3-$G37)/'1_手取り'!$F$16,0),月額表!$A$4:$A$234,1),'1_手取り'!$B$7+1),INDEX(月額表!$M$4:$T$12,MATCH(ROUNDDOWN(('1_手取り'!$B$3-$G37)/'1_手取り'!$F$16,0),月額表!$K$4:$K$12,1),'1_手取り'!$B$7+1)+ROUNDDOWN(ROUND((ROUNDDOWN(('1_手取り'!$B$3-$G37)/'1_手取り'!$F$16,0)-INDEX(月額表!$K$4:$K$12,MATCH(ROUNDDOWN(('1_手取り'!$B$3-$G37)/'1_手取り'!$F$16,0),月額表!$K$4:$K$12,1)))*INDEX(月額表!$L$4:$L$12,MATCH(ROUNDDOWN(('1_手取り'!$B$3-$G37)/'1_手取り'!$F$16,0),月額表!$K$4:$K$12,1)),4),0)))*'1_手取り'!$F$16,(IF((ROUNDDOWN(('1_手取り'!$B$3-$G37)/'1_手取り'!$F$16,0)+$H37)&lt;105000,0,IF((ROUNDDOWN(('1_手取り'!$B$3-$G37)/'1_手取り'!$F$16,0)+$H37)&lt;740000,INDEX(月額表!$B$4:$I$234,MATCH((ROUNDDOWN(('1_手取り'!$B$3-$G37)/'1_手取り'!$F$16,0)+$H37),月額表!$A$4:$A$234,1),'1_手取り'!$B$7+1),INDEX(月額表!$M$4:$T$12,MATCH((ROUNDDOWN(('1_手取り'!$B$3-$G37)/'1_手取り'!$F$16,0)+$H37),月額表!$K$4:$K$12,1),'1_手取り'!$B$7+1)+ROUNDDOWN(ROUND(((ROUNDDOWN(('1_手取り'!$B$3-$G37)/'1_手取り'!$F$16,0)+$H37)-INDEX(月額表!$K$4:$K$12,MATCH((ROUNDDOWN(('1_手取り'!$B$3-$G37)/'1_手取り'!$F$16,0)+$H37),月額表!$K$4:$K$12,1)))*INDEX(月額表!$L$4:$L$12,MATCH((ROUNDDOWN(('1_手取り'!$B$3-$G37)/'1_手取り'!$F$16,0)+$H37),月額表!$K$4:$K$12,1)),4),0)))-IF($H37&lt;105000,0,IF($H37&lt;740000,INDEX(月額表!$B$4:$I$234,MATCH($H37,月額表!$A$4:$A$234,1),'1_手取り'!$B$7+1),INDEX(月額表!$M$4:$T$12,MATCH($H37,月額表!$K$4:$K$12,1),'1_手取り'!$B$7+1)+ROUNDDOWN(ROUND(($H37-INDEX(月額表!$K$4:$K$12,MATCH($H37,月額表!$K$4:$K$12,1)))*INDEX(月額表!$L$4:$L$12,MATCH($H37,月額表!$K$4:$K$12,1)),4),0))))*'1_手取り'!$F$16))</f>
        <v/>
      </c>
      <c r="L37" s="5">
        <f>'1_手取り'!$B$3-$G37-$K37</f>
        <v/>
      </c>
      <c r="M37" s="12">
        <f>$L37-MAX($L$5:$L$51)</f>
        <v/>
      </c>
      <c r="P37" s="5">
        <f>IF('1_手取り'!$B$8="なし","",INDEX(標準報酬!$B$4:$B$53,MATCH('1_手取り'!$B$9,標準報酬!$A$4:$A$53,1)))</f>
        <v/>
      </c>
      <c r="Q37" s="5">
        <f>IF($P37="",0,IF(ROUND($P37*($B37+'1_手取り'!$F$7)/2,4)&lt;=0.5,0,ROUNDUP(ROUND($P37*($B37+'1_手取り'!$F$7)/2,4)-0.5,0))+IF(ROUND($P37*料率!$E$5/2,4)&lt;=0.5,0,ROUNDUP(ROUND($P37*料率!$E$5/2,4)-0.5,0))+IF(ROUND(MIN(MAX($P37,88000),650000)*料率!$E$6/2,4)&lt;=0.5,0,ROUNDUP(ROUND(MIN(MAX($P37,88000),650000)*料率!$E$6/2,4)-0.5,0))+IF(ROUND('1_手取り'!$B$9*INDEX(料率!$E$8:$E$10,MATCH('1_手取り'!$B$6,料率!$D$8:$D$10,0)),4)&lt;=0.5,0,ROUNDUP(ROUND('1_手取り'!$B$9*INDEX(料率!$E$8:$E$10,MATCH('1_手取り'!$B$6,料率!$D$8:$D$10,0)),4)-0.5,0)))</f>
        <v/>
      </c>
    </row>
    <row r="38">
      <c r="A38" s="3" t="inlineStr">
        <is>
          <t>広島県</t>
        </is>
      </c>
      <c r="B38" s="7">
        <f>INDEX(料率!$B$4:$B$50,MATCH($A38,料率!$A$4:$A$50,0))</f>
        <v/>
      </c>
      <c r="C38" s="5">
        <f>IF(ROUND('1_手取り'!$F$4*($B38+'1_手取り'!$F$7)/2,4)&lt;=0.5,0,ROUNDUP(ROUND('1_手取り'!$F$4*($B38+'1_手取り'!$F$7)/2,4)-0.5,0))</f>
        <v/>
      </c>
      <c r="D38" s="5">
        <f>'1_手取り'!$F$9</f>
        <v/>
      </c>
      <c r="E38" s="5">
        <f>'1_手取り'!$F$10</f>
        <v/>
      </c>
      <c r="F38" s="5">
        <f>'1_手取り'!$F$11</f>
        <v/>
      </c>
      <c r="G38" s="5">
        <f>SUM($C38:$F38)</f>
        <v/>
      </c>
      <c r="H38" s="5">
        <f>IF('1_手取り'!$B$8="なし",0,'1_手取り'!$B$9-$Q38)</f>
        <v/>
      </c>
      <c r="I38" s="8">
        <f>IF(OR('1_手取り'!$B$8="なし",$H38&lt;=0),"前月の給与なし",IF(('1_手取り'!$B$3-$G38)&gt;$H38*10,"10倍超","算出率の表"))</f>
        <v/>
      </c>
      <c r="J38" s="9">
        <f>IF($I38="算出率の表",INDEX(算出率!$A$4:$A$24,MATCH($H38,INDEX(算出率!$B$4:$I$24,0,'1_手取り'!$B$7+1),1)),"")</f>
        <v/>
      </c>
      <c r="K38" s="5">
        <f>IF($I38="算出率の表",ROUNDDOWN(ROUND(('1_手取り'!$B$3-$G38)*$J38,4),0),IF($I38="前月の給与なし",IF(ROUNDDOWN(('1_手取り'!$B$3-$G38)/'1_手取り'!$F$16,0)&lt;105000,0,IF(ROUNDDOWN(('1_手取り'!$B$3-$G38)/'1_手取り'!$F$16,0)&lt;740000,INDEX(月額表!$B$4:$I$234,MATCH(ROUNDDOWN(('1_手取り'!$B$3-$G38)/'1_手取り'!$F$16,0),月額表!$A$4:$A$234,1),'1_手取り'!$B$7+1),INDEX(月額表!$M$4:$T$12,MATCH(ROUNDDOWN(('1_手取り'!$B$3-$G38)/'1_手取り'!$F$16,0),月額表!$K$4:$K$12,1),'1_手取り'!$B$7+1)+ROUNDDOWN(ROUND((ROUNDDOWN(('1_手取り'!$B$3-$G38)/'1_手取り'!$F$16,0)-INDEX(月額表!$K$4:$K$12,MATCH(ROUNDDOWN(('1_手取り'!$B$3-$G38)/'1_手取り'!$F$16,0),月額表!$K$4:$K$12,1)))*INDEX(月額表!$L$4:$L$12,MATCH(ROUNDDOWN(('1_手取り'!$B$3-$G38)/'1_手取り'!$F$16,0),月額表!$K$4:$K$12,1)),4),0)))*'1_手取り'!$F$16,(IF((ROUNDDOWN(('1_手取り'!$B$3-$G38)/'1_手取り'!$F$16,0)+$H38)&lt;105000,0,IF((ROUNDDOWN(('1_手取り'!$B$3-$G38)/'1_手取り'!$F$16,0)+$H38)&lt;740000,INDEX(月額表!$B$4:$I$234,MATCH((ROUNDDOWN(('1_手取り'!$B$3-$G38)/'1_手取り'!$F$16,0)+$H38),月額表!$A$4:$A$234,1),'1_手取り'!$B$7+1),INDEX(月額表!$M$4:$T$12,MATCH((ROUNDDOWN(('1_手取り'!$B$3-$G38)/'1_手取り'!$F$16,0)+$H38),月額表!$K$4:$K$12,1),'1_手取り'!$B$7+1)+ROUNDDOWN(ROUND(((ROUNDDOWN(('1_手取り'!$B$3-$G38)/'1_手取り'!$F$16,0)+$H38)-INDEX(月額表!$K$4:$K$12,MATCH((ROUNDDOWN(('1_手取り'!$B$3-$G38)/'1_手取り'!$F$16,0)+$H38),月額表!$K$4:$K$12,1)))*INDEX(月額表!$L$4:$L$12,MATCH((ROUNDDOWN(('1_手取り'!$B$3-$G38)/'1_手取り'!$F$16,0)+$H38),月額表!$K$4:$K$12,1)),4),0)))-IF($H38&lt;105000,0,IF($H38&lt;740000,INDEX(月額表!$B$4:$I$234,MATCH($H38,月額表!$A$4:$A$234,1),'1_手取り'!$B$7+1),INDEX(月額表!$M$4:$T$12,MATCH($H38,月額表!$K$4:$K$12,1),'1_手取り'!$B$7+1)+ROUNDDOWN(ROUND(($H38-INDEX(月額表!$K$4:$K$12,MATCH($H38,月額表!$K$4:$K$12,1)))*INDEX(月額表!$L$4:$L$12,MATCH($H38,月額表!$K$4:$K$12,1)),4),0))))*'1_手取り'!$F$16))</f>
        <v/>
      </c>
      <c r="L38" s="5">
        <f>'1_手取り'!$B$3-$G38-$K38</f>
        <v/>
      </c>
      <c r="M38" s="12">
        <f>$L38-MAX($L$5:$L$51)</f>
        <v/>
      </c>
      <c r="P38" s="5">
        <f>IF('1_手取り'!$B$8="なし","",INDEX(標準報酬!$B$4:$B$53,MATCH('1_手取り'!$B$9,標準報酬!$A$4:$A$53,1)))</f>
        <v/>
      </c>
      <c r="Q38" s="5">
        <f>IF($P38="",0,IF(ROUND($P38*($B38+'1_手取り'!$F$7)/2,4)&lt;=0.5,0,ROUNDUP(ROUND($P38*($B38+'1_手取り'!$F$7)/2,4)-0.5,0))+IF(ROUND($P38*料率!$E$5/2,4)&lt;=0.5,0,ROUNDUP(ROUND($P38*料率!$E$5/2,4)-0.5,0))+IF(ROUND(MIN(MAX($P38,88000),650000)*料率!$E$6/2,4)&lt;=0.5,0,ROUNDUP(ROUND(MIN(MAX($P38,88000),650000)*料率!$E$6/2,4)-0.5,0))+IF(ROUND('1_手取り'!$B$9*INDEX(料率!$E$8:$E$10,MATCH('1_手取り'!$B$6,料率!$D$8:$D$10,0)),4)&lt;=0.5,0,ROUNDUP(ROUND('1_手取り'!$B$9*INDEX(料率!$E$8:$E$10,MATCH('1_手取り'!$B$6,料率!$D$8:$D$10,0)),4)-0.5,0)))</f>
        <v/>
      </c>
    </row>
    <row r="39">
      <c r="A39" s="3" t="inlineStr">
        <is>
          <t>山口県</t>
        </is>
      </c>
      <c r="B39" s="7">
        <f>INDEX(料率!$B$4:$B$50,MATCH($A39,料率!$A$4:$A$50,0))</f>
        <v/>
      </c>
      <c r="C39" s="5">
        <f>IF(ROUND('1_手取り'!$F$4*($B39+'1_手取り'!$F$7)/2,4)&lt;=0.5,0,ROUNDUP(ROUND('1_手取り'!$F$4*($B39+'1_手取り'!$F$7)/2,4)-0.5,0))</f>
        <v/>
      </c>
      <c r="D39" s="5">
        <f>'1_手取り'!$F$9</f>
        <v/>
      </c>
      <c r="E39" s="5">
        <f>'1_手取り'!$F$10</f>
        <v/>
      </c>
      <c r="F39" s="5">
        <f>'1_手取り'!$F$11</f>
        <v/>
      </c>
      <c r="G39" s="5">
        <f>SUM($C39:$F39)</f>
        <v/>
      </c>
      <c r="H39" s="5">
        <f>IF('1_手取り'!$B$8="なし",0,'1_手取り'!$B$9-$Q39)</f>
        <v/>
      </c>
      <c r="I39" s="8">
        <f>IF(OR('1_手取り'!$B$8="なし",$H39&lt;=0),"前月の給与なし",IF(('1_手取り'!$B$3-$G39)&gt;$H39*10,"10倍超","算出率の表"))</f>
        <v/>
      </c>
      <c r="J39" s="9">
        <f>IF($I39="算出率の表",INDEX(算出率!$A$4:$A$24,MATCH($H39,INDEX(算出率!$B$4:$I$24,0,'1_手取り'!$B$7+1),1)),"")</f>
        <v/>
      </c>
      <c r="K39" s="5">
        <f>IF($I39="算出率の表",ROUNDDOWN(ROUND(('1_手取り'!$B$3-$G39)*$J39,4),0),IF($I39="前月の給与なし",IF(ROUNDDOWN(('1_手取り'!$B$3-$G39)/'1_手取り'!$F$16,0)&lt;105000,0,IF(ROUNDDOWN(('1_手取り'!$B$3-$G39)/'1_手取り'!$F$16,0)&lt;740000,INDEX(月額表!$B$4:$I$234,MATCH(ROUNDDOWN(('1_手取り'!$B$3-$G39)/'1_手取り'!$F$16,0),月額表!$A$4:$A$234,1),'1_手取り'!$B$7+1),INDEX(月額表!$M$4:$T$12,MATCH(ROUNDDOWN(('1_手取り'!$B$3-$G39)/'1_手取り'!$F$16,0),月額表!$K$4:$K$12,1),'1_手取り'!$B$7+1)+ROUNDDOWN(ROUND((ROUNDDOWN(('1_手取り'!$B$3-$G39)/'1_手取り'!$F$16,0)-INDEX(月額表!$K$4:$K$12,MATCH(ROUNDDOWN(('1_手取り'!$B$3-$G39)/'1_手取り'!$F$16,0),月額表!$K$4:$K$12,1)))*INDEX(月額表!$L$4:$L$12,MATCH(ROUNDDOWN(('1_手取り'!$B$3-$G39)/'1_手取り'!$F$16,0),月額表!$K$4:$K$12,1)),4),0)))*'1_手取り'!$F$16,(IF((ROUNDDOWN(('1_手取り'!$B$3-$G39)/'1_手取り'!$F$16,0)+$H39)&lt;105000,0,IF((ROUNDDOWN(('1_手取り'!$B$3-$G39)/'1_手取り'!$F$16,0)+$H39)&lt;740000,INDEX(月額表!$B$4:$I$234,MATCH((ROUNDDOWN(('1_手取り'!$B$3-$G39)/'1_手取り'!$F$16,0)+$H39),月額表!$A$4:$A$234,1),'1_手取り'!$B$7+1),INDEX(月額表!$M$4:$T$12,MATCH((ROUNDDOWN(('1_手取り'!$B$3-$G39)/'1_手取り'!$F$16,0)+$H39),月額表!$K$4:$K$12,1),'1_手取り'!$B$7+1)+ROUNDDOWN(ROUND(((ROUNDDOWN(('1_手取り'!$B$3-$G39)/'1_手取り'!$F$16,0)+$H39)-INDEX(月額表!$K$4:$K$12,MATCH((ROUNDDOWN(('1_手取り'!$B$3-$G39)/'1_手取り'!$F$16,0)+$H39),月額表!$K$4:$K$12,1)))*INDEX(月額表!$L$4:$L$12,MATCH((ROUNDDOWN(('1_手取り'!$B$3-$G39)/'1_手取り'!$F$16,0)+$H39),月額表!$K$4:$K$12,1)),4),0)))-IF($H39&lt;105000,0,IF($H39&lt;740000,INDEX(月額表!$B$4:$I$234,MATCH($H39,月額表!$A$4:$A$234,1),'1_手取り'!$B$7+1),INDEX(月額表!$M$4:$T$12,MATCH($H39,月額表!$K$4:$K$12,1),'1_手取り'!$B$7+1)+ROUNDDOWN(ROUND(($H39-INDEX(月額表!$K$4:$K$12,MATCH($H39,月額表!$K$4:$K$12,1)))*INDEX(月額表!$L$4:$L$12,MATCH($H39,月額表!$K$4:$K$12,1)),4),0))))*'1_手取り'!$F$16))</f>
        <v/>
      </c>
      <c r="L39" s="5">
        <f>'1_手取り'!$B$3-$G39-$K39</f>
        <v/>
      </c>
      <c r="M39" s="12">
        <f>$L39-MAX($L$5:$L$51)</f>
        <v/>
      </c>
      <c r="P39" s="5">
        <f>IF('1_手取り'!$B$8="なし","",INDEX(標準報酬!$B$4:$B$53,MATCH('1_手取り'!$B$9,標準報酬!$A$4:$A$53,1)))</f>
        <v/>
      </c>
      <c r="Q39" s="5">
        <f>IF($P39="",0,IF(ROUND($P39*($B39+'1_手取り'!$F$7)/2,4)&lt;=0.5,0,ROUNDUP(ROUND($P39*($B39+'1_手取り'!$F$7)/2,4)-0.5,0))+IF(ROUND($P39*料率!$E$5/2,4)&lt;=0.5,0,ROUNDUP(ROUND($P39*料率!$E$5/2,4)-0.5,0))+IF(ROUND(MIN(MAX($P39,88000),650000)*料率!$E$6/2,4)&lt;=0.5,0,ROUNDUP(ROUND(MIN(MAX($P39,88000),650000)*料率!$E$6/2,4)-0.5,0))+IF(ROUND('1_手取り'!$B$9*INDEX(料率!$E$8:$E$10,MATCH('1_手取り'!$B$6,料率!$D$8:$D$10,0)),4)&lt;=0.5,0,ROUNDUP(ROUND('1_手取り'!$B$9*INDEX(料率!$E$8:$E$10,MATCH('1_手取り'!$B$6,料率!$D$8:$D$10,0)),4)-0.5,0)))</f>
        <v/>
      </c>
    </row>
    <row r="40">
      <c r="A40" s="3" t="inlineStr">
        <is>
          <t>徳島県</t>
        </is>
      </c>
      <c r="B40" s="7">
        <f>INDEX(料率!$B$4:$B$50,MATCH($A40,料率!$A$4:$A$50,0))</f>
        <v/>
      </c>
      <c r="C40" s="5">
        <f>IF(ROUND('1_手取り'!$F$4*($B40+'1_手取り'!$F$7)/2,4)&lt;=0.5,0,ROUNDUP(ROUND('1_手取り'!$F$4*($B40+'1_手取り'!$F$7)/2,4)-0.5,0))</f>
        <v/>
      </c>
      <c r="D40" s="5">
        <f>'1_手取り'!$F$9</f>
        <v/>
      </c>
      <c r="E40" s="5">
        <f>'1_手取り'!$F$10</f>
        <v/>
      </c>
      <c r="F40" s="5">
        <f>'1_手取り'!$F$11</f>
        <v/>
      </c>
      <c r="G40" s="5">
        <f>SUM($C40:$F40)</f>
        <v/>
      </c>
      <c r="H40" s="5">
        <f>IF('1_手取り'!$B$8="なし",0,'1_手取り'!$B$9-$Q40)</f>
        <v/>
      </c>
      <c r="I40" s="8">
        <f>IF(OR('1_手取り'!$B$8="なし",$H40&lt;=0),"前月の給与なし",IF(('1_手取り'!$B$3-$G40)&gt;$H40*10,"10倍超","算出率の表"))</f>
        <v/>
      </c>
      <c r="J40" s="9">
        <f>IF($I40="算出率の表",INDEX(算出率!$A$4:$A$24,MATCH($H40,INDEX(算出率!$B$4:$I$24,0,'1_手取り'!$B$7+1),1)),"")</f>
        <v/>
      </c>
      <c r="K40" s="5">
        <f>IF($I40="算出率の表",ROUNDDOWN(ROUND(('1_手取り'!$B$3-$G40)*$J40,4),0),IF($I40="前月の給与なし",IF(ROUNDDOWN(('1_手取り'!$B$3-$G40)/'1_手取り'!$F$16,0)&lt;105000,0,IF(ROUNDDOWN(('1_手取り'!$B$3-$G40)/'1_手取り'!$F$16,0)&lt;740000,INDEX(月額表!$B$4:$I$234,MATCH(ROUNDDOWN(('1_手取り'!$B$3-$G40)/'1_手取り'!$F$16,0),月額表!$A$4:$A$234,1),'1_手取り'!$B$7+1),INDEX(月額表!$M$4:$T$12,MATCH(ROUNDDOWN(('1_手取り'!$B$3-$G40)/'1_手取り'!$F$16,0),月額表!$K$4:$K$12,1),'1_手取り'!$B$7+1)+ROUNDDOWN(ROUND((ROUNDDOWN(('1_手取り'!$B$3-$G40)/'1_手取り'!$F$16,0)-INDEX(月額表!$K$4:$K$12,MATCH(ROUNDDOWN(('1_手取り'!$B$3-$G40)/'1_手取り'!$F$16,0),月額表!$K$4:$K$12,1)))*INDEX(月額表!$L$4:$L$12,MATCH(ROUNDDOWN(('1_手取り'!$B$3-$G40)/'1_手取り'!$F$16,0),月額表!$K$4:$K$12,1)),4),0)))*'1_手取り'!$F$16,(IF((ROUNDDOWN(('1_手取り'!$B$3-$G40)/'1_手取り'!$F$16,0)+$H40)&lt;105000,0,IF((ROUNDDOWN(('1_手取り'!$B$3-$G40)/'1_手取り'!$F$16,0)+$H40)&lt;740000,INDEX(月額表!$B$4:$I$234,MATCH((ROUNDDOWN(('1_手取り'!$B$3-$G40)/'1_手取り'!$F$16,0)+$H40),月額表!$A$4:$A$234,1),'1_手取り'!$B$7+1),INDEX(月額表!$M$4:$T$12,MATCH((ROUNDDOWN(('1_手取り'!$B$3-$G40)/'1_手取り'!$F$16,0)+$H40),月額表!$K$4:$K$12,1),'1_手取り'!$B$7+1)+ROUNDDOWN(ROUND(((ROUNDDOWN(('1_手取り'!$B$3-$G40)/'1_手取り'!$F$16,0)+$H40)-INDEX(月額表!$K$4:$K$12,MATCH((ROUNDDOWN(('1_手取り'!$B$3-$G40)/'1_手取り'!$F$16,0)+$H40),月額表!$K$4:$K$12,1)))*INDEX(月額表!$L$4:$L$12,MATCH((ROUNDDOWN(('1_手取り'!$B$3-$G40)/'1_手取り'!$F$16,0)+$H40),月額表!$K$4:$K$12,1)),4),0)))-IF($H40&lt;105000,0,IF($H40&lt;740000,INDEX(月額表!$B$4:$I$234,MATCH($H40,月額表!$A$4:$A$234,1),'1_手取り'!$B$7+1),INDEX(月額表!$M$4:$T$12,MATCH($H40,月額表!$K$4:$K$12,1),'1_手取り'!$B$7+1)+ROUNDDOWN(ROUND(($H40-INDEX(月額表!$K$4:$K$12,MATCH($H40,月額表!$K$4:$K$12,1)))*INDEX(月額表!$L$4:$L$12,MATCH($H40,月額表!$K$4:$K$12,1)),4),0))))*'1_手取り'!$F$16))</f>
        <v/>
      </c>
      <c r="L40" s="5">
        <f>'1_手取り'!$B$3-$G40-$K40</f>
        <v/>
      </c>
      <c r="M40" s="12">
        <f>$L40-MAX($L$5:$L$51)</f>
        <v/>
      </c>
      <c r="P40" s="5">
        <f>IF('1_手取り'!$B$8="なし","",INDEX(標準報酬!$B$4:$B$53,MATCH('1_手取り'!$B$9,標準報酬!$A$4:$A$53,1)))</f>
        <v/>
      </c>
      <c r="Q40" s="5">
        <f>IF($P40="",0,IF(ROUND($P40*($B40+'1_手取り'!$F$7)/2,4)&lt;=0.5,0,ROUNDUP(ROUND($P40*($B40+'1_手取り'!$F$7)/2,4)-0.5,0))+IF(ROUND($P40*料率!$E$5/2,4)&lt;=0.5,0,ROUNDUP(ROUND($P40*料率!$E$5/2,4)-0.5,0))+IF(ROUND(MIN(MAX($P40,88000),650000)*料率!$E$6/2,4)&lt;=0.5,0,ROUNDUP(ROUND(MIN(MAX($P40,88000),650000)*料率!$E$6/2,4)-0.5,0))+IF(ROUND('1_手取り'!$B$9*INDEX(料率!$E$8:$E$10,MATCH('1_手取り'!$B$6,料率!$D$8:$D$10,0)),4)&lt;=0.5,0,ROUNDUP(ROUND('1_手取り'!$B$9*INDEX(料率!$E$8:$E$10,MATCH('1_手取り'!$B$6,料率!$D$8:$D$10,0)),4)-0.5,0)))</f>
        <v/>
      </c>
    </row>
    <row r="41">
      <c r="A41" s="3" t="inlineStr">
        <is>
          <t>香川県</t>
        </is>
      </c>
      <c r="B41" s="7">
        <f>INDEX(料率!$B$4:$B$50,MATCH($A41,料率!$A$4:$A$50,0))</f>
        <v/>
      </c>
      <c r="C41" s="5">
        <f>IF(ROUND('1_手取り'!$F$4*($B41+'1_手取り'!$F$7)/2,4)&lt;=0.5,0,ROUNDUP(ROUND('1_手取り'!$F$4*($B41+'1_手取り'!$F$7)/2,4)-0.5,0))</f>
        <v/>
      </c>
      <c r="D41" s="5">
        <f>'1_手取り'!$F$9</f>
        <v/>
      </c>
      <c r="E41" s="5">
        <f>'1_手取り'!$F$10</f>
        <v/>
      </c>
      <c r="F41" s="5">
        <f>'1_手取り'!$F$11</f>
        <v/>
      </c>
      <c r="G41" s="5">
        <f>SUM($C41:$F41)</f>
        <v/>
      </c>
      <c r="H41" s="5">
        <f>IF('1_手取り'!$B$8="なし",0,'1_手取り'!$B$9-$Q41)</f>
        <v/>
      </c>
      <c r="I41" s="8">
        <f>IF(OR('1_手取り'!$B$8="なし",$H41&lt;=0),"前月の給与なし",IF(('1_手取り'!$B$3-$G41)&gt;$H41*10,"10倍超","算出率の表"))</f>
        <v/>
      </c>
      <c r="J41" s="9">
        <f>IF($I41="算出率の表",INDEX(算出率!$A$4:$A$24,MATCH($H41,INDEX(算出率!$B$4:$I$24,0,'1_手取り'!$B$7+1),1)),"")</f>
        <v/>
      </c>
      <c r="K41" s="5">
        <f>IF($I41="算出率の表",ROUNDDOWN(ROUND(('1_手取り'!$B$3-$G41)*$J41,4),0),IF($I41="前月の給与なし",IF(ROUNDDOWN(('1_手取り'!$B$3-$G41)/'1_手取り'!$F$16,0)&lt;105000,0,IF(ROUNDDOWN(('1_手取り'!$B$3-$G41)/'1_手取り'!$F$16,0)&lt;740000,INDEX(月額表!$B$4:$I$234,MATCH(ROUNDDOWN(('1_手取り'!$B$3-$G41)/'1_手取り'!$F$16,0),月額表!$A$4:$A$234,1),'1_手取り'!$B$7+1),INDEX(月額表!$M$4:$T$12,MATCH(ROUNDDOWN(('1_手取り'!$B$3-$G41)/'1_手取り'!$F$16,0),月額表!$K$4:$K$12,1),'1_手取り'!$B$7+1)+ROUNDDOWN(ROUND((ROUNDDOWN(('1_手取り'!$B$3-$G41)/'1_手取り'!$F$16,0)-INDEX(月額表!$K$4:$K$12,MATCH(ROUNDDOWN(('1_手取り'!$B$3-$G41)/'1_手取り'!$F$16,0),月額表!$K$4:$K$12,1)))*INDEX(月額表!$L$4:$L$12,MATCH(ROUNDDOWN(('1_手取り'!$B$3-$G41)/'1_手取り'!$F$16,0),月額表!$K$4:$K$12,1)),4),0)))*'1_手取り'!$F$16,(IF((ROUNDDOWN(('1_手取り'!$B$3-$G41)/'1_手取り'!$F$16,0)+$H41)&lt;105000,0,IF((ROUNDDOWN(('1_手取り'!$B$3-$G41)/'1_手取り'!$F$16,0)+$H41)&lt;740000,INDEX(月額表!$B$4:$I$234,MATCH((ROUNDDOWN(('1_手取り'!$B$3-$G41)/'1_手取り'!$F$16,0)+$H41),月額表!$A$4:$A$234,1),'1_手取り'!$B$7+1),INDEX(月額表!$M$4:$T$12,MATCH((ROUNDDOWN(('1_手取り'!$B$3-$G41)/'1_手取り'!$F$16,0)+$H41),月額表!$K$4:$K$12,1),'1_手取り'!$B$7+1)+ROUNDDOWN(ROUND(((ROUNDDOWN(('1_手取り'!$B$3-$G41)/'1_手取り'!$F$16,0)+$H41)-INDEX(月額表!$K$4:$K$12,MATCH((ROUNDDOWN(('1_手取り'!$B$3-$G41)/'1_手取り'!$F$16,0)+$H41),月額表!$K$4:$K$12,1)))*INDEX(月額表!$L$4:$L$12,MATCH((ROUNDDOWN(('1_手取り'!$B$3-$G41)/'1_手取り'!$F$16,0)+$H41),月額表!$K$4:$K$12,1)),4),0)))-IF($H41&lt;105000,0,IF($H41&lt;740000,INDEX(月額表!$B$4:$I$234,MATCH($H41,月額表!$A$4:$A$234,1),'1_手取り'!$B$7+1),INDEX(月額表!$M$4:$T$12,MATCH($H41,月額表!$K$4:$K$12,1),'1_手取り'!$B$7+1)+ROUNDDOWN(ROUND(($H41-INDEX(月額表!$K$4:$K$12,MATCH($H41,月額表!$K$4:$K$12,1)))*INDEX(月額表!$L$4:$L$12,MATCH($H41,月額表!$K$4:$K$12,1)),4),0))))*'1_手取り'!$F$16))</f>
        <v/>
      </c>
      <c r="L41" s="5">
        <f>'1_手取り'!$B$3-$G41-$K41</f>
        <v/>
      </c>
      <c r="M41" s="12">
        <f>$L41-MAX($L$5:$L$51)</f>
        <v/>
      </c>
      <c r="P41" s="5">
        <f>IF('1_手取り'!$B$8="なし","",INDEX(標準報酬!$B$4:$B$53,MATCH('1_手取り'!$B$9,標準報酬!$A$4:$A$53,1)))</f>
        <v/>
      </c>
      <c r="Q41" s="5">
        <f>IF($P41="",0,IF(ROUND($P41*($B41+'1_手取り'!$F$7)/2,4)&lt;=0.5,0,ROUNDUP(ROUND($P41*($B41+'1_手取り'!$F$7)/2,4)-0.5,0))+IF(ROUND($P41*料率!$E$5/2,4)&lt;=0.5,0,ROUNDUP(ROUND($P41*料率!$E$5/2,4)-0.5,0))+IF(ROUND(MIN(MAX($P41,88000),650000)*料率!$E$6/2,4)&lt;=0.5,0,ROUNDUP(ROUND(MIN(MAX($P41,88000),650000)*料率!$E$6/2,4)-0.5,0))+IF(ROUND('1_手取り'!$B$9*INDEX(料率!$E$8:$E$10,MATCH('1_手取り'!$B$6,料率!$D$8:$D$10,0)),4)&lt;=0.5,0,ROUNDUP(ROUND('1_手取り'!$B$9*INDEX(料率!$E$8:$E$10,MATCH('1_手取り'!$B$6,料率!$D$8:$D$10,0)),4)-0.5,0)))</f>
        <v/>
      </c>
    </row>
    <row r="42">
      <c r="A42" s="3" t="inlineStr">
        <is>
          <t>愛媛県</t>
        </is>
      </c>
      <c r="B42" s="7">
        <f>INDEX(料率!$B$4:$B$50,MATCH($A42,料率!$A$4:$A$50,0))</f>
        <v/>
      </c>
      <c r="C42" s="5">
        <f>IF(ROUND('1_手取り'!$F$4*($B42+'1_手取り'!$F$7)/2,4)&lt;=0.5,0,ROUNDUP(ROUND('1_手取り'!$F$4*($B42+'1_手取り'!$F$7)/2,4)-0.5,0))</f>
        <v/>
      </c>
      <c r="D42" s="5">
        <f>'1_手取り'!$F$9</f>
        <v/>
      </c>
      <c r="E42" s="5">
        <f>'1_手取り'!$F$10</f>
        <v/>
      </c>
      <c r="F42" s="5">
        <f>'1_手取り'!$F$11</f>
        <v/>
      </c>
      <c r="G42" s="5">
        <f>SUM($C42:$F42)</f>
        <v/>
      </c>
      <c r="H42" s="5">
        <f>IF('1_手取り'!$B$8="なし",0,'1_手取り'!$B$9-$Q42)</f>
        <v/>
      </c>
      <c r="I42" s="8">
        <f>IF(OR('1_手取り'!$B$8="なし",$H42&lt;=0),"前月の給与なし",IF(('1_手取り'!$B$3-$G42)&gt;$H42*10,"10倍超","算出率の表"))</f>
        <v/>
      </c>
      <c r="J42" s="9">
        <f>IF($I42="算出率の表",INDEX(算出率!$A$4:$A$24,MATCH($H42,INDEX(算出率!$B$4:$I$24,0,'1_手取り'!$B$7+1),1)),"")</f>
        <v/>
      </c>
      <c r="K42" s="5">
        <f>IF($I42="算出率の表",ROUNDDOWN(ROUND(('1_手取り'!$B$3-$G42)*$J42,4),0),IF($I42="前月の給与なし",IF(ROUNDDOWN(('1_手取り'!$B$3-$G42)/'1_手取り'!$F$16,0)&lt;105000,0,IF(ROUNDDOWN(('1_手取り'!$B$3-$G42)/'1_手取り'!$F$16,0)&lt;740000,INDEX(月額表!$B$4:$I$234,MATCH(ROUNDDOWN(('1_手取り'!$B$3-$G42)/'1_手取り'!$F$16,0),月額表!$A$4:$A$234,1),'1_手取り'!$B$7+1),INDEX(月額表!$M$4:$T$12,MATCH(ROUNDDOWN(('1_手取り'!$B$3-$G42)/'1_手取り'!$F$16,0),月額表!$K$4:$K$12,1),'1_手取り'!$B$7+1)+ROUNDDOWN(ROUND((ROUNDDOWN(('1_手取り'!$B$3-$G42)/'1_手取り'!$F$16,0)-INDEX(月額表!$K$4:$K$12,MATCH(ROUNDDOWN(('1_手取り'!$B$3-$G42)/'1_手取り'!$F$16,0),月額表!$K$4:$K$12,1)))*INDEX(月額表!$L$4:$L$12,MATCH(ROUNDDOWN(('1_手取り'!$B$3-$G42)/'1_手取り'!$F$16,0),月額表!$K$4:$K$12,1)),4),0)))*'1_手取り'!$F$16,(IF((ROUNDDOWN(('1_手取り'!$B$3-$G42)/'1_手取り'!$F$16,0)+$H42)&lt;105000,0,IF((ROUNDDOWN(('1_手取り'!$B$3-$G42)/'1_手取り'!$F$16,0)+$H42)&lt;740000,INDEX(月額表!$B$4:$I$234,MATCH((ROUNDDOWN(('1_手取り'!$B$3-$G42)/'1_手取り'!$F$16,0)+$H42),月額表!$A$4:$A$234,1),'1_手取り'!$B$7+1),INDEX(月額表!$M$4:$T$12,MATCH((ROUNDDOWN(('1_手取り'!$B$3-$G42)/'1_手取り'!$F$16,0)+$H42),月額表!$K$4:$K$12,1),'1_手取り'!$B$7+1)+ROUNDDOWN(ROUND(((ROUNDDOWN(('1_手取り'!$B$3-$G42)/'1_手取り'!$F$16,0)+$H42)-INDEX(月額表!$K$4:$K$12,MATCH((ROUNDDOWN(('1_手取り'!$B$3-$G42)/'1_手取り'!$F$16,0)+$H42),月額表!$K$4:$K$12,1)))*INDEX(月額表!$L$4:$L$12,MATCH((ROUNDDOWN(('1_手取り'!$B$3-$G42)/'1_手取り'!$F$16,0)+$H42),月額表!$K$4:$K$12,1)),4),0)))-IF($H42&lt;105000,0,IF($H42&lt;740000,INDEX(月額表!$B$4:$I$234,MATCH($H42,月額表!$A$4:$A$234,1),'1_手取り'!$B$7+1),INDEX(月額表!$M$4:$T$12,MATCH($H42,月額表!$K$4:$K$12,1),'1_手取り'!$B$7+1)+ROUNDDOWN(ROUND(($H42-INDEX(月額表!$K$4:$K$12,MATCH($H42,月額表!$K$4:$K$12,1)))*INDEX(月額表!$L$4:$L$12,MATCH($H42,月額表!$K$4:$K$12,1)),4),0))))*'1_手取り'!$F$16))</f>
        <v/>
      </c>
      <c r="L42" s="5">
        <f>'1_手取り'!$B$3-$G42-$K42</f>
        <v/>
      </c>
      <c r="M42" s="12">
        <f>$L42-MAX($L$5:$L$51)</f>
        <v/>
      </c>
      <c r="P42" s="5">
        <f>IF('1_手取り'!$B$8="なし","",INDEX(標準報酬!$B$4:$B$53,MATCH('1_手取り'!$B$9,標準報酬!$A$4:$A$53,1)))</f>
        <v/>
      </c>
      <c r="Q42" s="5">
        <f>IF($P42="",0,IF(ROUND($P42*($B42+'1_手取り'!$F$7)/2,4)&lt;=0.5,0,ROUNDUP(ROUND($P42*($B42+'1_手取り'!$F$7)/2,4)-0.5,0))+IF(ROUND($P42*料率!$E$5/2,4)&lt;=0.5,0,ROUNDUP(ROUND($P42*料率!$E$5/2,4)-0.5,0))+IF(ROUND(MIN(MAX($P42,88000),650000)*料率!$E$6/2,4)&lt;=0.5,0,ROUNDUP(ROUND(MIN(MAX($P42,88000),650000)*料率!$E$6/2,4)-0.5,0))+IF(ROUND('1_手取り'!$B$9*INDEX(料率!$E$8:$E$10,MATCH('1_手取り'!$B$6,料率!$D$8:$D$10,0)),4)&lt;=0.5,0,ROUNDUP(ROUND('1_手取り'!$B$9*INDEX(料率!$E$8:$E$10,MATCH('1_手取り'!$B$6,料率!$D$8:$D$10,0)),4)-0.5,0)))</f>
        <v/>
      </c>
    </row>
    <row r="43">
      <c r="A43" s="3" t="inlineStr">
        <is>
          <t>高知県</t>
        </is>
      </c>
      <c r="B43" s="7">
        <f>INDEX(料率!$B$4:$B$50,MATCH($A43,料率!$A$4:$A$50,0))</f>
        <v/>
      </c>
      <c r="C43" s="5">
        <f>IF(ROUND('1_手取り'!$F$4*($B43+'1_手取り'!$F$7)/2,4)&lt;=0.5,0,ROUNDUP(ROUND('1_手取り'!$F$4*($B43+'1_手取り'!$F$7)/2,4)-0.5,0))</f>
        <v/>
      </c>
      <c r="D43" s="5">
        <f>'1_手取り'!$F$9</f>
        <v/>
      </c>
      <c r="E43" s="5">
        <f>'1_手取り'!$F$10</f>
        <v/>
      </c>
      <c r="F43" s="5">
        <f>'1_手取り'!$F$11</f>
        <v/>
      </c>
      <c r="G43" s="5">
        <f>SUM($C43:$F43)</f>
        <v/>
      </c>
      <c r="H43" s="5">
        <f>IF('1_手取り'!$B$8="なし",0,'1_手取り'!$B$9-$Q43)</f>
        <v/>
      </c>
      <c r="I43" s="8">
        <f>IF(OR('1_手取り'!$B$8="なし",$H43&lt;=0),"前月の給与なし",IF(('1_手取り'!$B$3-$G43)&gt;$H43*10,"10倍超","算出率の表"))</f>
        <v/>
      </c>
      <c r="J43" s="9">
        <f>IF($I43="算出率の表",INDEX(算出率!$A$4:$A$24,MATCH($H43,INDEX(算出率!$B$4:$I$24,0,'1_手取り'!$B$7+1),1)),"")</f>
        <v/>
      </c>
      <c r="K43" s="5">
        <f>IF($I43="算出率の表",ROUNDDOWN(ROUND(('1_手取り'!$B$3-$G43)*$J43,4),0),IF($I43="前月の給与なし",IF(ROUNDDOWN(('1_手取り'!$B$3-$G43)/'1_手取り'!$F$16,0)&lt;105000,0,IF(ROUNDDOWN(('1_手取り'!$B$3-$G43)/'1_手取り'!$F$16,0)&lt;740000,INDEX(月額表!$B$4:$I$234,MATCH(ROUNDDOWN(('1_手取り'!$B$3-$G43)/'1_手取り'!$F$16,0),月額表!$A$4:$A$234,1),'1_手取り'!$B$7+1),INDEX(月額表!$M$4:$T$12,MATCH(ROUNDDOWN(('1_手取り'!$B$3-$G43)/'1_手取り'!$F$16,0),月額表!$K$4:$K$12,1),'1_手取り'!$B$7+1)+ROUNDDOWN(ROUND((ROUNDDOWN(('1_手取り'!$B$3-$G43)/'1_手取り'!$F$16,0)-INDEX(月額表!$K$4:$K$12,MATCH(ROUNDDOWN(('1_手取り'!$B$3-$G43)/'1_手取り'!$F$16,0),月額表!$K$4:$K$12,1)))*INDEX(月額表!$L$4:$L$12,MATCH(ROUNDDOWN(('1_手取り'!$B$3-$G43)/'1_手取り'!$F$16,0),月額表!$K$4:$K$12,1)),4),0)))*'1_手取り'!$F$16,(IF((ROUNDDOWN(('1_手取り'!$B$3-$G43)/'1_手取り'!$F$16,0)+$H43)&lt;105000,0,IF((ROUNDDOWN(('1_手取り'!$B$3-$G43)/'1_手取り'!$F$16,0)+$H43)&lt;740000,INDEX(月額表!$B$4:$I$234,MATCH((ROUNDDOWN(('1_手取り'!$B$3-$G43)/'1_手取り'!$F$16,0)+$H43),月額表!$A$4:$A$234,1),'1_手取り'!$B$7+1),INDEX(月額表!$M$4:$T$12,MATCH((ROUNDDOWN(('1_手取り'!$B$3-$G43)/'1_手取り'!$F$16,0)+$H43),月額表!$K$4:$K$12,1),'1_手取り'!$B$7+1)+ROUNDDOWN(ROUND(((ROUNDDOWN(('1_手取り'!$B$3-$G43)/'1_手取り'!$F$16,0)+$H43)-INDEX(月額表!$K$4:$K$12,MATCH((ROUNDDOWN(('1_手取り'!$B$3-$G43)/'1_手取り'!$F$16,0)+$H43),月額表!$K$4:$K$12,1)))*INDEX(月額表!$L$4:$L$12,MATCH((ROUNDDOWN(('1_手取り'!$B$3-$G43)/'1_手取り'!$F$16,0)+$H43),月額表!$K$4:$K$12,1)),4),0)))-IF($H43&lt;105000,0,IF($H43&lt;740000,INDEX(月額表!$B$4:$I$234,MATCH($H43,月額表!$A$4:$A$234,1),'1_手取り'!$B$7+1),INDEX(月額表!$M$4:$T$12,MATCH($H43,月額表!$K$4:$K$12,1),'1_手取り'!$B$7+1)+ROUNDDOWN(ROUND(($H43-INDEX(月額表!$K$4:$K$12,MATCH($H43,月額表!$K$4:$K$12,1)))*INDEX(月額表!$L$4:$L$12,MATCH($H43,月額表!$K$4:$K$12,1)),4),0))))*'1_手取り'!$F$16))</f>
        <v/>
      </c>
      <c r="L43" s="5">
        <f>'1_手取り'!$B$3-$G43-$K43</f>
        <v/>
      </c>
      <c r="M43" s="12">
        <f>$L43-MAX($L$5:$L$51)</f>
        <v/>
      </c>
      <c r="P43" s="5">
        <f>IF('1_手取り'!$B$8="なし","",INDEX(標準報酬!$B$4:$B$53,MATCH('1_手取り'!$B$9,標準報酬!$A$4:$A$53,1)))</f>
        <v/>
      </c>
      <c r="Q43" s="5">
        <f>IF($P43="",0,IF(ROUND($P43*($B43+'1_手取り'!$F$7)/2,4)&lt;=0.5,0,ROUNDUP(ROUND($P43*($B43+'1_手取り'!$F$7)/2,4)-0.5,0))+IF(ROUND($P43*料率!$E$5/2,4)&lt;=0.5,0,ROUNDUP(ROUND($P43*料率!$E$5/2,4)-0.5,0))+IF(ROUND(MIN(MAX($P43,88000),650000)*料率!$E$6/2,4)&lt;=0.5,0,ROUNDUP(ROUND(MIN(MAX($P43,88000),650000)*料率!$E$6/2,4)-0.5,0))+IF(ROUND('1_手取り'!$B$9*INDEX(料率!$E$8:$E$10,MATCH('1_手取り'!$B$6,料率!$D$8:$D$10,0)),4)&lt;=0.5,0,ROUNDUP(ROUND('1_手取り'!$B$9*INDEX(料率!$E$8:$E$10,MATCH('1_手取り'!$B$6,料率!$D$8:$D$10,0)),4)-0.5,0)))</f>
        <v/>
      </c>
    </row>
    <row r="44">
      <c r="A44" s="3" t="inlineStr">
        <is>
          <t>福岡県</t>
        </is>
      </c>
      <c r="B44" s="7">
        <f>INDEX(料率!$B$4:$B$50,MATCH($A44,料率!$A$4:$A$50,0))</f>
        <v/>
      </c>
      <c r="C44" s="5">
        <f>IF(ROUND('1_手取り'!$F$4*($B44+'1_手取り'!$F$7)/2,4)&lt;=0.5,0,ROUNDUP(ROUND('1_手取り'!$F$4*($B44+'1_手取り'!$F$7)/2,4)-0.5,0))</f>
        <v/>
      </c>
      <c r="D44" s="5">
        <f>'1_手取り'!$F$9</f>
        <v/>
      </c>
      <c r="E44" s="5">
        <f>'1_手取り'!$F$10</f>
        <v/>
      </c>
      <c r="F44" s="5">
        <f>'1_手取り'!$F$11</f>
        <v/>
      </c>
      <c r="G44" s="5">
        <f>SUM($C44:$F44)</f>
        <v/>
      </c>
      <c r="H44" s="5">
        <f>IF('1_手取り'!$B$8="なし",0,'1_手取り'!$B$9-$Q44)</f>
        <v/>
      </c>
      <c r="I44" s="8">
        <f>IF(OR('1_手取り'!$B$8="なし",$H44&lt;=0),"前月の給与なし",IF(('1_手取り'!$B$3-$G44)&gt;$H44*10,"10倍超","算出率の表"))</f>
        <v/>
      </c>
      <c r="J44" s="9">
        <f>IF($I44="算出率の表",INDEX(算出率!$A$4:$A$24,MATCH($H44,INDEX(算出率!$B$4:$I$24,0,'1_手取り'!$B$7+1),1)),"")</f>
        <v/>
      </c>
      <c r="K44" s="5">
        <f>IF($I44="算出率の表",ROUNDDOWN(ROUND(('1_手取り'!$B$3-$G44)*$J44,4),0),IF($I44="前月の給与なし",IF(ROUNDDOWN(('1_手取り'!$B$3-$G44)/'1_手取り'!$F$16,0)&lt;105000,0,IF(ROUNDDOWN(('1_手取り'!$B$3-$G44)/'1_手取り'!$F$16,0)&lt;740000,INDEX(月額表!$B$4:$I$234,MATCH(ROUNDDOWN(('1_手取り'!$B$3-$G44)/'1_手取り'!$F$16,0),月額表!$A$4:$A$234,1),'1_手取り'!$B$7+1),INDEX(月額表!$M$4:$T$12,MATCH(ROUNDDOWN(('1_手取り'!$B$3-$G44)/'1_手取り'!$F$16,0),月額表!$K$4:$K$12,1),'1_手取り'!$B$7+1)+ROUNDDOWN(ROUND((ROUNDDOWN(('1_手取り'!$B$3-$G44)/'1_手取り'!$F$16,0)-INDEX(月額表!$K$4:$K$12,MATCH(ROUNDDOWN(('1_手取り'!$B$3-$G44)/'1_手取り'!$F$16,0),月額表!$K$4:$K$12,1)))*INDEX(月額表!$L$4:$L$12,MATCH(ROUNDDOWN(('1_手取り'!$B$3-$G44)/'1_手取り'!$F$16,0),月額表!$K$4:$K$12,1)),4),0)))*'1_手取り'!$F$16,(IF((ROUNDDOWN(('1_手取り'!$B$3-$G44)/'1_手取り'!$F$16,0)+$H44)&lt;105000,0,IF((ROUNDDOWN(('1_手取り'!$B$3-$G44)/'1_手取り'!$F$16,0)+$H44)&lt;740000,INDEX(月額表!$B$4:$I$234,MATCH((ROUNDDOWN(('1_手取り'!$B$3-$G44)/'1_手取り'!$F$16,0)+$H44),月額表!$A$4:$A$234,1),'1_手取り'!$B$7+1),INDEX(月額表!$M$4:$T$12,MATCH((ROUNDDOWN(('1_手取り'!$B$3-$G44)/'1_手取り'!$F$16,0)+$H44),月額表!$K$4:$K$12,1),'1_手取り'!$B$7+1)+ROUNDDOWN(ROUND(((ROUNDDOWN(('1_手取り'!$B$3-$G44)/'1_手取り'!$F$16,0)+$H44)-INDEX(月額表!$K$4:$K$12,MATCH((ROUNDDOWN(('1_手取り'!$B$3-$G44)/'1_手取り'!$F$16,0)+$H44),月額表!$K$4:$K$12,1)))*INDEX(月額表!$L$4:$L$12,MATCH((ROUNDDOWN(('1_手取り'!$B$3-$G44)/'1_手取り'!$F$16,0)+$H44),月額表!$K$4:$K$12,1)),4),0)))-IF($H44&lt;105000,0,IF($H44&lt;740000,INDEX(月額表!$B$4:$I$234,MATCH($H44,月額表!$A$4:$A$234,1),'1_手取り'!$B$7+1),INDEX(月額表!$M$4:$T$12,MATCH($H44,月額表!$K$4:$K$12,1),'1_手取り'!$B$7+1)+ROUNDDOWN(ROUND(($H44-INDEX(月額表!$K$4:$K$12,MATCH($H44,月額表!$K$4:$K$12,1)))*INDEX(月額表!$L$4:$L$12,MATCH($H44,月額表!$K$4:$K$12,1)),4),0))))*'1_手取り'!$F$16))</f>
        <v/>
      </c>
      <c r="L44" s="5">
        <f>'1_手取り'!$B$3-$G44-$K44</f>
        <v/>
      </c>
      <c r="M44" s="12">
        <f>$L44-MAX($L$5:$L$51)</f>
        <v/>
      </c>
      <c r="P44" s="5">
        <f>IF('1_手取り'!$B$8="なし","",INDEX(標準報酬!$B$4:$B$53,MATCH('1_手取り'!$B$9,標準報酬!$A$4:$A$53,1)))</f>
        <v/>
      </c>
      <c r="Q44" s="5">
        <f>IF($P44="",0,IF(ROUND($P44*($B44+'1_手取り'!$F$7)/2,4)&lt;=0.5,0,ROUNDUP(ROUND($P44*($B44+'1_手取り'!$F$7)/2,4)-0.5,0))+IF(ROUND($P44*料率!$E$5/2,4)&lt;=0.5,0,ROUNDUP(ROUND($P44*料率!$E$5/2,4)-0.5,0))+IF(ROUND(MIN(MAX($P44,88000),650000)*料率!$E$6/2,4)&lt;=0.5,0,ROUNDUP(ROUND(MIN(MAX($P44,88000),650000)*料率!$E$6/2,4)-0.5,0))+IF(ROUND('1_手取り'!$B$9*INDEX(料率!$E$8:$E$10,MATCH('1_手取り'!$B$6,料率!$D$8:$D$10,0)),4)&lt;=0.5,0,ROUNDUP(ROUND('1_手取り'!$B$9*INDEX(料率!$E$8:$E$10,MATCH('1_手取り'!$B$6,料率!$D$8:$D$10,0)),4)-0.5,0)))</f>
        <v/>
      </c>
    </row>
    <row r="45">
      <c r="A45" s="3" t="inlineStr">
        <is>
          <t>佐賀県</t>
        </is>
      </c>
      <c r="B45" s="7">
        <f>INDEX(料率!$B$4:$B$50,MATCH($A45,料率!$A$4:$A$50,0))</f>
        <v/>
      </c>
      <c r="C45" s="5">
        <f>IF(ROUND('1_手取り'!$F$4*($B45+'1_手取り'!$F$7)/2,4)&lt;=0.5,0,ROUNDUP(ROUND('1_手取り'!$F$4*($B45+'1_手取り'!$F$7)/2,4)-0.5,0))</f>
        <v/>
      </c>
      <c r="D45" s="5">
        <f>'1_手取り'!$F$9</f>
        <v/>
      </c>
      <c r="E45" s="5">
        <f>'1_手取り'!$F$10</f>
        <v/>
      </c>
      <c r="F45" s="5">
        <f>'1_手取り'!$F$11</f>
        <v/>
      </c>
      <c r="G45" s="5">
        <f>SUM($C45:$F45)</f>
        <v/>
      </c>
      <c r="H45" s="5">
        <f>IF('1_手取り'!$B$8="なし",0,'1_手取り'!$B$9-$Q45)</f>
        <v/>
      </c>
      <c r="I45" s="8">
        <f>IF(OR('1_手取り'!$B$8="なし",$H45&lt;=0),"前月の給与なし",IF(('1_手取り'!$B$3-$G45)&gt;$H45*10,"10倍超","算出率の表"))</f>
        <v/>
      </c>
      <c r="J45" s="9">
        <f>IF($I45="算出率の表",INDEX(算出率!$A$4:$A$24,MATCH($H45,INDEX(算出率!$B$4:$I$24,0,'1_手取り'!$B$7+1),1)),"")</f>
        <v/>
      </c>
      <c r="K45" s="5">
        <f>IF($I45="算出率の表",ROUNDDOWN(ROUND(('1_手取り'!$B$3-$G45)*$J45,4),0),IF($I45="前月の給与なし",IF(ROUNDDOWN(('1_手取り'!$B$3-$G45)/'1_手取り'!$F$16,0)&lt;105000,0,IF(ROUNDDOWN(('1_手取り'!$B$3-$G45)/'1_手取り'!$F$16,0)&lt;740000,INDEX(月額表!$B$4:$I$234,MATCH(ROUNDDOWN(('1_手取り'!$B$3-$G45)/'1_手取り'!$F$16,0),月額表!$A$4:$A$234,1),'1_手取り'!$B$7+1),INDEX(月額表!$M$4:$T$12,MATCH(ROUNDDOWN(('1_手取り'!$B$3-$G45)/'1_手取り'!$F$16,0),月額表!$K$4:$K$12,1),'1_手取り'!$B$7+1)+ROUNDDOWN(ROUND((ROUNDDOWN(('1_手取り'!$B$3-$G45)/'1_手取り'!$F$16,0)-INDEX(月額表!$K$4:$K$12,MATCH(ROUNDDOWN(('1_手取り'!$B$3-$G45)/'1_手取り'!$F$16,0),月額表!$K$4:$K$12,1)))*INDEX(月額表!$L$4:$L$12,MATCH(ROUNDDOWN(('1_手取り'!$B$3-$G45)/'1_手取り'!$F$16,0),月額表!$K$4:$K$12,1)),4),0)))*'1_手取り'!$F$16,(IF((ROUNDDOWN(('1_手取り'!$B$3-$G45)/'1_手取り'!$F$16,0)+$H45)&lt;105000,0,IF((ROUNDDOWN(('1_手取り'!$B$3-$G45)/'1_手取り'!$F$16,0)+$H45)&lt;740000,INDEX(月額表!$B$4:$I$234,MATCH((ROUNDDOWN(('1_手取り'!$B$3-$G45)/'1_手取り'!$F$16,0)+$H45),月額表!$A$4:$A$234,1),'1_手取り'!$B$7+1),INDEX(月額表!$M$4:$T$12,MATCH((ROUNDDOWN(('1_手取り'!$B$3-$G45)/'1_手取り'!$F$16,0)+$H45),月額表!$K$4:$K$12,1),'1_手取り'!$B$7+1)+ROUNDDOWN(ROUND(((ROUNDDOWN(('1_手取り'!$B$3-$G45)/'1_手取り'!$F$16,0)+$H45)-INDEX(月額表!$K$4:$K$12,MATCH((ROUNDDOWN(('1_手取り'!$B$3-$G45)/'1_手取り'!$F$16,0)+$H45),月額表!$K$4:$K$12,1)))*INDEX(月額表!$L$4:$L$12,MATCH((ROUNDDOWN(('1_手取り'!$B$3-$G45)/'1_手取り'!$F$16,0)+$H45),月額表!$K$4:$K$12,1)),4),0)))-IF($H45&lt;105000,0,IF($H45&lt;740000,INDEX(月額表!$B$4:$I$234,MATCH($H45,月額表!$A$4:$A$234,1),'1_手取り'!$B$7+1),INDEX(月額表!$M$4:$T$12,MATCH($H45,月額表!$K$4:$K$12,1),'1_手取り'!$B$7+1)+ROUNDDOWN(ROUND(($H45-INDEX(月額表!$K$4:$K$12,MATCH($H45,月額表!$K$4:$K$12,1)))*INDEX(月額表!$L$4:$L$12,MATCH($H45,月額表!$K$4:$K$12,1)),4),0))))*'1_手取り'!$F$16))</f>
        <v/>
      </c>
      <c r="L45" s="5">
        <f>'1_手取り'!$B$3-$G45-$K45</f>
        <v/>
      </c>
      <c r="M45" s="12">
        <f>$L45-MAX($L$5:$L$51)</f>
        <v/>
      </c>
      <c r="P45" s="5">
        <f>IF('1_手取り'!$B$8="なし","",INDEX(標準報酬!$B$4:$B$53,MATCH('1_手取り'!$B$9,標準報酬!$A$4:$A$53,1)))</f>
        <v/>
      </c>
      <c r="Q45" s="5">
        <f>IF($P45="",0,IF(ROUND($P45*($B45+'1_手取り'!$F$7)/2,4)&lt;=0.5,0,ROUNDUP(ROUND($P45*($B45+'1_手取り'!$F$7)/2,4)-0.5,0))+IF(ROUND($P45*料率!$E$5/2,4)&lt;=0.5,0,ROUNDUP(ROUND($P45*料率!$E$5/2,4)-0.5,0))+IF(ROUND(MIN(MAX($P45,88000),650000)*料率!$E$6/2,4)&lt;=0.5,0,ROUNDUP(ROUND(MIN(MAX($P45,88000),650000)*料率!$E$6/2,4)-0.5,0))+IF(ROUND('1_手取り'!$B$9*INDEX(料率!$E$8:$E$10,MATCH('1_手取り'!$B$6,料率!$D$8:$D$10,0)),4)&lt;=0.5,0,ROUNDUP(ROUND('1_手取り'!$B$9*INDEX(料率!$E$8:$E$10,MATCH('1_手取り'!$B$6,料率!$D$8:$D$10,0)),4)-0.5,0)))</f>
        <v/>
      </c>
    </row>
    <row r="46">
      <c r="A46" s="3" t="inlineStr">
        <is>
          <t>長崎県</t>
        </is>
      </c>
      <c r="B46" s="7">
        <f>INDEX(料率!$B$4:$B$50,MATCH($A46,料率!$A$4:$A$50,0))</f>
        <v/>
      </c>
      <c r="C46" s="5">
        <f>IF(ROUND('1_手取り'!$F$4*($B46+'1_手取り'!$F$7)/2,4)&lt;=0.5,0,ROUNDUP(ROUND('1_手取り'!$F$4*($B46+'1_手取り'!$F$7)/2,4)-0.5,0))</f>
        <v/>
      </c>
      <c r="D46" s="5">
        <f>'1_手取り'!$F$9</f>
        <v/>
      </c>
      <c r="E46" s="5">
        <f>'1_手取り'!$F$10</f>
        <v/>
      </c>
      <c r="F46" s="5">
        <f>'1_手取り'!$F$11</f>
        <v/>
      </c>
      <c r="G46" s="5">
        <f>SUM($C46:$F46)</f>
        <v/>
      </c>
      <c r="H46" s="5">
        <f>IF('1_手取り'!$B$8="なし",0,'1_手取り'!$B$9-$Q46)</f>
        <v/>
      </c>
      <c r="I46" s="8">
        <f>IF(OR('1_手取り'!$B$8="なし",$H46&lt;=0),"前月の給与なし",IF(('1_手取り'!$B$3-$G46)&gt;$H46*10,"10倍超","算出率の表"))</f>
        <v/>
      </c>
      <c r="J46" s="9">
        <f>IF($I46="算出率の表",INDEX(算出率!$A$4:$A$24,MATCH($H46,INDEX(算出率!$B$4:$I$24,0,'1_手取り'!$B$7+1),1)),"")</f>
        <v/>
      </c>
      <c r="K46" s="5">
        <f>IF($I46="算出率の表",ROUNDDOWN(ROUND(('1_手取り'!$B$3-$G46)*$J46,4),0),IF($I46="前月の給与なし",IF(ROUNDDOWN(('1_手取り'!$B$3-$G46)/'1_手取り'!$F$16,0)&lt;105000,0,IF(ROUNDDOWN(('1_手取り'!$B$3-$G46)/'1_手取り'!$F$16,0)&lt;740000,INDEX(月額表!$B$4:$I$234,MATCH(ROUNDDOWN(('1_手取り'!$B$3-$G46)/'1_手取り'!$F$16,0),月額表!$A$4:$A$234,1),'1_手取り'!$B$7+1),INDEX(月額表!$M$4:$T$12,MATCH(ROUNDDOWN(('1_手取り'!$B$3-$G46)/'1_手取り'!$F$16,0),月額表!$K$4:$K$12,1),'1_手取り'!$B$7+1)+ROUNDDOWN(ROUND((ROUNDDOWN(('1_手取り'!$B$3-$G46)/'1_手取り'!$F$16,0)-INDEX(月額表!$K$4:$K$12,MATCH(ROUNDDOWN(('1_手取り'!$B$3-$G46)/'1_手取り'!$F$16,0),月額表!$K$4:$K$12,1)))*INDEX(月額表!$L$4:$L$12,MATCH(ROUNDDOWN(('1_手取り'!$B$3-$G46)/'1_手取り'!$F$16,0),月額表!$K$4:$K$12,1)),4),0)))*'1_手取り'!$F$16,(IF((ROUNDDOWN(('1_手取り'!$B$3-$G46)/'1_手取り'!$F$16,0)+$H46)&lt;105000,0,IF((ROUNDDOWN(('1_手取り'!$B$3-$G46)/'1_手取り'!$F$16,0)+$H46)&lt;740000,INDEX(月額表!$B$4:$I$234,MATCH((ROUNDDOWN(('1_手取り'!$B$3-$G46)/'1_手取り'!$F$16,0)+$H46),月額表!$A$4:$A$234,1),'1_手取り'!$B$7+1),INDEX(月額表!$M$4:$T$12,MATCH((ROUNDDOWN(('1_手取り'!$B$3-$G46)/'1_手取り'!$F$16,0)+$H46),月額表!$K$4:$K$12,1),'1_手取り'!$B$7+1)+ROUNDDOWN(ROUND(((ROUNDDOWN(('1_手取り'!$B$3-$G46)/'1_手取り'!$F$16,0)+$H46)-INDEX(月額表!$K$4:$K$12,MATCH((ROUNDDOWN(('1_手取り'!$B$3-$G46)/'1_手取り'!$F$16,0)+$H46),月額表!$K$4:$K$12,1)))*INDEX(月額表!$L$4:$L$12,MATCH((ROUNDDOWN(('1_手取り'!$B$3-$G46)/'1_手取り'!$F$16,0)+$H46),月額表!$K$4:$K$12,1)),4),0)))-IF($H46&lt;105000,0,IF($H46&lt;740000,INDEX(月額表!$B$4:$I$234,MATCH($H46,月額表!$A$4:$A$234,1),'1_手取り'!$B$7+1),INDEX(月額表!$M$4:$T$12,MATCH($H46,月額表!$K$4:$K$12,1),'1_手取り'!$B$7+1)+ROUNDDOWN(ROUND(($H46-INDEX(月額表!$K$4:$K$12,MATCH($H46,月額表!$K$4:$K$12,1)))*INDEX(月額表!$L$4:$L$12,MATCH($H46,月額表!$K$4:$K$12,1)),4),0))))*'1_手取り'!$F$16))</f>
        <v/>
      </c>
      <c r="L46" s="5">
        <f>'1_手取り'!$B$3-$G46-$K46</f>
        <v/>
      </c>
      <c r="M46" s="12">
        <f>$L46-MAX($L$5:$L$51)</f>
        <v/>
      </c>
      <c r="P46" s="5">
        <f>IF('1_手取り'!$B$8="なし","",INDEX(標準報酬!$B$4:$B$53,MATCH('1_手取り'!$B$9,標準報酬!$A$4:$A$53,1)))</f>
        <v/>
      </c>
      <c r="Q46" s="5">
        <f>IF($P46="",0,IF(ROUND($P46*($B46+'1_手取り'!$F$7)/2,4)&lt;=0.5,0,ROUNDUP(ROUND($P46*($B46+'1_手取り'!$F$7)/2,4)-0.5,0))+IF(ROUND($P46*料率!$E$5/2,4)&lt;=0.5,0,ROUNDUP(ROUND($P46*料率!$E$5/2,4)-0.5,0))+IF(ROUND(MIN(MAX($P46,88000),650000)*料率!$E$6/2,4)&lt;=0.5,0,ROUNDUP(ROUND(MIN(MAX($P46,88000),650000)*料率!$E$6/2,4)-0.5,0))+IF(ROUND('1_手取り'!$B$9*INDEX(料率!$E$8:$E$10,MATCH('1_手取り'!$B$6,料率!$D$8:$D$10,0)),4)&lt;=0.5,0,ROUNDUP(ROUND('1_手取り'!$B$9*INDEX(料率!$E$8:$E$10,MATCH('1_手取り'!$B$6,料率!$D$8:$D$10,0)),4)-0.5,0)))</f>
        <v/>
      </c>
    </row>
    <row r="47">
      <c r="A47" s="3" t="inlineStr">
        <is>
          <t>熊本県</t>
        </is>
      </c>
      <c r="B47" s="7">
        <f>INDEX(料率!$B$4:$B$50,MATCH($A47,料率!$A$4:$A$50,0))</f>
        <v/>
      </c>
      <c r="C47" s="5">
        <f>IF(ROUND('1_手取り'!$F$4*($B47+'1_手取り'!$F$7)/2,4)&lt;=0.5,0,ROUNDUP(ROUND('1_手取り'!$F$4*($B47+'1_手取り'!$F$7)/2,4)-0.5,0))</f>
        <v/>
      </c>
      <c r="D47" s="5">
        <f>'1_手取り'!$F$9</f>
        <v/>
      </c>
      <c r="E47" s="5">
        <f>'1_手取り'!$F$10</f>
        <v/>
      </c>
      <c r="F47" s="5">
        <f>'1_手取り'!$F$11</f>
        <v/>
      </c>
      <c r="G47" s="5">
        <f>SUM($C47:$F47)</f>
        <v/>
      </c>
      <c r="H47" s="5">
        <f>IF('1_手取り'!$B$8="なし",0,'1_手取り'!$B$9-$Q47)</f>
        <v/>
      </c>
      <c r="I47" s="8">
        <f>IF(OR('1_手取り'!$B$8="なし",$H47&lt;=0),"前月の給与なし",IF(('1_手取り'!$B$3-$G47)&gt;$H47*10,"10倍超","算出率の表"))</f>
        <v/>
      </c>
      <c r="J47" s="9">
        <f>IF($I47="算出率の表",INDEX(算出率!$A$4:$A$24,MATCH($H47,INDEX(算出率!$B$4:$I$24,0,'1_手取り'!$B$7+1),1)),"")</f>
        <v/>
      </c>
      <c r="K47" s="5">
        <f>IF($I47="算出率の表",ROUNDDOWN(ROUND(('1_手取り'!$B$3-$G47)*$J47,4),0),IF($I47="前月の給与なし",IF(ROUNDDOWN(('1_手取り'!$B$3-$G47)/'1_手取り'!$F$16,0)&lt;105000,0,IF(ROUNDDOWN(('1_手取り'!$B$3-$G47)/'1_手取り'!$F$16,0)&lt;740000,INDEX(月額表!$B$4:$I$234,MATCH(ROUNDDOWN(('1_手取り'!$B$3-$G47)/'1_手取り'!$F$16,0),月額表!$A$4:$A$234,1),'1_手取り'!$B$7+1),INDEX(月額表!$M$4:$T$12,MATCH(ROUNDDOWN(('1_手取り'!$B$3-$G47)/'1_手取り'!$F$16,0),月額表!$K$4:$K$12,1),'1_手取り'!$B$7+1)+ROUNDDOWN(ROUND((ROUNDDOWN(('1_手取り'!$B$3-$G47)/'1_手取り'!$F$16,0)-INDEX(月額表!$K$4:$K$12,MATCH(ROUNDDOWN(('1_手取り'!$B$3-$G47)/'1_手取り'!$F$16,0),月額表!$K$4:$K$12,1)))*INDEX(月額表!$L$4:$L$12,MATCH(ROUNDDOWN(('1_手取り'!$B$3-$G47)/'1_手取り'!$F$16,0),月額表!$K$4:$K$12,1)),4),0)))*'1_手取り'!$F$16,(IF((ROUNDDOWN(('1_手取り'!$B$3-$G47)/'1_手取り'!$F$16,0)+$H47)&lt;105000,0,IF((ROUNDDOWN(('1_手取り'!$B$3-$G47)/'1_手取り'!$F$16,0)+$H47)&lt;740000,INDEX(月額表!$B$4:$I$234,MATCH((ROUNDDOWN(('1_手取り'!$B$3-$G47)/'1_手取り'!$F$16,0)+$H47),月額表!$A$4:$A$234,1),'1_手取り'!$B$7+1),INDEX(月額表!$M$4:$T$12,MATCH((ROUNDDOWN(('1_手取り'!$B$3-$G47)/'1_手取り'!$F$16,0)+$H47),月額表!$K$4:$K$12,1),'1_手取り'!$B$7+1)+ROUNDDOWN(ROUND(((ROUNDDOWN(('1_手取り'!$B$3-$G47)/'1_手取り'!$F$16,0)+$H47)-INDEX(月額表!$K$4:$K$12,MATCH((ROUNDDOWN(('1_手取り'!$B$3-$G47)/'1_手取り'!$F$16,0)+$H47),月額表!$K$4:$K$12,1)))*INDEX(月額表!$L$4:$L$12,MATCH((ROUNDDOWN(('1_手取り'!$B$3-$G47)/'1_手取り'!$F$16,0)+$H47),月額表!$K$4:$K$12,1)),4),0)))-IF($H47&lt;105000,0,IF($H47&lt;740000,INDEX(月額表!$B$4:$I$234,MATCH($H47,月額表!$A$4:$A$234,1),'1_手取り'!$B$7+1),INDEX(月額表!$M$4:$T$12,MATCH($H47,月額表!$K$4:$K$12,1),'1_手取り'!$B$7+1)+ROUNDDOWN(ROUND(($H47-INDEX(月額表!$K$4:$K$12,MATCH($H47,月額表!$K$4:$K$12,1)))*INDEX(月額表!$L$4:$L$12,MATCH($H47,月額表!$K$4:$K$12,1)),4),0))))*'1_手取り'!$F$16))</f>
        <v/>
      </c>
      <c r="L47" s="5">
        <f>'1_手取り'!$B$3-$G47-$K47</f>
        <v/>
      </c>
      <c r="M47" s="12">
        <f>$L47-MAX($L$5:$L$51)</f>
        <v/>
      </c>
      <c r="P47" s="5">
        <f>IF('1_手取り'!$B$8="なし","",INDEX(標準報酬!$B$4:$B$53,MATCH('1_手取り'!$B$9,標準報酬!$A$4:$A$53,1)))</f>
        <v/>
      </c>
      <c r="Q47" s="5">
        <f>IF($P47="",0,IF(ROUND($P47*($B47+'1_手取り'!$F$7)/2,4)&lt;=0.5,0,ROUNDUP(ROUND($P47*($B47+'1_手取り'!$F$7)/2,4)-0.5,0))+IF(ROUND($P47*料率!$E$5/2,4)&lt;=0.5,0,ROUNDUP(ROUND($P47*料率!$E$5/2,4)-0.5,0))+IF(ROUND(MIN(MAX($P47,88000),650000)*料率!$E$6/2,4)&lt;=0.5,0,ROUNDUP(ROUND(MIN(MAX($P47,88000),650000)*料率!$E$6/2,4)-0.5,0))+IF(ROUND('1_手取り'!$B$9*INDEX(料率!$E$8:$E$10,MATCH('1_手取り'!$B$6,料率!$D$8:$D$10,0)),4)&lt;=0.5,0,ROUNDUP(ROUND('1_手取り'!$B$9*INDEX(料率!$E$8:$E$10,MATCH('1_手取り'!$B$6,料率!$D$8:$D$10,0)),4)-0.5,0)))</f>
        <v/>
      </c>
    </row>
    <row r="48">
      <c r="A48" s="3" t="inlineStr">
        <is>
          <t>大分県</t>
        </is>
      </c>
      <c r="B48" s="7">
        <f>INDEX(料率!$B$4:$B$50,MATCH($A48,料率!$A$4:$A$50,0))</f>
        <v/>
      </c>
      <c r="C48" s="5">
        <f>IF(ROUND('1_手取り'!$F$4*($B48+'1_手取り'!$F$7)/2,4)&lt;=0.5,0,ROUNDUP(ROUND('1_手取り'!$F$4*($B48+'1_手取り'!$F$7)/2,4)-0.5,0))</f>
        <v/>
      </c>
      <c r="D48" s="5">
        <f>'1_手取り'!$F$9</f>
        <v/>
      </c>
      <c r="E48" s="5">
        <f>'1_手取り'!$F$10</f>
        <v/>
      </c>
      <c r="F48" s="5">
        <f>'1_手取り'!$F$11</f>
        <v/>
      </c>
      <c r="G48" s="5">
        <f>SUM($C48:$F48)</f>
        <v/>
      </c>
      <c r="H48" s="5">
        <f>IF('1_手取り'!$B$8="なし",0,'1_手取り'!$B$9-$Q48)</f>
        <v/>
      </c>
      <c r="I48" s="8">
        <f>IF(OR('1_手取り'!$B$8="なし",$H48&lt;=0),"前月の給与なし",IF(('1_手取り'!$B$3-$G48)&gt;$H48*10,"10倍超","算出率の表"))</f>
        <v/>
      </c>
      <c r="J48" s="9">
        <f>IF($I48="算出率の表",INDEX(算出率!$A$4:$A$24,MATCH($H48,INDEX(算出率!$B$4:$I$24,0,'1_手取り'!$B$7+1),1)),"")</f>
        <v/>
      </c>
      <c r="K48" s="5">
        <f>IF($I48="算出率の表",ROUNDDOWN(ROUND(('1_手取り'!$B$3-$G48)*$J48,4),0),IF($I48="前月の給与なし",IF(ROUNDDOWN(('1_手取り'!$B$3-$G48)/'1_手取り'!$F$16,0)&lt;105000,0,IF(ROUNDDOWN(('1_手取り'!$B$3-$G48)/'1_手取り'!$F$16,0)&lt;740000,INDEX(月額表!$B$4:$I$234,MATCH(ROUNDDOWN(('1_手取り'!$B$3-$G48)/'1_手取り'!$F$16,0),月額表!$A$4:$A$234,1),'1_手取り'!$B$7+1),INDEX(月額表!$M$4:$T$12,MATCH(ROUNDDOWN(('1_手取り'!$B$3-$G48)/'1_手取り'!$F$16,0),月額表!$K$4:$K$12,1),'1_手取り'!$B$7+1)+ROUNDDOWN(ROUND((ROUNDDOWN(('1_手取り'!$B$3-$G48)/'1_手取り'!$F$16,0)-INDEX(月額表!$K$4:$K$12,MATCH(ROUNDDOWN(('1_手取り'!$B$3-$G48)/'1_手取り'!$F$16,0),月額表!$K$4:$K$12,1)))*INDEX(月額表!$L$4:$L$12,MATCH(ROUNDDOWN(('1_手取り'!$B$3-$G48)/'1_手取り'!$F$16,0),月額表!$K$4:$K$12,1)),4),0)))*'1_手取り'!$F$16,(IF((ROUNDDOWN(('1_手取り'!$B$3-$G48)/'1_手取り'!$F$16,0)+$H48)&lt;105000,0,IF((ROUNDDOWN(('1_手取り'!$B$3-$G48)/'1_手取り'!$F$16,0)+$H48)&lt;740000,INDEX(月額表!$B$4:$I$234,MATCH((ROUNDDOWN(('1_手取り'!$B$3-$G48)/'1_手取り'!$F$16,0)+$H48),月額表!$A$4:$A$234,1),'1_手取り'!$B$7+1),INDEX(月額表!$M$4:$T$12,MATCH((ROUNDDOWN(('1_手取り'!$B$3-$G48)/'1_手取り'!$F$16,0)+$H48),月額表!$K$4:$K$12,1),'1_手取り'!$B$7+1)+ROUNDDOWN(ROUND(((ROUNDDOWN(('1_手取り'!$B$3-$G48)/'1_手取り'!$F$16,0)+$H48)-INDEX(月額表!$K$4:$K$12,MATCH((ROUNDDOWN(('1_手取り'!$B$3-$G48)/'1_手取り'!$F$16,0)+$H48),月額表!$K$4:$K$12,1)))*INDEX(月額表!$L$4:$L$12,MATCH((ROUNDDOWN(('1_手取り'!$B$3-$G48)/'1_手取り'!$F$16,0)+$H48),月額表!$K$4:$K$12,1)),4),0)))-IF($H48&lt;105000,0,IF($H48&lt;740000,INDEX(月額表!$B$4:$I$234,MATCH($H48,月額表!$A$4:$A$234,1),'1_手取り'!$B$7+1),INDEX(月額表!$M$4:$T$12,MATCH($H48,月額表!$K$4:$K$12,1),'1_手取り'!$B$7+1)+ROUNDDOWN(ROUND(($H48-INDEX(月額表!$K$4:$K$12,MATCH($H48,月額表!$K$4:$K$12,1)))*INDEX(月額表!$L$4:$L$12,MATCH($H48,月額表!$K$4:$K$12,1)),4),0))))*'1_手取り'!$F$16))</f>
        <v/>
      </c>
      <c r="L48" s="5">
        <f>'1_手取り'!$B$3-$G48-$K48</f>
        <v/>
      </c>
      <c r="M48" s="12">
        <f>$L48-MAX($L$5:$L$51)</f>
        <v/>
      </c>
      <c r="P48" s="5">
        <f>IF('1_手取り'!$B$8="なし","",INDEX(標準報酬!$B$4:$B$53,MATCH('1_手取り'!$B$9,標準報酬!$A$4:$A$53,1)))</f>
        <v/>
      </c>
      <c r="Q48" s="5">
        <f>IF($P48="",0,IF(ROUND($P48*($B48+'1_手取り'!$F$7)/2,4)&lt;=0.5,0,ROUNDUP(ROUND($P48*($B48+'1_手取り'!$F$7)/2,4)-0.5,0))+IF(ROUND($P48*料率!$E$5/2,4)&lt;=0.5,0,ROUNDUP(ROUND($P48*料率!$E$5/2,4)-0.5,0))+IF(ROUND(MIN(MAX($P48,88000),650000)*料率!$E$6/2,4)&lt;=0.5,0,ROUNDUP(ROUND(MIN(MAX($P48,88000),650000)*料率!$E$6/2,4)-0.5,0))+IF(ROUND('1_手取り'!$B$9*INDEX(料率!$E$8:$E$10,MATCH('1_手取り'!$B$6,料率!$D$8:$D$10,0)),4)&lt;=0.5,0,ROUNDUP(ROUND('1_手取り'!$B$9*INDEX(料率!$E$8:$E$10,MATCH('1_手取り'!$B$6,料率!$D$8:$D$10,0)),4)-0.5,0)))</f>
        <v/>
      </c>
    </row>
    <row r="49">
      <c r="A49" s="3" t="inlineStr">
        <is>
          <t>宮崎県</t>
        </is>
      </c>
      <c r="B49" s="7">
        <f>INDEX(料率!$B$4:$B$50,MATCH($A49,料率!$A$4:$A$50,0))</f>
        <v/>
      </c>
      <c r="C49" s="5">
        <f>IF(ROUND('1_手取り'!$F$4*($B49+'1_手取り'!$F$7)/2,4)&lt;=0.5,0,ROUNDUP(ROUND('1_手取り'!$F$4*($B49+'1_手取り'!$F$7)/2,4)-0.5,0))</f>
        <v/>
      </c>
      <c r="D49" s="5">
        <f>'1_手取り'!$F$9</f>
        <v/>
      </c>
      <c r="E49" s="5">
        <f>'1_手取り'!$F$10</f>
        <v/>
      </c>
      <c r="F49" s="5">
        <f>'1_手取り'!$F$11</f>
        <v/>
      </c>
      <c r="G49" s="5">
        <f>SUM($C49:$F49)</f>
        <v/>
      </c>
      <c r="H49" s="5">
        <f>IF('1_手取り'!$B$8="なし",0,'1_手取り'!$B$9-$Q49)</f>
        <v/>
      </c>
      <c r="I49" s="8">
        <f>IF(OR('1_手取り'!$B$8="なし",$H49&lt;=0),"前月の給与なし",IF(('1_手取り'!$B$3-$G49)&gt;$H49*10,"10倍超","算出率の表"))</f>
        <v/>
      </c>
      <c r="J49" s="9">
        <f>IF($I49="算出率の表",INDEX(算出率!$A$4:$A$24,MATCH($H49,INDEX(算出率!$B$4:$I$24,0,'1_手取り'!$B$7+1),1)),"")</f>
        <v/>
      </c>
      <c r="K49" s="5">
        <f>IF($I49="算出率の表",ROUNDDOWN(ROUND(('1_手取り'!$B$3-$G49)*$J49,4),0),IF($I49="前月の給与なし",IF(ROUNDDOWN(('1_手取り'!$B$3-$G49)/'1_手取り'!$F$16,0)&lt;105000,0,IF(ROUNDDOWN(('1_手取り'!$B$3-$G49)/'1_手取り'!$F$16,0)&lt;740000,INDEX(月額表!$B$4:$I$234,MATCH(ROUNDDOWN(('1_手取り'!$B$3-$G49)/'1_手取り'!$F$16,0),月額表!$A$4:$A$234,1),'1_手取り'!$B$7+1),INDEX(月額表!$M$4:$T$12,MATCH(ROUNDDOWN(('1_手取り'!$B$3-$G49)/'1_手取り'!$F$16,0),月額表!$K$4:$K$12,1),'1_手取り'!$B$7+1)+ROUNDDOWN(ROUND((ROUNDDOWN(('1_手取り'!$B$3-$G49)/'1_手取り'!$F$16,0)-INDEX(月額表!$K$4:$K$12,MATCH(ROUNDDOWN(('1_手取り'!$B$3-$G49)/'1_手取り'!$F$16,0),月額表!$K$4:$K$12,1)))*INDEX(月額表!$L$4:$L$12,MATCH(ROUNDDOWN(('1_手取り'!$B$3-$G49)/'1_手取り'!$F$16,0),月額表!$K$4:$K$12,1)),4),0)))*'1_手取り'!$F$16,(IF((ROUNDDOWN(('1_手取り'!$B$3-$G49)/'1_手取り'!$F$16,0)+$H49)&lt;105000,0,IF((ROUNDDOWN(('1_手取り'!$B$3-$G49)/'1_手取り'!$F$16,0)+$H49)&lt;740000,INDEX(月額表!$B$4:$I$234,MATCH((ROUNDDOWN(('1_手取り'!$B$3-$G49)/'1_手取り'!$F$16,0)+$H49),月額表!$A$4:$A$234,1),'1_手取り'!$B$7+1),INDEX(月額表!$M$4:$T$12,MATCH((ROUNDDOWN(('1_手取り'!$B$3-$G49)/'1_手取り'!$F$16,0)+$H49),月額表!$K$4:$K$12,1),'1_手取り'!$B$7+1)+ROUNDDOWN(ROUND(((ROUNDDOWN(('1_手取り'!$B$3-$G49)/'1_手取り'!$F$16,0)+$H49)-INDEX(月額表!$K$4:$K$12,MATCH((ROUNDDOWN(('1_手取り'!$B$3-$G49)/'1_手取り'!$F$16,0)+$H49),月額表!$K$4:$K$12,1)))*INDEX(月額表!$L$4:$L$12,MATCH((ROUNDDOWN(('1_手取り'!$B$3-$G49)/'1_手取り'!$F$16,0)+$H49),月額表!$K$4:$K$12,1)),4),0)))-IF($H49&lt;105000,0,IF($H49&lt;740000,INDEX(月額表!$B$4:$I$234,MATCH($H49,月額表!$A$4:$A$234,1),'1_手取り'!$B$7+1),INDEX(月額表!$M$4:$T$12,MATCH($H49,月額表!$K$4:$K$12,1),'1_手取り'!$B$7+1)+ROUNDDOWN(ROUND(($H49-INDEX(月額表!$K$4:$K$12,MATCH($H49,月額表!$K$4:$K$12,1)))*INDEX(月額表!$L$4:$L$12,MATCH($H49,月額表!$K$4:$K$12,1)),4),0))))*'1_手取り'!$F$16))</f>
        <v/>
      </c>
      <c r="L49" s="5">
        <f>'1_手取り'!$B$3-$G49-$K49</f>
        <v/>
      </c>
      <c r="M49" s="12">
        <f>$L49-MAX($L$5:$L$51)</f>
        <v/>
      </c>
      <c r="P49" s="5">
        <f>IF('1_手取り'!$B$8="なし","",INDEX(標準報酬!$B$4:$B$53,MATCH('1_手取り'!$B$9,標準報酬!$A$4:$A$53,1)))</f>
        <v/>
      </c>
      <c r="Q49" s="5">
        <f>IF($P49="",0,IF(ROUND($P49*($B49+'1_手取り'!$F$7)/2,4)&lt;=0.5,0,ROUNDUP(ROUND($P49*($B49+'1_手取り'!$F$7)/2,4)-0.5,0))+IF(ROUND($P49*料率!$E$5/2,4)&lt;=0.5,0,ROUNDUP(ROUND($P49*料率!$E$5/2,4)-0.5,0))+IF(ROUND(MIN(MAX($P49,88000),650000)*料率!$E$6/2,4)&lt;=0.5,0,ROUNDUP(ROUND(MIN(MAX($P49,88000),650000)*料率!$E$6/2,4)-0.5,0))+IF(ROUND('1_手取り'!$B$9*INDEX(料率!$E$8:$E$10,MATCH('1_手取り'!$B$6,料率!$D$8:$D$10,0)),4)&lt;=0.5,0,ROUNDUP(ROUND('1_手取り'!$B$9*INDEX(料率!$E$8:$E$10,MATCH('1_手取り'!$B$6,料率!$D$8:$D$10,0)),4)-0.5,0)))</f>
        <v/>
      </c>
    </row>
    <row r="50">
      <c r="A50" s="3" t="inlineStr">
        <is>
          <t>鹿児島県</t>
        </is>
      </c>
      <c r="B50" s="7">
        <f>INDEX(料率!$B$4:$B$50,MATCH($A50,料率!$A$4:$A$50,0))</f>
        <v/>
      </c>
      <c r="C50" s="5">
        <f>IF(ROUND('1_手取り'!$F$4*($B50+'1_手取り'!$F$7)/2,4)&lt;=0.5,0,ROUNDUP(ROUND('1_手取り'!$F$4*($B50+'1_手取り'!$F$7)/2,4)-0.5,0))</f>
        <v/>
      </c>
      <c r="D50" s="5">
        <f>'1_手取り'!$F$9</f>
        <v/>
      </c>
      <c r="E50" s="5">
        <f>'1_手取り'!$F$10</f>
        <v/>
      </c>
      <c r="F50" s="5">
        <f>'1_手取り'!$F$11</f>
        <v/>
      </c>
      <c r="G50" s="5">
        <f>SUM($C50:$F50)</f>
        <v/>
      </c>
      <c r="H50" s="5">
        <f>IF('1_手取り'!$B$8="なし",0,'1_手取り'!$B$9-$Q50)</f>
        <v/>
      </c>
      <c r="I50" s="8">
        <f>IF(OR('1_手取り'!$B$8="なし",$H50&lt;=0),"前月の給与なし",IF(('1_手取り'!$B$3-$G50)&gt;$H50*10,"10倍超","算出率の表"))</f>
        <v/>
      </c>
      <c r="J50" s="9">
        <f>IF($I50="算出率の表",INDEX(算出率!$A$4:$A$24,MATCH($H50,INDEX(算出率!$B$4:$I$24,0,'1_手取り'!$B$7+1),1)),"")</f>
        <v/>
      </c>
      <c r="K50" s="5">
        <f>IF($I50="算出率の表",ROUNDDOWN(ROUND(('1_手取り'!$B$3-$G50)*$J50,4),0),IF($I50="前月の給与なし",IF(ROUNDDOWN(('1_手取り'!$B$3-$G50)/'1_手取り'!$F$16,0)&lt;105000,0,IF(ROUNDDOWN(('1_手取り'!$B$3-$G50)/'1_手取り'!$F$16,0)&lt;740000,INDEX(月額表!$B$4:$I$234,MATCH(ROUNDDOWN(('1_手取り'!$B$3-$G50)/'1_手取り'!$F$16,0),月額表!$A$4:$A$234,1),'1_手取り'!$B$7+1),INDEX(月額表!$M$4:$T$12,MATCH(ROUNDDOWN(('1_手取り'!$B$3-$G50)/'1_手取り'!$F$16,0),月額表!$K$4:$K$12,1),'1_手取り'!$B$7+1)+ROUNDDOWN(ROUND((ROUNDDOWN(('1_手取り'!$B$3-$G50)/'1_手取り'!$F$16,0)-INDEX(月額表!$K$4:$K$12,MATCH(ROUNDDOWN(('1_手取り'!$B$3-$G50)/'1_手取り'!$F$16,0),月額表!$K$4:$K$12,1)))*INDEX(月額表!$L$4:$L$12,MATCH(ROUNDDOWN(('1_手取り'!$B$3-$G50)/'1_手取り'!$F$16,0),月額表!$K$4:$K$12,1)),4),0)))*'1_手取り'!$F$16,(IF((ROUNDDOWN(('1_手取り'!$B$3-$G50)/'1_手取り'!$F$16,0)+$H50)&lt;105000,0,IF((ROUNDDOWN(('1_手取り'!$B$3-$G50)/'1_手取り'!$F$16,0)+$H50)&lt;740000,INDEX(月額表!$B$4:$I$234,MATCH((ROUNDDOWN(('1_手取り'!$B$3-$G50)/'1_手取り'!$F$16,0)+$H50),月額表!$A$4:$A$234,1),'1_手取り'!$B$7+1),INDEX(月額表!$M$4:$T$12,MATCH((ROUNDDOWN(('1_手取り'!$B$3-$G50)/'1_手取り'!$F$16,0)+$H50),月額表!$K$4:$K$12,1),'1_手取り'!$B$7+1)+ROUNDDOWN(ROUND(((ROUNDDOWN(('1_手取り'!$B$3-$G50)/'1_手取り'!$F$16,0)+$H50)-INDEX(月額表!$K$4:$K$12,MATCH((ROUNDDOWN(('1_手取り'!$B$3-$G50)/'1_手取り'!$F$16,0)+$H50),月額表!$K$4:$K$12,1)))*INDEX(月額表!$L$4:$L$12,MATCH((ROUNDDOWN(('1_手取り'!$B$3-$G50)/'1_手取り'!$F$16,0)+$H50),月額表!$K$4:$K$12,1)),4),0)))-IF($H50&lt;105000,0,IF($H50&lt;740000,INDEX(月額表!$B$4:$I$234,MATCH($H50,月額表!$A$4:$A$234,1),'1_手取り'!$B$7+1),INDEX(月額表!$M$4:$T$12,MATCH($H50,月額表!$K$4:$K$12,1),'1_手取り'!$B$7+1)+ROUNDDOWN(ROUND(($H50-INDEX(月額表!$K$4:$K$12,MATCH($H50,月額表!$K$4:$K$12,1)))*INDEX(月額表!$L$4:$L$12,MATCH($H50,月額表!$K$4:$K$12,1)),4),0))))*'1_手取り'!$F$16))</f>
        <v/>
      </c>
      <c r="L50" s="5">
        <f>'1_手取り'!$B$3-$G50-$K50</f>
        <v/>
      </c>
      <c r="M50" s="12">
        <f>$L50-MAX($L$5:$L$51)</f>
        <v/>
      </c>
      <c r="P50" s="5">
        <f>IF('1_手取り'!$B$8="なし","",INDEX(標準報酬!$B$4:$B$53,MATCH('1_手取り'!$B$9,標準報酬!$A$4:$A$53,1)))</f>
        <v/>
      </c>
      <c r="Q50" s="5">
        <f>IF($P50="",0,IF(ROUND($P50*($B50+'1_手取り'!$F$7)/2,4)&lt;=0.5,0,ROUNDUP(ROUND($P50*($B50+'1_手取り'!$F$7)/2,4)-0.5,0))+IF(ROUND($P50*料率!$E$5/2,4)&lt;=0.5,0,ROUNDUP(ROUND($P50*料率!$E$5/2,4)-0.5,0))+IF(ROUND(MIN(MAX($P50,88000),650000)*料率!$E$6/2,4)&lt;=0.5,0,ROUNDUP(ROUND(MIN(MAX($P50,88000),650000)*料率!$E$6/2,4)-0.5,0))+IF(ROUND('1_手取り'!$B$9*INDEX(料率!$E$8:$E$10,MATCH('1_手取り'!$B$6,料率!$D$8:$D$10,0)),4)&lt;=0.5,0,ROUNDUP(ROUND('1_手取り'!$B$9*INDEX(料率!$E$8:$E$10,MATCH('1_手取り'!$B$6,料率!$D$8:$D$10,0)),4)-0.5,0)))</f>
        <v/>
      </c>
    </row>
    <row r="51">
      <c r="A51" s="3" t="inlineStr">
        <is>
          <t>沖縄県</t>
        </is>
      </c>
      <c r="B51" s="7">
        <f>INDEX(料率!$B$4:$B$50,MATCH($A51,料率!$A$4:$A$50,0))</f>
        <v/>
      </c>
      <c r="C51" s="5">
        <f>IF(ROUND('1_手取り'!$F$4*($B51+'1_手取り'!$F$7)/2,4)&lt;=0.5,0,ROUNDUP(ROUND('1_手取り'!$F$4*($B51+'1_手取り'!$F$7)/2,4)-0.5,0))</f>
        <v/>
      </c>
      <c r="D51" s="5">
        <f>'1_手取り'!$F$9</f>
        <v/>
      </c>
      <c r="E51" s="5">
        <f>'1_手取り'!$F$10</f>
        <v/>
      </c>
      <c r="F51" s="5">
        <f>'1_手取り'!$F$11</f>
        <v/>
      </c>
      <c r="G51" s="5">
        <f>SUM($C51:$F51)</f>
        <v/>
      </c>
      <c r="H51" s="5">
        <f>IF('1_手取り'!$B$8="なし",0,'1_手取り'!$B$9-$Q51)</f>
        <v/>
      </c>
      <c r="I51" s="8">
        <f>IF(OR('1_手取り'!$B$8="なし",$H51&lt;=0),"前月の給与なし",IF(('1_手取り'!$B$3-$G51)&gt;$H51*10,"10倍超","算出率の表"))</f>
        <v/>
      </c>
      <c r="J51" s="9">
        <f>IF($I51="算出率の表",INDEX(算出率!$A$4:$A$24,MATCH($H51,INDEX(算出率!$B$4:$I$24,0,'1_手取り'!$B$7+1),1)),"")</f>
        <v/>
      </c>
      <c r="K51" s="5">
        <f>IF($I51="算出率の表",ROUNDDOWN(ROUND(('1_手取り'!$B$3-$G51)*$J51,4),0),IF($I51="前月の給与なし",IF(ROUNDDOWN(('1_手取り'!$B$3-$G51)/'1_手取り'!$F$16,0)&lt;105000,0,IF(ROUNDDOWN(('1_手取り'!$B$3-$G51)/'1_手取り'!$F$16,0)&lt;740000,INDEX(月額表!$B$4:$I$234,MATCH(ROUNDDOWN(('1_手取り'!$B$3-$G51)/'1_手取り'!$F$16,0),月額表!$A$4:$A$234,1),'1_手取り'!$B$7+1),INDEX(月額表!$M$4:$T$12,MATCH(ROUNDDOWN(('1_手取り'!$B$3-$G51)/'1_手取り'!$F$16,0),月額表!$K$4:$K$12,1),'1_手取り'!$B$7+1)+ROUNDDOWN(ROUND((ROUNDDOWN(('1_手取り'!$B$3-$G51)/'1_手取り'!$F$16,0)-INDEX(月額表!$K$4:$K$12,MATCH(ROUNDDOWN(('1_手取り'!$B$3-$G51)/'1_手取り'!$F$16,0),月額表!$K$4:$K$12,1)))*INDEX(月額表!$L$4:$L$12,MATCH(ROUNDDOWN(('1_手取り'!$B$3-$G51)/'1_手取り'!$F$16,0),月額表!$K$4:$K$12,1)),4),0)))*'1_手取り'!$F$16,(IF((ROUNDDOWN(('1_手取り'!$B$3-$G51)/'1_手取り'!$F$16,0)+$H51)&lt;105000,0,IF((ROUNDDOWN(('1_手取り'!$B$3-$G51)/'1_手取り'!$F$16,0)+$H51)&lt;740000,INDEX(月額表!$B$4:$I$234,MATCH((ROUNDDOWN(('1_手取り'!$B$3-$G51)/'1_手取り'!$F$16,0)+$H51),月額表!$A$4:$A$234,1),'1_手取り'!$B$7+1),INDEX(月額表!$M$4:$T$12,MATCH((ROUNDDOWN(('1_手取り'!$B$3-$G51)/'1_手取り'!$F$16,0)+$H51),月額表!$K$4:$K$12,1),'1_手取り'!$B$7+1)+ROUNDDOWN(ROUND(((ROUNDDOWN(('1_手取り'!$B$3-$G51)/'1_手取り'!$F$16,0)+$H51)-INDEX(月額表!$K$4:$K$12,MATCH((ROUNDDOWN(('1_手取り'!$B$3-$G51)/'1_手取り'!$F$16,0)+$H51),月額表!$K$4:$K$12,1)))*INDEX(月額表!$L$4:$L$12,MATCH((ROUNDDOWN(('1_手取り'!$B$3-$G51)/'1_手取り'!$F$16,0)+$H51),月額表!$K$4:$K$12,1)),4),0)))-IF($H51&lt;105000,0,IF($H51&lt;740000,INDEX(月額表!$B$4:$I$234,MATCH($H51,月額表!$A$4:$A$234,1),'1_手取り'!$B$7+1),INDEX(月額表!$M$4:$T$12,MATCH($H51,月額表!$K$4:$K$12,1),'1_手取り'!$B$7+1)+ROUNDDOWN(ROUND(($H51-INDEX(月額表!$K$4:$K$12,MATCH($H51,月額表!$K$4:$K$12,1)))*INDEX(月額表!$L$4:$L$12,MATCH($H51,月額表!$K$4:$K$12,1)),4),0))))*'1_手取り'!$F$16))</f>
        <v/>
      </c>
      <c r="L51" s="5">
        <f>'1_手取り'!$B$3-$G51-$K51</f>
        <v/>
      </c>
      <c r="M51" s="12">
        <f>$L51-MAX($L$5:$L$51)</f>
        <v/>
      </c>
      <c r="P51" s="5">
        <f>IF('1_手取り'!$B$8="なし","",INDEX(標準報酬!$B$4:$B$53,MATCH('1_手取り'!$B$9,標準報酬!$A$4:$A$53,1)))</f>
        <v/>
      </c>
      <c r="Q51" s="5">
        <f>IF($P51="",0,IF(ROUND($P51*($B51+'1_手取り'!$F$7)/2,4)&lt;=0.5,0,ROUNDUP(ROUND($P51*($B51+'1_手取り'!$F$7)/2,4)-0.5,0))+IF(ROUND($P51*料率!$E$5/2,4)&lt;=0.5,0,ROUNDUP(ROUND($P51*料率!$E$5/2,4)-0.5,0))+IF(ROUND(MIN(MAX($P51,88000),650000)*料率!$E$6/2,4)&lt;=0.5,0,ROUNDUP(ROUND(MIN(MAX($P51,88000),650000)*料率!$E$6/2,4)-0.5,0))+IF(ROUND('1_手取り'!$B$9*INDEX(料率!$E$8:$E$10,MATCH('1_手取り'!$B$6,料率!$D$8:$D$10,0)),4)&lt;=0.5,0,ROUNDUP(ROUND('1_手取り'!$B$9*INDEX(料率!$E$8:$E$10,MATCH('1_手取り'!$B$6,料率!$D$8:$D$10,0)),4)-0.5,0)))</f>
        <v/>
      </c>
    </row>
  </sheetData>
  <conditionalFormatting sqref="A5:M51">
    <cfRule type="expression" priority="1" dxfId="0">
      <formula>$L5=MAX($L$5:$L$51)</formula>
    </cfRule>
    <cfRule type="expression" priority="2" dxfId="1">
      <formula>$L5=MIN($L$5:$L$51)</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8"/>
  <sheetViews>
    <sheetView workbookViewId="0">
      <selection activeCell="A1" sqref="A1"/>
    </sheetView>
  </sheetViews>
  <sheetFormatPr baseColWidth="8" defaultRowHeight="15"/>
  <cols>
    <col width="26" customWidth="1" min="1" max="1"/>
    <col width="10" customWidth="1" min="2" max="2"/>
    <col width="14" customWidth="1" min="3" max="3"/>
    <col width="14" customWidth="1" min="4" max="4"/>
    <col width="10" customWidth="1" min="5" max="5"/>
    <col width="8" customWidth="1" min="6" max="6"/>
    <col width="14" customWidth="1" min="7" max="7"/>
    <col width="9" customWidth="1" min="8" max="8"/>
    <col width="12" customWidth="1" min="9" max="9"/>
    <col width="12" customWidth="1" min="10" max="10"/>
    <col width="8" customWidth="1" min="11" max="11"/>
  </cols>
  <sheetData>
    <row r="1">
      <c r="A1" s="1" t="inlineStr">
        <is>
          <t>国税庁タックスアンサー No.2523 の3つの例を、1_手取りと同じ式で出して突き合わせる</t>
        </is>
      </c>
    </row>
    <row r="3">
      <c r="A3" s="2" t="inlineStr">
        <is>
          <t>例</t>
        </is>
      </c>
      <c r="B3" s="2" t="inlineStr">
        <is>
          <t>前月の給与なし</t>
        </is>
      </c>
      <c r="C3" s="2" t="inlineStr">
        <is>
          <t>前月の社会保険料等控除後</t>
        </is>
      </c>
      <c r="D3" s="2" t="inlineStr">
        <is>
          <t>社会保険料等控除後の賞与</t>
        </is>
      </c>
      <c r="E3" s="2" t="inlineStr">
        <is>
          <t>扶養親族等の数</t>
        </is>
      </c>
      <c r="F3" s="2" t="inlineStr">
        <is>
          <t>割る数</t>
        </is>
      </c>
      <c r="G3" s="2" t="inlineStr">
        <is>
          <t>計算のしかた</t>
        </is>
      </c>
      <c r="H3" s="2" t="inlineStr">
        <is>
          <t>率</t>
        </is>
      </c>
      <c r="I3" s="2" t="inlineStr">
        <is>
          <t>源泉所得税</t>
        </is>
      </c>
      <c r="J3" s="2" t="inlineStr">
        <is>
          <t>国税庁の答え</t>
        </is>
      </c>
      <c r="K3" s="2" t="inlineStr">
        <is>
          <t>一致</t>
        </is>
      </c>
    </row>
    <row r="4">
      <c r="A4" s="3" t="inlineStr">
        <is>
          <t>通常の場合</t>
        </is>
      </c>
      <c r="B4" s="6" t="inlineStr">
        <is>
          <t>いいえ</t>
        </is>
      </c>
      <c r="C4" s="4" t="n">
        <v>285454</v>
      </c>
      <c r="D4" s="4" t="n">
        <v>389558</v>
      </c>
      <c r="E4" s="6" t="n">
        <v>3</v>
      </c>
      <c r="F4" s="6" t="n">
        <v>6</v>
      </c>
      <c r="G4" s="8">
        <f>IF(OR($B4="はい",$C4&lt;=0),"前月の給与なし",IF($D4&gt;$C4*10,"10倍超","算出率の表"))</f>
        <v/>
      </c>
      <c r="H4" s="9">
        <f>IF($G4="算出率の表",INDEX(算出率!$A$4:$A$24,MATCH($C4,INDEX(算出率!$B$4:$I$24,0,$E4+1),1)),"")</f>
        <v/>
      </c>
      <c r="I4" s="5">
        <f>IF($G4="算出率の表",ROUNDDOWN(ROUND($D4*$H4,4),0),IF($G4="前月の給与なし",IF(ROUNDDOWN($D4/$F4,0)&lt;105000,0,IF(ROUNDDOWN($D4/$F4,0)&lt;740000,INDEX(月額表!$B$4:$I$234,MATCH(ROUNDDOWN($D4/$F4,0),月額表!$A$4:$A$234,1),$E4+1),INDEX(月額表!$M$4:$T$12,MATCH(ROUNDDOWN($D4/$F4,0),月額表!$K$4:$K$12,1),$E4+1)+ROUNDDOWN(ROUND((ROUNDDOWN($D4/$F4,0)-INDEX(月額表!$K$4:$K$12,MATCH(ROUNDDOWN($D4/$F4,0),月額表!$K$4:$K$12,1)))*INDEX(月額表!$L$4:$L$12,MATCH(ROUNDDOWN($D4/$F4,0),月額表!$K$4:$K$12,1)),4),0)))*$F4,(IF((ROUNDDOWN($D4/$F4,0)+$C4)&lt;105000,0,IF((ROUNDDOWN($D4/$F4,0)+$C4)&lt;740000,INDEX(月額表!$B$4:$I$234,MATCH((ROUNDDOWN($D4/$F4,0)+$C4),月額表!$A$4:$A$234,1),$E4+1),INDEX(月額表!$M$4:$T$12,MATCH((ROUNDDOWN($D4/$F4,0)+$C4),月額表!$K$4:$K$12,1),$E4+1)+ROUNDDOWN(ROUND(((ROUNDDOWN($D4/$F4,0)+$C4)-INDEX(月額表!$K$4:$K$12,MATCH((ROUNDDOWN($D4/$F4,0)+$C4),月額表!$K$4:$K$12,1)))*INDEX(月額表!$L$4:$L$12,MATCH((ROUNDDOWN($D4/$F4,0)+$C4),月額表!$K$4:$K$12,1)),4),0)))-IF($C4&lt;105000,0,IF($C4&lt;740000,INDEX(月額表!$B$4:$I$234,MATCH($C4,月額表!$A$4:$A$234,1),$E4+1),INDEX(月額表!$M$4:$T$12,MATCH($C4,月額表!$K$4:$K$12,1),$E4+1)+ROUNDDOWN(ROUND(($C4-INDEX(月額表!$K$4:$K$12,MATCH($C4,月額表!$K$4:$K$12,1)))*INDEX(月額表!$L$4:$L$12,MATCH($C4,月額表!$K$4:$K$12,1)),4),0))))*$F4))</f>
        <v/>
      </c>
      <c r="J4" s="14" t="n">
        <v>7954</v>
      </c>
      <c r="K4" s="8">
        <f>IF($I4=$J4,"一致","違う")</f>
        <v/>
      </c>
    </row>
    <row r="5">
      <c r="A5" s="3" t="inlineStr">
        <is>
          <t>前月の給与の10倍を超える場合</t>
        </is>
      </c>
      <c r="B5" s="6" t="inlineStr">
        <is>
          <t>いいえ</t>
        </is>
      </c>
      <c r="C5" s="4" t="n">
        <v>166531</v>
      </c>
      <c r="D5" s="4" t="n">
        <v>1668062</v>
      </c>
      <c r="E5" s="6" t="n">
        <v>1</v>
      </c>
      <c r="F5" s="6" t="n">
        <v>6</v>
      </c>
      <c r="G5" s="8">
        <f>IF(OR($B5="はい",$C5&lt;=0),"前月の給与なし",IF($D5&gt;$C5*10,"10倍超","算出率の表"))</f>
        <v/>
      </c>
      <c r="H5" s="9">
        <f>IF($G5="算出率の表",INDEX(算出率!$A$4:$A$24,MATCH($C5,INDEX(算出率!$B$4:$I$24,0,$E5+1),1)),"")</f>
        <v/>
      </c>
      <c r="I5" s="5">
        <f>IF($G5="算出率の表",ROUNDDOWN(ROUND($D5*$H5,4),0),IF($G5="前月の給与なし",IF(ROUNDDOWN($D5/$F5,0)&lt;105000,0,IF(ROUNDDOWN($D5/$F5,0)&lt;740000,INDEX(月額表!$B$4:$I$234,MATCH(ROUNDDOWN($D5/$F5,0),月額表!$A$4:$A$234,1),$E5+1),INDEX(月額表!$M$4:$T$12,MATCH(ROUNDDOWN($D5/$F5,0),月額表!$K$4:$K$12,1),$E5+1)+ROUNDDOWN(ROUND((ROUNDDOWN($D5/$F5,0)-INDEX(月額表!$K$4:$K$12,MATCH(ROUNDDOWN($D5/$F5,0),月額表!$K$4:$K$12,1)))*INDEX(月額表!$L$4:$L$12,MATCH(ROUNDDOWN($D5/$F5,0),月額表!$K$4:$K$12,1)),4),0)))*$F5,(IF((ROUNDDOWN($D5/$F5,0)+$C5)&lt;105000,0,IF((ROUNDDOWN($D5/$F5,0)+$C5)&lt;740000,INDEX(月額表!$B$4:$I$234,MATCH((ROUNDDOWN($D5/$F5,0)+$C5),月額表!$A$4:$A$234,1),$E5+1),INDEX(月額表!$M$4:$T$12,MATCH((ROUNDDOWN($D5/$F5,0)+$C5),月額表!$K$4:$K$12,1),$E5+1)+ROUNDDOWN(ROUND(((ROUNDDOWN($D5/$F5,0)+$C5)-INDEX(月額表!$K$4:$K$12,MATCH((ROUNDDOWN($D5/$F5,0)+$C5),月額表!$K$4:$K$12,1)))*INDEX(月額表!$L$4:$L$12,MATCH((ROUNDDOWN($D5/$F5,0)+$C5),月額表!$K$4:$K$12,1)),4),0)))-IF($C5&lt;105000,0,IF($C5&lt;740000,INDEX(月額表!$B$4:$I$234,MATCH($C5,月額表!$A$4:$A$234,1),$E5+1),INDEX(月額表!$M$4:$T$12,MATCH($C5,月額表!$K$4:$K$12,1),$E5+1)+ROUNDDOWN(ROUND(($C5-INDEX(月額表!$K$4:$K$12,MATCH($C5,月額表!$K$4:$K$12,1)))*INDEX(月額表!$L$4:$L$12,MATCH($C5,月額表!$K$4:$K$12,1)),4),0))))*$F5))</f>
        <v/>
      </c>
      <c r="J5" s="14" t="n">
        <v>87540</v>
      </c>
      <c r="K5" s="8">
        <f>IF($I5=$J5,"一致","違う")</f>
        <v/>
      </c>
    </row>
    <row r="6">
      <c r="A6" s="3" t="inlineStr">
        <is>
          <t>前月に給与の支払がない場合</t>
        </is>
      </c>
      <c r="B6" s="6" t="inlineStr">
        <is>
          <t>はい</t>
        </is>
      </c>
      <c r="C6" s="4" t="n">
        <v>0</v>
      </c>
      <c r="D6" s="4" t="n">
        <v>769300</v>
      </c>
      <c r="E6" s="6" t="n">
        <v>0</v>
      </c>
      <c r="F6" s="6" t="n">
        <v>6</v>
      </c>
      <c r="G6" s="8">
        <f>IF(OR($B6="はい",$C6&lt;=0),"前月の給与なし",IF($D6&gt;$C6*10,"10倍超","算出率の表"))</f>
        <v/>
      </c>
      <c r="H6" s="9">
        <f>IF($G6="算出率の表",INDEX(算出率!$A$4:$A$24,MATCH($C6,INDEX(算出率!$B$4:$I$24,0,$E6+1),1)),"")</f>
        <v/>
      </c>
      <c r="I6" s="5">
        <f>IF($G6="算出率の表",ROUNDDOWN(ROUND($D6*$H6,4),0),IF($G6="前月の給与なし",IF(ROUNDDOWN($D6/$F6,0)&lt;105000,0,IF(ROUNDDOWN($D6/$F6,0)&lt;740000,INDEX(月額表!$B$4:$I$234,MATCH(ROUNDDOWN($D6/$F6,0),月額表!$A$4:$A$234,1),$E6+1),INDEX(月額表!$M$4:$T$12,MATCH(ROUNDDOWN($D6/$F6,0),月額表!$K$4:$K$12,1),$E6+1)+ROUNDDOWN(ROUND((ROUNDDOWN($D6/$F6,0)-INDEX(月額表!$K$4:$K$12,MATCH(ROUNDDOWN($D6/$F6,0),月額表!$K$4:$K$12,1)))*INDEX(月額表!$L$4:$L$12,MATCH(ROUNDDOWN($D6/$F6,0),月額表!$K$4:$K$12,1)),4),0)))*$F6,(IF((ROUNDDOWN($D6/$F6,0)+$C6)&lt;105000,0,IF((ROUNDDOWN($D6/$F6,0)+$C6)&lt;740000,INDEX(月額表!$B$4:$I$234,MATCH((ROUNDDOWN($D6/$F6,0)+$C6),月額表!$A$4:$A$234,1),$E6+1),INDEX(月額表!$M$4:$T$12,MATCH((ROUNDDOWN($D6/$F6,0)+$C6),月額表!$K$4:$K$12,1),$E6+1)+ROUNDDOWN(ROUND(((ROUNDDOWN($D6/$F6,0)+$C6)-INDEX(月額表!$K$4:$K$12,MATCH((ROUNDDOWN($D6/$F6,0)+$C6),月額表!$K$4:$K$12,1)))*INDEX(月額表!$L$4:$L$12,MATCH((ROUNDDOWN($D6/$F6,0)+$C6),月額表!$K$4:$K$12,1)),4),0)))-IF($C6&lt;105000,0,IF($C6&lt;740000,INDEX(月額表!$B$4:$I$234,MATCH($C6,月額表!$A$4:$A$234,1),$E6+1),INDEX(月額表!$M$4:$T$12,MATCH($C6,月額表!$K$4:$K$12,1),$E6+1)+ROUNDDOWN(ROUND(($C6-INDEX(月額表!$K$4:$K$12,MATCH($C6,月額表!$K$4:$K$12,1)))*INDEX(月額表!$L$4:$L$12,MATCH($C6,月額表!$K$4:$K$12,1)),4),0))))*$F6))</f>
        <v/>
      </c>
      <c r="J6" s="14" t="n">
        <v>7800</v>
      </c>
      <c r="K6" s="8">
        <f>IF($I6=$J6,"一致","違う")</f>
        <v/>
      </c>
    </row>
    <row r="8">
      <c r="A8" t="inlineStr">
        <is>
          <t>国税庁の答えは、タックスアンサー No.2523（令和8年4月1日現在法令等）の具体例のとおり。2026年10月6日に確認</t>
        </is>
      </c>
    </row>
  </sheetData>
  <conditionalFormatting sqref="K4:K6">
    <cfRule type="expression" priority="1" dxfId="1">
      <formula>$K4="違う"</formula>
    </cfRule>
    <cfRule type="expression" priority="2" dxfId="0">
      <formula>$K4="一致"</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30" customWidth="1" min="1" max="1"/>
  </cols>
  <sheetData>
    <row r="1">
      <c r="A1" s="1" t="inlineStr">
        <is>
          <t>使い方</t>
        </is>
      </c>
    </row>
    <row r="3">
      <c r="A3" t="inlineStr">
        <is>
          <t>1_手取り の黄色いセルを埋める。B3に賞与の額、B9とB10に前月の給与明細の課税対象額と社会保険料の計を入れる。</t>
        </is>
      </c>
    </row>
    <row r="4">
      <c r="A4" t="inlineStr">
        <is>
          <t>前月とは、賞与を払う月の前の月に払った給与のこと。12月10日に賞与が出るなら、11月に払われた給与を見る。</t>
        </is>
      </c>
    </row>
    <row r="5">
      <c r="A5" t="inlineStr">
        <is>
          <t>F24に手取りが出る。下の「取り違えたとき」は、よくある間違え方で所得税がいくら違うかを出す。</t>
        </is>
      </c>
    </row>
    <row r="6">
      <c r="A6" t="inlineStr"/>
    </row>
    <row r="7">
      <c r="A7" t="inlineStr">
        <is>
          <t>社会保険料は、賞与の千円未満を切り捨てた標準賞与額に料率を掛けて半分にする。50銭以下は切り捨て、50銭を超えたら1円に切り上げる。</t>
        </is>
      </c>
    </row>
    <row r="8">
      <c r="A8" t="inlineStr">
        <is>
          <t>雇用保険料だけは、切り捨てる前の支給額に料率を掛ける。</t>
        </is>
      </c>
    </row>
    <row r="9">
      <c r="A9" t="inlineStr">
        <is>
          <t>子ども・子育て支援金は令和8年4月分から。健康保険料と別に出し、それぞれで端数を処理している。</t>
        </is>
      </c>
    </row>
    <row r="10">
      <c r="A10" t="inlineStr"/>
    </row>
    <row r="11">
      <c r="A11" t="inlineStr">
        <is>
          <t>所得税は、社会保険料を引いた賞与に、算出率の表の率を掛ける。率の行を決めるのは、前月の給与から社会保険料を引いた額と扶養親族等の数。</t>
        </is>
      </c>
    </row>
    <row r="12">
      <c r="A12" t="inlineStr">
        <is>
          <t>前月に給与の支払がない場合と、社会保険料を引いた賞与が前月の給与（社会保険料を引いた額）の10倍を超える場合は、月額表を使う。</t>
        </is>
      </c>
    </row>
    <row r="13">
      <c r="A13" t="inlineStr">
        <is>
          <t>どちらも国税庁タックスアンサー No.2523 の手順どおり。4_国税庁の例で検算 で、3つの例が一致することを確かめている。</t>
        </is>
      </c>
    </row>
    <row r="14">
      <c r="A14" t="inlineStr"/>
    </row>
    <row r="15">
      <c r="A15" t="inlineStr">
        <is>
          <t>2_前月の給与別 は、A列に前月の総支給を並べて、同じ賞与の所得税と手取りを比べる。0は前月の給与なし。</t>
        </is>
      </c>
    </row>
    <row r="16">
      <c r="A16" t="inlineStr">
        <is>
          <t>3_都道府県別 は、協会けんぽの47支部の料率で同じ人の手取りを並べる。</t>
        </is>
      </c>
    </row>
    <row r="17">
      <c r="A17" t="inlineStr"/>
    </row>
    <row r="18">
      <c r="A18" t="inlineStr">
        <is>
          <t>この表で扱わないもの: 扶養控除等申告書を出していない人（乙欄）、健康保険組合の料率、育児休業中の保険料の免除、</t>
        </is>
      </c>
    </row>
    <row r="19">
      <c r="A19" t="inlineStr">
        <is>
          <t>扶養親族等が8人以上の人、令和9年分の税額表。令和9年1月以後に払う賞与には使わない。</t>
        </is>
      </c>
    </row>
    <row r="20">
      <c r="A20" t="inlineStr">
        <is>
          <t>源泉所得税は前払いで、1年分の税額は年末調整で決まる。賞与から多く引かれても少なく引かれても、年末調整で精算される。</t>
        </is>
      </c>
    </row>
    <row r="21">
      <c r="A21" t="inlineStr"/>
    </row>
    <row r="22">
      <c r="A22" t="inlineStr">
        <is>
          <t>出典（どれも2026年10月6日に確認）</t>
        </is>
      </c>
    </row>
    <row r="23">
      <c r="A23" t="inlineStr">
        <is>
          <t>国税庁 令和8年分 源泉徴収税額表 https://www.nta.go.jp/publication/pamph/gensen/zeigakuhyo2026/01.htm</t>
        </is>
      </c>
    </row>
    <row r="24">
      <c r="A24" t="inlineStr">
        <is>
          <t>国税庁 タックスアンサー No.2523 賞与に対する源泉徴収 https://www.nta.go.jp/taxes/shiraberu/taxanswer/gensen/2523.htm</t>
        </is>
      </c>
    </row>
    <row r="25">
      <c r="A25" t="inlineStr">
        <is>
          <t>協会けんぽ 令和8年度の保険料率 https://www.kyoukaikenpo.or.jp/about/business/insurance_rate/rate_prefectures/r08/index.html</t>
        </is>
      </c>
    </row>
    <row r="26">
      <c r="A26" t="inlineStr">
        <is>
          <t>協会けんぽ 令和8年度 保険料額表（東京支部） https://www.kyoukaikenpo.or.jp/assets/R8_13tokyo.pdf</t>
        </is>
      </c>
    </row>
    <row r="27">
      <c r="A27" t="inlineStr">
        <is>
          <t>日本年金機構 保険料の計算方法について https://www.nenkin.go.jp/service/kounen/hokenryo/nofu/20121026.html</t>
        </is>
      </c>
    </row>
    <row r="28">
      <c r="A28" t="inlineStr">
        <is>
          <t>厚生労働省 令和8年度雇用保険料率のご案内 https://www.mhlw.go.jp/content/001692566.pdf</t>
        </is>
      </c>
    </row>
    <row r="29">
      <c r="A29" t="inlineStr">
        <is>
          <t>地方税法第321条の5 https://laws.e-gov.go.jp/law/325AC0000000226</t>
        </is>
      </c>
    </row>
    <row r="30">
      <c r="A30" t="inlineStr"/>
    </row>
    <row r="31">
      <c r="A31" t="inlineStr">
        <is>
          <t>この表は計算の確かめに使うもの。実際の控除額は勤め先の給与計算と、加入している保険者の料率で決まる。</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12" customWidth="1" min="1" max="1"/>
    <col width="14" customWidth="1" min="2" max="2"/>
    <col width="30" customWidth="1" min="4" max="4"/>
    <col width="12" customWidth="1" min="5" max="5"/>
  </cols>
  <sheetData>
    <row r="1">
      <c r="A1" s="13" t="inlineStr">
        <is>
          <t>協会けんぽ 令和8年度の料率（令和8年3月分から）と、厚生年金・雇用保険の料率。2026年10月6日に確認</t>
        </is>
      </c>
    </row>
    <row r="3">
      <c r="A3" s="2" t="inlineStr">
        <is>
          <t>都道府県</t>
        </is>
      </c>
      <c r="B3" s="2" t="inlineStr">
        <is>
          <t>健康保険料率</t>
        </is>
      </c>
      <c r="D3" s="2" t="inlineStr">
        <is>
          <t>項目</t>
        </is>
      </c>
      <c r="E3" s="2" t="inlineStr">
        <is>
          <t>率</t>
        </is>
      </c>
    </row>
    <row r="4">
      <c r="A4" s="3" t="inlineStr">
        <is>
          <t>北海道</t>
        </is>
      </c>
      <c r="B4" s="15" t="n">
        <v>0.1028</v>
      </c>
      <c r="D4" s="3" t="inlineStr">
        <is>
          <t>介護保険料率（40歳から64歳）</t>
        </is>
      </c>
      <c r="E4" s="15" t="n">
        <v>0.0162</v>
      </c>
    </row>
    <row r="5">
      <c r="A5" s="3" t="inlineStr">
        <is>
          <t>青森県</t>
        </is>
      </c>
      <c r="B5" s="15" t="n">
        <v>0.0985</v>
      </c>
      <c r="D5" s="3" t="inlineStr">
        <is>
          <t>子ども・子育て支援金率</t>
        </is>
      </c>
      <c r="E5" s="15" t="n">
        <v>0.0023</v>
      </c>
    </row>
    <row r="6">
      <c r="A6" s="3" t="inlineStr">
        <is>
          <t>岩手県</t>
        </is>
      </c>
      <c r="B6" s="15" t="n">
        <v>0.0951</v>
      </c>
      <c r="D6" s="3" t="inlineStr">
        <is>
          <t>厚生年金保険料率</t>
        </is>
      </c>
      <c r="E6" s="16" t="n">
        <v>0.183</v>
      </c>
    </row>
    <row r="7">
      <c r="A7" s="3" t="inlineStr">
        <is>
          <t>宮城県</t>
        </is>
      </c>
      <c r="B7" s="15" t="n">
        <v>0.101</v>
      </c>
      <c r="D7" s="3" t="inlineStr">
        <is>
          <t>雇用保険料率（労働者負担）</t>
        </is>
      </c>
    </row>
    <row r="8">
      <c r="A8" s="3" t="inlineStr">
        <is>
          <t>秋田県</t>
        </is>
      </c>
      <c r="B8" s="15" t="n">
        <v>0.1001</v>
      </c>
      <c r="D8" s="3" t="inlineStr">
        <is>
          <t>一般の事業</t>
        </is>
      </c>
      <c r="E8" s="17" t="n">
        <v>0.005</v>
      </c>
    </row>
    <row r="9">
      <c r="A9" s="3" t="inlineStr">
        <is>
          <t>山形県</t>
        </is>
      </c>
      <c r="B9" s="15" t="n">
        <v>0.0975</v>
      </c>
      <c r="D9" s="3" t="inlineStr">
        <is>
          <t>農林水産・清酒製造の事業</t>
        </is>
      </c>
      <c r="E9" s="17" t="n">
        <v>0.006</v>
      </c>
    </row>
    <row r="10">
      <c r="A10" s="3" t="inlineStr">
        <is>
          <t>福島県</t>
        </is>
      </c>
      <c r="B10" s="15" t="n">
        <v>0.095</v>
      </c>
      <c r="D10" s="3" t="inlineStr">
        <is>
          <t>建設の事業</t>
        </is>
      </c>
      <c r="E10" s="17" t="n">
        <v>0.006</v>
      </c>
    </row>
    <row r="11">
      <c r="A11" s="3" t="inlineStr">
        <is>
          <t>茨城県</t>
        </is>
      </c>
      <c r="B11" s="15" t="n">
        <v>0.09520000000000001</v>
      </c>
      <c r="D11" s="3" t="inlineStr">
        <is>
          <t>健康保険の標準賞与額 年度累計の上限</t>
        </is>
      </c>
      <c r="E11" s="14" t="n">
        <v>5730000</v>
      </c>
    </row>
    <row r="12">
      <c r="A12" s="3" t="inlineStr">
        <is>
          <t>栃木県</t>
        </is>
      </c>
      <c r="B12" s="15" t="n">
        <v>0.0982</v>
      </c>
      <c r="D12" s="3" t="inlineStr">
        <is>
          <t>厚生年金の標準賞与額 1か月の上限</t>
        </is>
      </c>
      <c r="E12" s="14" t="n">
        <v>1500000</v>
      </c>
    </row>
    <row r="13">
      <c r="A13" s="3" t="inlineStr">
        <is>
          <t>群馬県</t>
        </is>
      </c>
      <c r="B13" s="15" t="n">
        <v>0.0968</v>
      </c>
    </row>
    <row r="14">
      <c r="A14" s="3" t="inlineStr">
        <is>
          <t>埼玉県</t>
        </is>
      </c>
      <c r="B14" s="15" t="n">
        <v>0.09669999999999999</v>
      </c>
    </row>
    <row r="15">
      <c r="A15" s="3" t="inlineStr">
        <is>
          <t>千葉県</t>
        </is>
      </c>
      <c r="B15" s="15" t="n">
        <v>0.0973</v>
      </c>
    </row>
    <row r="16">
      <c r="A16" s="3" t="inlineStr">
        <is>
          <t>東京都</t>
        </is>
      </c>
      <c r="B16" s="15" t="n">
        <v>0.0985</v>
      </c>
    </row>
    <row r="17">
      <c r="A17" s="3" t="inlineStr">
        <is>
          <t>神奈川県</t>
        </is>
      </c>
      <c r="B17" s="15" t="n">
        <v>0.0992</v>
      </c>
    </row>
    <row r="18">
      <c r="A18" s="3" t="inlineStr">
        <is>
          <t>新潟県</t>
        </is>
      </c>
      <c r="B18" s="15" t="n">
        <v>0.0921</v>
      </c>
    </row>
    <row r="19">
      <c r="A19" s="3" t="inlineStr">
        <is>
          <t>富山県</t>
        </is>
      </c>
      <c r="B19" s="15" t="n">
        <v>0.0959</v>
      </c>
    </row>
    <row r="20">
      <c r="A20" s="3" t="inlineStr">
        <is>
          <t>石川県</t>
        </is>
      </c>
      <c r="B20" s="15" t="n">
        <v>0.097</v>
      </c>
    </row>
    <row r="21">
      <c r="A21" s="3" t="inlineStr">
        <is>
          <t>福井県</t>
        </is>
      </c>
      <c r="B21" s="15" t="n">
        <v>0.09710000000000001</v>
      </c>
    </row>
    <row r="22">
      <c r="A22" s="3" t="inlineStr">
        <is>
          <t>山梨県</t>
        </is>
      </c>
      <c r="B22" s="15" t="n">
        <v>0.0955</v>
      </c>
    </row>
    <row r="23">
      <c r="A23" s="3" t="inlineStr">
        <is>
          <t>長野県</t>
        </is>
      </c>
      <c r="B23" s="15" t="n">
        <v>0.0963</v>
      </c>
    </row>
    <row r="24">
      <c r="A24" s="3" t="inlineStr">
        <is>
          <t>岐阜県</t>
        </is>
      </c>
      <c r="B24" s="15" t="n">
        <v>0.098</v>
      </c>
    </row>
    <row r="25">
      <c r="A25" s="3" t="inlineStr">
        <is>
          <t>静岡県</t>
        </is>
      </c>
      <c r="B25" s="15" t="n">
        <v>0.0961</v>
      </c>
    </row>
    <row r="26">
      <c r="A26" s="3" t="inlineStr">
        <is>
          <t>愛知県</t>
        </is>
      </c>
      <c r="B26" s="15" t="n">
        <v>0.0993</v>
      </c>
    </row>
    <row r="27">
      <c r="A27" s="3" t="inlineStr">
        <is>
          <t>三重県</t>
        </is>
      </c>
      <c r="B27" s="15" t="n">
        <v>0.0977</v>
      </c>
    </row>
    <row r="28">
      <c r="A28" s="3" t="inlineStr">
        <is>
          <t>滋賀県</t>
        </is>
      </c>
      <c r="B28" s="15" t="n">
        <v>0.0988</v>
      </c>
    </row>
    <row r="29">
      <c r="A29" s="3" t="inlineStr">
        <is>
          <t>京都府</t>
        </is>
      </c>
      <c r="B29" s="15" t="n">
        <v>0.0989</v>
      </c>
    </row>
    <row r="30">
      <c r="A30" s="3" t="inlineStr">
        <is>
          <t>大阪府</t>
        </is>
      </c>
      <c r="B30" s="15" t="n">
        <v>0.1013</v>
      </c>
    </row>
    <row r="31">
      <c r="A31" s="3" t="inlineStr">
        <is>
          <t>兵庫県</t>
        </is>
      </c>
      <c r="B31" s="15" t="n">
        <v>0.1012</v>
      </c>
    </row>
    <row r="32">
      <c r="A32" s="3" t="inlineStr">
        <is>
          <t>奈良県</t>
        </is>
      </c>
      <c r="B32" s="15" t="n">
        <v>0.09909999999999999</v>
      </c>
    </row>
    <row r="33">
      <c r="A33" s="3" t="inlineStr">
        <is>
          <t>和歌山県</t>
        </is>
      </c>
      <c r="B33" s="15" t="n">
        <v>0.1006</v>
      </c>
    </row>
    <row r="34">
      <c r="A34" s="3" t="inlineStr">
        <is>
          <t>鳥取県</t>
        </is>
      </c>
      <c r="B34" s="15" t="n">
        <v>0.09859999999999999</v>
      </c>
    </row>
    <row r="35">
      <c r="A35" s="3" t="inlineStr">
        <is>
          <t>島根県</t>
        </is>
      </c>
      <c r="B35" s="15" t="n">
        <v>0.0994</v>
      </c>
    </row>
    <row r="36">
      <c r="A36" s="3" t="inlineStr">
        <is>
          <t>岡山県</t>
        </is>
      </c>
      <c r="B36" s="15" t="n">
        <v>0.1005</v>
      </c>
    </row>
    <row r="37">
      <c r="A37" s="3" t="inlineStr">
        <is>
          <t>広島県</t>
        </is>
      </c>
      <c r="B37" s="15" t="n">
        <v>0.0978</v>
      </c>
    </row>
    <row r="38">
      <c r="A38" s="3" t="inlineStr">
        <is>
          <t>山口県</t>
        </is>
      </c>
      <c r="B38" s="15" t="n">
        <v>0.1015</v>
      </c>
    </row>
    <row r="39">
      <c r="A39" s="3" t="inlineStr">
        <is>
          <t>徳島県</t>
        </is>
      </c>
      <c r="B39" s="15" t="n">
        <v>0.1024</v>
      </c>
    </row>
    <row r="40">
      <c r="A40" s="3" t="inlineStr">
        <is>
          <t>香川県</t>
        </is>
      </c>
      <c r="B40" s="15" t="n">
        <v>0.1002</v>
      </c>
    </row>
    <row r="41">
      <c r="A41" s="3" t="inlineStr">
        <is>
          <t>愛媛県</t>
        </is>
      </c>
      <c r="B41" s="15" t="n">
        <v>0.0998</v>
      </c>
    </row>
    <row r="42">
      <c r="A42" s="3" t="inlineStr">
        <is>
          <t>高知県</t>
        </is>
      </c>
      <c r="B42" s="15" t="n">
        <v>0.1005</v>
      </c>
    </row>
    <row r="43">
      <c r="A43" s="3" t="inlineStr">
        <is>
          <t>福岡県</t>
        </is>
      </c>
      <c r="B43" s="15" t="n">
        <v>0.1011</v>
      </c>
    </row>
    <row r="44">
      <c r="A44" s="3" t="inlineStr">
        <is>
          <t>佐賀県</t>
        </is>
      </c>
      <c r="B44" s="15" t="n">
        <v>0.1055</v>
      </c>
    </row>
    <row r="45">
      <c r="A45" s="3" t="inlineStr">
        <is>
          <t>長崎県</t>
        </is>
      </c>
      <c r="B45" s="15" t="n">
        <v>0.1006</v>
      </c>
    </row>
    <row r="46">
      <c r="A46" s="3" t="inlineStr">
        <is>
          <t>熊本県</t>
        </is>
      </c>
      <c r="B46" s="15" t="n">
        <v>0.1008</v>
      </c>
    </row>
    <row r="47">
      <c r="A47" s="3" t="inlineStr">
        <is>
          <t>大分県</t>
        </is>
      </c>
      <c r="B47" s="15" t="n">
        <v>0.1008</v>
      </c>
    </row>
    <row r="48">
      <c r="A48" s="3" t="inlineStr">
        <is>
          <t>宮崎県</t>
        </is>
      </c>
      <c r="B48" s="15" t="n">
        <v>0.0977</v>
      </c>
    </row>
    <row r="49">
      <c r="A49" s="3" t="inlineStr">
        <is>
          <t>鹿児島県</t>
        </is>
      </c>
      <c r="B49" s="15" t="n">
        <v>0.1013</v>
      </c>
    </row>
    <row r="50">
      <c r="A50" s="3" t="inlineStr">
        <is>
          <t>沖縄県</t>
        </is>
      </c>
      <c r="B50" s="15" t="n">
        <v>0.0944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1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s>
  <sheetData>
    <row r="1">
      <c r="A1" s="13" t="inlineStr">
        <is>
          <t>賞与に対する源泉徴収税額の算出率の表（令和8年分）甲欄。B〜I列は前月の社会保険料等控除後の給与の下限（円）</t>
        </is>
      </c>
    </row>
    <row r="3">
      <c r="A3" s="2" t="inlineStr">
        <is>
          <t>率</t>
        </is>
      </c>
      <c r="B3" s="2" t="inlineStr">
        <is>
          <t>扶養0人</t>
        </is>
      </c>
      <c r="C3" s="2" t="inlineStr">
        <is>
          <t>扶養1人</t>
        </is>
      </c>
      <c r="D3" s="2" t="inlineStr">
        <is>
          <t>扶養2人</t>
        </is>
      </c>
      <c r="E3" s="2" t="inlineStr">
        <is>
          <t>扶養3人</t>
        </is>
      </c>
      <c r="F3" s="2" t="inlineStr">
        <is>
          <t>扶養4人</t>
        </is>
      </c>
      <c r="G3" s="2" t="inlineStr">
        <is>
          <t>扶養5人</t>
        </is>
      </c>
      <c r="H3" s="2" t="inlineStr">
        <is>
          <t>扶養6人</t>
        </is>
      </c>
      <c r="I3" s="2" t="inlineStr">
        <is>
          <t>扶養7人</t>
        </is>
      </c>
    </row>
    <row r="4">
      <c r="A4" s="16" t="n">
        <v>0</v>
      </c>
      <c r="B4" s="14" t="n">
        <v>0</v>
      </c>
      <c r="C4" s="14" t="n">
        <v>0</v>
      </c>
      <c r="D4" s="14" t="n">
        <v>0</v>
      </c>
      <c r="E4" s="14" t="n">
        <v>0</v>
      </c>
      <c r="F4" s="14" t="n">
        <v>0</v>
      </c>
      <c r="G4" s="14" t="n">
        <v>0</v>
      </c>
      <c r="H4" s="14" t="n">
        <v>0</v>
      </c>
      <c r="I4" s="14" t="n">
        <v>0</v>
      </c>
    </row>
    <row r="5">
      <c r="A5" s="16" t="n">
        <v>0.02042</v>
      </c>
      <c r="B5" s="14" t="n">
        <v>82000</v>
      </c>
      <c r="C5" s="14" t="n">
        <v>107000</v>
      </c>
      <c r="D5" s="14" t="n">
        <v>143000</v>
      </c>
      <c r="E5" s="14" t="n">
        <v>181000</v>
      </c>
      <c r="F5" s="14" t="n">
        <v>218000</v>
      </c>
      <c r="G5" s="14" t="n">
        <v>251000</v>
      </c>
      <c r="H5" s="14" t="n">
        <v>284000</v>
      </c>
      <c r="I5" s="14" t="n">
        <v>317000</v>
      </c>
    </row>
    <row r="6">
      <c r="A6" s="16" t="n">
        <v>0.04084</v>
      </c>
      <c r="B6" s="14" t="n">
        <v>94000</v>
      </c>
      <c r="C6" s="14" t="n">
        <v>250000</v>
      </c>
      <c r="D6" s="14" t="n">
        <v>276000</v>
      </c>
      <c r="E6" s="14" t="n">
        <v>300000</v>
      </c>
      <c r="F6" s="14" t="n">
        <v>300000</v>
      </c>
      <c r="G6" s="14" t="n">
        <v>304000</v>
      </c>
      <c r="H6" s="14" t="n">
        <v>343000</v>
      </c>
      <c r="I6" s="14" t="n">
        <v>383000</v>
      </c>
    </row>
    <row r="7">
      <c r="A7" s="16" t="n">
        <v>0.06126</v>
      </c>
      <c r="B7" s="14" t="n">
        <v>260000</v>
      </c>
      <c r="C7" s="14" t="n">
        <v>289000</v>
      </c>
      <c r="D7" s="14" t="n">
        <v>321000</v>
      </c>
      <c r="E7" s="14" t="n">
        <v>354000</v>
      </c>
      <c r="F7" s="14" t="n">
        <v>387000</v>
      </c>
      <c r="G7" s="14" t="n">
        <v>412000</v>
      </c>
      <c r="H7" s="14" t="n">
        <v>438000</v>
      </c>
      <c r="I7" s="14" t="n">
        <v>463000</v>
      </c>
    </row>
    <row r="8">
      <c r="A8" s="16" t="n">
        <v>0.08168</v>
      </c>
      <c r="B8" s="14" t="n">
        <v>309000</v>
      </c>
      <c r="C8" s="14" t="n">
        <v>346000</v>
      </c>
      <c r="D8" s="14" t="n">
        <v>377000</v>
      </c>
      <c r="E8" s="14" t="n">
        <v>405000</v>
      </c>
      <c r="F8" s="14" t="n">
        <v>431000</v>
      </c>
      <c r="G8" s="14" t="n">
        <v>457000</v>
      </c>
      <c r="H8" s="14" t="n">
        <v>483000</v>
      </c>
      <c r="I8" s="14" t="n">
        <v>508000</v>
      </c>
    </row>
    <row r="9">
      <c r="A9" s="16" t="n">
        <v>0.1021</v>
      </c>
      <c r="B9" s="14" t="n">
        <v>342000</v>
      </c>
      <c r="C9" s="14" t="n">
        <v>373000</v>
      </c>
      <c r="D9" s="14" t="n">
        <v>400000</v>
      </c>
      <c r="E9" s="14" t="n">
        <v>424000</v>
      </c>
      <c r="F9" s="14" t="n">
        <v>452000</v>
      </c>
      <c r="G9" s="14" t="n">
        <v>479000</v>
      </c>
      <c r="H9" s="14" t="n">
        <v>505000</v>
      </c>
      <c r="I9" s="14" t="n">
        <v>529000</v>
      </c>
    </row>
    <row r="10">
      <c r="A10" s="16" t="n">
        <v>0.12252</v>
      </c>
      <c r="B10" s="14" t="n">
        <v>372000</v>
      </c>
      <c r="C10" s="14" t="n">
        <v>401000</v>
      </c>
      <c r="D10" s="14" t="n">
        <v>426000</v>
      </c>
      <c r="E10" s="14" t="n">
        <v>452000</v>
      </c>
      <c r="F10" s="14" t="n">
        <v>477000</v>
      </c>
      <c r="G10" s="14" t="n">
        <v>503000</v>
      </c>
      <c r="H10" s="14" t="n">
        <v>527000</v>
      </c>
      <c r="I10" s="14" t="n">
        <v>552000</v>
      </c>
    </row>
    <row r="11">
      <c r="A11" s="16" t="n">
        <v>0.14294</v>
      </c>
      <c r="B11" s="14" t="n">
        <v>402000</v>
      </c>
      <c r="C11" s="14" t="n">
        <v>430000</v>
      </c>
      <c r="D11" s="14" t="n">
        <v>457000</v>
      </c>
      <c r="E11" s="14" t="n">
        <v>484000</v>
      </c>
      <c r="F11" s="14" t="n">
        <v>509000</v>
      </c>
      <c r="G11" s="14" t="n">
        <v>531000</v>
      </c>
      <c r="H11" s="14" t="n">
        <v>553000</v>
      </c>
      <c r="I11" s="14" t="n">
        <v>578000</v>
      </c>
    </row>
    <row r="12">
      <c r="A12" s="16" t="n">
        <v>0.16336</v>
      </c>
      <c r="B12" s="14" t="n">
        <v>433000</v>
      </c>
      <c r="C12" s="14" t="n">
        <v>463000</v>
      </c>
      <c r="D12" s="14" t="n">
        <v>492000</v>
      </c>
      <c r="E12" s="14" t="n">
        <v>517000</v>
      </c>
      <c r="F12" s="14" t="n">
        <v>540000</v>
      </c>
      <c r="G12" s="14" t="n">
        <v>564000</v>
      </c>
      <c r="H12" s="14" t="n">
        <v>589000</v>
      </c>
      <c r="I12" s="14" t="n">
        <v>614000</v>
      </c>
    </row>
    <row r="13">
      <c r="A13" s="16" t="n">
        <v>0.18378</v>
      </c>
      <c r="B13" s="14" t="n">
        <v>520000</v>
      </c>
      <c r="C13" s="14" t="n">
        <v>520000</v>
      </c>
      <c r="D13" s="14" t="n">
        <v>525000</v>
      </c>
      <c r="E13" s="14" t="n">
        <v>550000</v>
      </c>
      <c r="F13" s="14" t="n">
        <v>577000</v>
      </c>
      <c r="G13" s="14" t="n">
        <v>604000</v>
      </c>
      <c r="H13" s="14" t="n">
        <v>630000</v>
      </c>
      <c r="I13" s="14" t="n">
        <v>657000</v>
      </c>
    </row>
    <row r="14">
      <c r="A14" s="16" t="n">
        <v>0.2042</v>
      </c>
      <c r="B14" s="14" t="n">
        <v>605000</v>
      </c>
      <c r="C14" s="14" t="n">
        <v>621000</v>
      </c>
      <c r="D14" s="14" t="n">
        <v>636000</v>
      </c>
      <c r="E14" s="14" t="n">
        <v>651000</v>
      </c>
      <c r="F14" s="14" t="n">
        <v>666000</v>
      </c>
      <c r="G14" s="14" t="n">
        <v>681000</v>
      </c>
      <c r="H14" s="14" t="n">
        <v>697000</v>
      </c>
      <c r="I14" s="14" t="n">
        <v>708000</v>
      </c>
    </row>
    <row r="15">
      <c r="A15" s="16" t="n">
        <v>0.22462</v>
      </c>
      <c r="B15" s="14" t="n">
        <v>684000</v>
      </c>
      <c r="C15" s="14" t="n">
        <v>705000</v>
      </c>
      <c r="D15" s="14" t="n">
        <v>728000</v>
      </c>
      <c r="E15" s="14" t="n">
        <v>751000</v>
      </c>
      <c r="F15" s="14" t="n">
        <v>774000</v>
      </c>
      <c r="G15" s="14" t="n">
        <v>798000</v>
      </c>
      <c r="H15" s="14" t="n">
        <v>821000</v>
      </c>
      <c r="I15" s="14" t="n">
        <v>845000</v>
      </c>
    </row>
    <row r="16">
      <c r="A16" s="16" t="n">
        <v>0.24504</v>
      </c>
      <c r="B16" s="14" t="n">
        <v>715000</v>
      </c>
      <c r="C16" s="14" t="n">
        <v>739000</v>
      </c>
      <c r="D16" s="14" t="n">
        <v>764000</v>
      </c>
      <c r="E16" s="14" t="n">
        <v>788000</v>
      </c>
      <c r="F16" s="14" t="n">
        <v>813000</v>
      </c>
      <c r="G16" s="14" t="n">
        <v>838000</v>
      </c>
      <c r="H16" s="14" t="n">
        <v>862000</v>
      </c>
      <c r="I16" s="14" t="n">
        <v>887000</v>
      </c>
    </row>
    <row r="17">
      <c r="A17" s="16" t="n">
        <v>0.26546</v>
      </c>
      <c r="B17" s="14" t="n">
        <v>752000</v>
      </c>
      <c r="C17" s="14" t="n">
        <v>778000</v>
      </c>
      <c r="D17" s="14" t="n">
        <v>804000</v>
      </c>
      <c r="E17" s="14" t="n">
        <v>830000</v>
      </c>
      <c r="F17" s="14" t="n">
        <v>856000</v>
      </c>
      <c r="G17" s="14" t="n">
        <v>881000</v>
      </c>
      <c r="H17" s="14" t="n">
        <v>907000</v>
      </c>
      <c r="I17" s="14" t="n">
        <v>933000</v>
      </c>
    </row>
    <row r="18">
      <c r="A18" s="16" t="n">
        <v>0.28588</v>
      </c>
      <c r="B18" s="14" t="n">
        <v>795000</v>
      </c>
      <c r="C18" s="14" t="n">
        <v>821000</v>
      </c>
      <c r="D18" s="14" t="n">
        <v>848000</v>
      </c>
      <c r="E18" s="14" t="n">
        <v>876000</v>
      </c>
      <c r="F18" s="14" t="n">
        <v>903000</v>
      </c>
      <c r="G18" s="14" t="n">
        <v>930000</v>
      </c>
      <c r="H18" s="14" t="n">
        <v>957000</v>
      </c>
      <c r="I18" s="14" t="n">
        <v>985000</v>
      </c>
    </row>
    <row r="19">
      <c r="A19" s="16" t="n">
        <v>0.3063</v>
      </c>
      <c r="B19" s="14" t="n">
        <v>854000</v>
      </c>
      <c r="C19" s="14" t="n">
        <v>882000</v>
      </c>
      <c r="D19" s="14" t="n">
        <v>910000</v>
      </c>
      <c r="E19" s="14" t="n">
        <v>938000</v>
      </c>
      <c r="F19" s="14" t="n">
        <v>966000</v>
      </c>
      <c r="G19" s="14" t="n">
        <v>994000</v>
      </c>
      <c r="H19" s="14" t="n">
        <v>1022000</v>
      </c>
      <c r="I19" s="14" t="n">
        <v>1051000</v>
      </c>
    </row>
    <row r="20">
      <c r="A20" s="16" t="n">
        <v>0.32672</v>
      </c>
      <c r="B20" s="14" t="n">
        <v>922000</v>
      </c>
      <c r="C20" s="14" t="n">
        <v>952000</v>
      </c>
      <c r="D20" s="14" t="n">
        <v>983000</v>
      </c>
      <c r="E20" s="14" t="n">
        <v>1013000</v>
      </c>
      <c r="F20" s="14" t="n">
        <v>1044000</v>
      </c>
      <c r="G20" s="14" t="n">
        <v>1074000</v>
      </c>
      <c r="H20" s="14" t="n">
        <v>1104000</v>
      </c>
      <c r="I20" s="14" t="n">
        <v>1135000</v>
      </c>
    </row>
    <row r="21">
      <c r="A21" s="16" t="n">
        <v>0.35735</v>
      </c>
      <c r="B21" s="14" t="n">
        <v>1318000</v>
      </c>
      <c r="C21" s="14" t="n">
        <v>1342000</v>
      </c>
      <c r="D21" s="14" t="n">
        <v>1367000</v>
      </c>
      <c r="E21" s="14" t="n">
        <v>1391000</v>
      </c>
      <c r="F21" s="14" t="n">
        <v>1416000</v>
      </c>
      <c r="G21" s="14" t="n">
        <v>1440000</v>
      </c>
      <c r="H21" s="14" t="n">
        <v>1464000</v>
      </c>
      <c r="I21" s="14" t="n">
        <v>1489000</v>
      </c>
    </row>
    <row r="22">
      <c r="A22" s="16" t="n">
        <v>0.38798</v>
      </c>
      <c r="B22" s="14" t="n">
        <v>1521000</v>
      </c>
      <c r="C22" s="14" t="n">
        <v>1526000</v>
      </c>
      <c r="D22" s="14" t="n">
        <v>1526000</v>
      </c>
      <c r="E22" s="14" t="n">
        <v>1538000</v>
      </c>
      <c r="F22" s="14" t="n">
        <v>1555000</v>
      </c>
      <c r="G22" s="14" t="n">
        <v>1555000</v>
      </c>
      <c r="H22" s="14" t="n">
        <v>1555000</v>
      </c>
      <c r="I22" s="14" t="n">
        <v>1583000</v>
      </c>
    </row>
    <row r="23">
      <c r="A23" s="16" t="n">
        <v>0.41861</v>
      </c>
      <c r="B23" s="14" t="n">
        <v>2621000</v>
      </c>
      <c r="C23" s="14" t="n">
        <v>2645000</v>
      </c>
      <c r="D23" s="14" t="n">
        <v>2669000</v>
      </c>
      <c r="E23" s="14" t="n">
        <v>2693000</v>
      </c>
      <c r="F23" s="14" t="n">
        <v>2716000</v>
      </c>
      <c r="G23" s="14" t="n">
        <v>2740000</v>
      </c>
      <c r="H23" s="14" t="n">
        <v>2764000</v>
      </c>
      <c r="I23" s="14" t="n">
        <v>2788000</v>
      </c>
    </row>
    <row r="24">
      <c r="A24" s="16" t="n">
        <v>0.45945</v>
      </c>
      <c r="B24" s="14" t="n">
        <v>3495000</v>
      </c>
      <c r="C24" s="14" t="n">
        <v>3527000</v>
      </c>
      <c r="D24" s="14" t="n">
        <v>3559000</v>
      </c>
      <c r="E24" s="14" t="n">
        <v>3590000</v>
      </c>
      <c r="F24" s="14" t="n">
        <v>3622000</v>
      </c>
      <c r="G24" s="14" t="n">
        <v>3654000</v>
      </c>
      <c r="H24" s="14" t="n">
        <v>3685000</v>
      </c>
      <c r="I24" s="14" t="n">
        <v>3717000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T234"/>
  <sheetViews>
    <sheetView workbookViewId="0">
      <selection activeCell="A1" sqref="A1"/>
    </sheetView>
  </sheetViews>
  <sheetFormatPr baseColWidth="8" defaultRowHeight="15"/>
  <cols>
    <col width="10"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11"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s>
  <sheetData>
    <row r="1">
      <c r="A1" s="13" t="inlineStr">
        <is>
          <t>給与所得の源泉徴収税額表 月額表（令和8年分）甲欄。A列はその行の下限。105,000円未満は0円</t>
        </is>
      </c>
    </row>
    <row r="3">
      <c r="A3" s="2" t="inlineStr">
        <is>
          <t>以上</t>
        </is>
      </c>
      <c r="B3" s="2" t="inlineStr">
        <is>
          <t>扶養0人</t>
        </is>
      </c>
      <c r="C3" s="2" t="inlineStr">
        <is>
          <t>扶養1人</t>
        </is>
      </c>
      <c r="D3" s="2" t="inlineStr">
        <is>
          <t>扶養2人</t>
        </is>
      </c>
      <c r="E3" s="2" t="inlineStr">
        <is>
          <t>扶養3人</t>
        </is>
      </c>
      <c r="F3" s="2" t="inlineStr">
        <is>
          <t>扶養4人</t>
        </is>
      </c>
      <c r="G3" s="2" t="inlineStr">
        <is>
          <t>扶養5人</t>
        </is>
      </c>
      <c r="H3" s="2" t="inlineStr">
        <is>
          <t>扶養6人</t>
        </is>
      </c>
      <c r="I3" s="2" t="inlineStr">
        <is>
          <t>扶養7人</t>
        </is>
      </c>
      <c r="K3" s="2" t="inlineStr">
        <is>
          <t>基準額</t>
        </is>
      </c>
      <c r="L3" s="2" t="inlineStr">
        <is>
          <t>超える分の率</t>
        </is>
      </c>
      <c r="M3" s="2" t="inlineStr">
        <is>
          <t>扶養0人</t>
        </is>
      </c>
      <c r="N3" s="2" t="inlineStr">
        <is>
          <t>扶養1人</t>
        </is>
      </c>
      <c r="O3" s="2" t="inlineStr">
        <is>
          <t>扶養2人</t>
        </is>
      </c>
      <c r="P3" s="2" t="inlineStr">
        <is>
          <t>扶養3人</t>
        </is>
      </c>
      <c r="Q3" s="2" t="inlineStr">
        <is>
          <t>扶養4人</t>
        </is>
      </c>
      <c r="R3" s="2" t="inlineStr">
        <is>
          <t>扶養5人</t>
        </is>
      </c>
      <c r="S3" s="2" t="inlineStr">
        <is>
          <t>扶養6人</t>
        </is>
      </c>
      <c r="T3" s="2" t="inlineStr">
        <is>
          <t>扶養7人</t>
        </is>
      </c>
    </row>
    <row r="4">
      <c r="A4" s="18" t="n">
        <v>105000</v>
      </c>
      <c r="B4" s="18" t="n">
        <v>170</v>
      </c>
      <c r="C4" s="18" t="n">
        <v>0</v>
      </c>
      <c r="D4" s="18" t="n">
        <v>0</v>
      </c>
      <c r="E4" s="18" t="n">
        <v>0</v>
      </c>
      <c r="F4" s="18" t="n">
        <v>0</v>
      </c>
      <c r="G4" s="18" t="n">
        <v>0</v>
      </c>
      <c r="H4" s="18" t="n">
        <v>0</v>
      </c>
      <c r="I4" s="18" t="n">
        <v>0</v>
      </c>
      <c r="K4" s="18" t="n">
        <v>740000</v>
      </c>
      <c r="L4" s="19" t="n">
        <v>0.2042</v>
      </c>
      <c r="M4" s="18" t="n">
        <v>71680</v>
      </c>
      <c r="N4" s="18" t="n">
        <v>65210</v>
      </c>
      <c r="O4" s="18" t="n">
        <v>58750</v>
      </c>
      <c r="P4" s="18" t="n">
        <v>52290</v>
      </c>
      <c r="Q4" s="18" t="n">
        <v>45810</v>
      </c>
      <c r="R4" s="18" t="n">
        <v>39350</v>
      </c>
      <c r="S4" s="18" t="n">
        <v>32890</v>
      </c>
      <c r="T4" s="18" t="n">
        <v>26410</v>
      </c>
    </row>
    <row r="5">
      <c r="A5" s="18" t="n">
        <v>107000</v>
      </c>
      <c r="B5" s="18" t="n">
        <v>280</v>
      </c>
      <c r="C5" s="18" t="n">
        <v>0</v>
      </c>
      <c r="D5" s="18" t="n">
        <v>0</v>
      </c>
      <c r="E5" s="18" t="n">
        <v>0</v>
      </c>
      <c r="F5" s="18" t="n">
        <v>0</v>
      </c>
      <c r="G5" s="18" t="n">
        <v>0</v>
      </c>
      <c r="H5" s="18" t="n">
        <v>0</v>
      </c>
      <c r="I5" s="18" t="n">
        <v>0</v>
      </c>
      <c r="K5" s="18" t="n">
        <v>790000</v>
      </c>
      <c r="L5" s="19" t="n">
        <v>0.23483</v>
      </c>
      <c r="M5" s="18" t="n">
        <v>81890</v>
      </c>
      <c r="N5" s="18" t="n">
        <v>75420</v>
      </c>
      <c r="O5" s="18" t="n">
        <v>68960</v>
      </c>
      <c r="P5" s="18" t="n">
        <v>62500</v>
      </c>
      <c r="Q5" s="18" t="n">
        <v>56020</v>
      </c>
      <c r="R5" s="18" t="n">
        <v>49560</v>
      </c>
      <c r="S5" s="18" t="n">
        <v>43100</v>
      </c>
      <c r="T5" s="18" t="n">
        <v>36620</v>
      </c>
    </row>
    <row r="6">
      <c r="A6" s="18" t="n">
        <v>109000</v>
      </c>
      <c r="B6" s="18" t="n">
        <v>380</v>
      </c>
      <c r="C6" s="18" t="n">
        <v>0</v>
      </c>
      <c r="D6" s="18" t="n">
        <v>0</v>
      </c>
      <c r="E6" s="18" t="n">
        <v>0</v>
      </c>
      <c r="F6" s="18" t="n">
        <v>0</v>
      </c>
      <c r="G6" s="18" t="n">
        <v>0</v>
      </c>
      <c r="H6" s="18" t="n">
        <v>0</v>
      </c>
      <c r="I6" s="18" t="n">
        <v>0</v>
      </c>
      <c r="K6" s="18" t="n">
        <v>960000</v>
      </c>
      <c r="L6" s="19" t="n">
        <v>0.33693</v>
      </c>
      <c r="M6" s="18" t="n">
        <v>121820</v>
      </c>
      <c r="N6" s="18" t="n">
        <v>115340</v>
      </c>
      <c r="O6" s="18" t="n">
        <v>108880</v>
      </c>
      <c r="P6" s="18" t="n">
        <v>102420</v>
      </c>
      <c r="Q6" s="18" t="n">
        <v>95940</v>
      </c>
      <c r="R6" s="18" t="n">
        <v>89480</v>
      </c>
      <c r="S6" s="18" t="n">
        <v>83020</v>
      </c>
      <c r="T6" s="18" t="n">
        <v>76540</v>
      </c>
    </row>
    <row r="7">
      <c r="A7" s="18" t="n">
        <v>111000</v>
      </c>
      <c r="B7" s="18" t="n">
        <v>480</v>
      </c>
      <c r="C7" s="18" t="n">
        <v>0</v>
      </c>
      <c r="D7" s="18" t="n">
        <v>0</v>
      </c>
      <c r="E7" s="18" t="n">
        <v>0</v>
      </c>
      <c r="F7" s="18" t="n">
        <v>0</v>
      </c>
      <c r="G7" s="18" t="n">
        <v>0</v>
      </c>
      <c r="H7" s="18" t="n">
        <v>0</v>
      </c>
      <c r="I7" s="18" t="n">
        <v>0</v>
      </c>
      <c r="K7" s="18" t="n">
        <v>1710000</v>
      </c>
      <c r="L7" s="19" t="n">
        <v>0.4084</v>
      </c>
      <c r="M7" s="18" t="n">
        <v>374520</v>
      </c>
      <c r="N7" s="18" t="n">
        <v>368040</v>
      </c>
      <c r="O7" s="18" t="n">
        <v>361580</v>
      </c>
      <c r="P7" s="18" t="n">
        <v>355120</v>
      </c>
      <c r="Q7" s="18" t="n">
        <v>348640</v>
      </c>
      <c r="R7" s="18" t="n">
        <v>342180</v>
      </c>
      <c r="S7" s="18" t="n">
        <v>335720</v>
      </c>
      <c r="T7" s="18" t="n">
        <v>329240</v>
      </c>
    </row>
    <row r="8">
      <c r="A8" s="18" t="n">
        <v>113000</v>
      </c>
      <c r="B8" s="18" t="n">
        <v>580</v>
      </c>
      <c r="C8" s="18" t="n">
        <v>0</v>
      </c>
      <c r="D8" s="18" t="n">
        <v>0</v>
      </c>
      <c r="E8" s="18" t="n">
        <v>0</v>
      </c>
      <c r="F8" s="18" t="n">
        <v>0</v>
      </c>
      <c r="G8" s="18" t="n">
        <v>0</v>
      </c>
      <c r="H8" s="18" t="n">
        <v>0</v>
      </c>
      <c r="I8" s="18" t="n">
        <v>0</v>
      </c>
      <c r="K8" s="18" t="n">
        <v>2130000</v>
      </c>
      <c r="L8" s="19" t="n">
        <v>0.4084</v>
      </c>
      <c r="M8" s="18" t="n">
        <v>549440</v>
      </c>
      <c r="N8" s="18" t="n">
        <v>542970</v>
      </c>
      <c r="O8" s="18" t="n">
        <v>536500</v>
      </c>
      <c r="P8" s="18" t="n">
        <v>530040</v>
      </c>
      <c r="Q8" s="18" t="n">
        <v>523570</v>
      </c>
      <c r="R8" s="18" t="n">
        <v>517110</v>
      </c>
      <c r="S8" s="18" t="n">
        <v>510640</v>
      </c>
      <c r="T8" s="18" t="n">
        <v>504170</v>
      </c>
    </row>
    <row r="9">
      <c r="A9" s="18" t="n">
        <v>115000</v>
      </c>
      <c r="B9" s="18" t="n">
        <v>680</v>
      </c>
      <c r="C9" s="18" t="n">
        <v>0</v>
      </c>
      <c r="D9" s="18" t="n">
        <v>0</v>
      </c>
      <c r="E9" s="18" t="n">
        <v>0</v>
      </c>
      <c r="F9" s="18" t="n">
        <v>0</v>
      </c>
      <c r="G9" s="18" t="n">
        <v>0</v>
      </c>
      <c r="H9" s="18" t="n">
        <v>0</v>
      </c>
      <c r="I9" s="18" t="n">
        <v>0</v>
      </c>
      <c r="K9" s="18" t="n">
        <v>2170000</v>
      </c>
      <c r="L9" s="19" t="n">
        <v>0.4084</v>
      </c>
      <c r="M9" s="18" t="n">
        <v>571220</v>
      </c>
      <c r="N9" s="18" t="n">
        <v>564750</v>
      </c>
      <c r="O9" s="18" t="n">
        <v>558280</v>
      </c>
      <c r="P9" s="18" t="n">
        <v>551820</v>
      </c>
      <c r="Q9" s="18" t="n">
        <v>545350</v>
      </c>
      <c r="R9" s="18" t="n">
        <v>538880</v>
      </c>
      <c r="S9" s="18" t="n">
        <v>532420</v>
      </c>
      <c r="T9" s="18" t="n">
        <v>525950</v>
      </c>
    </row>
    <row r="10">
      <c r="A10" s="18" t="n">
        <v>117000</v>
      </c>
      <c r="B10" s="18" t="n">
        <v>790</v>
      </c>
      <c r="C10" s="18" t="n">
        <v>0</v>
      </c>
      <c r="D10" s="18" t="n">
        <v>0</v>
      </c>
      <c r="E10" s="18" t="n">
        <v>0</v>
      </c>
      <c r="F10" s="18" t="n">
        <v>0</v>
      </c>
      <c r="G10" s="18" t="n">
        <v>0</v>
      </c>
      <c r="H10" s="18" t="n">
        <v>0</v>
      </c>
      <c r="I10" s="18" t="n">
        <v>0</v>
      </c>
      <c r="K10" s="18" t="n">
        <v>2210000</v>
      </c>
      <c r="L10" s="19" t="n">
        <v>0.4084</v>
      </c>
      <c r="M10" s="18" t="n">
        <v>593000</v>
      </c>
      <c r="N10" s="18" t="n">
        <v>586520</v>
      </c>
      <c r="O10" s="18" t="n">
        <v>580060</v>
      </c>
      <c r="P10" s="18" t="n">
        <v>573600</v>
      </c>
      <c r="Q10" s="18" t="n">
        <v>567120</v>
      </c>
      <c r="R10" s="18" t="n">
        <v>560660</v>
      </c>
      <c r="S10" s="18" t="n">
        <v>554200</v>
      </c>
      <c r="T10" s="18" t="n">
        <v>547730</v>
      </c>
    </row>
    <row r="11">
      <c r="A11" s="18" t="n">
        <v>119000</v>
      </c>
      <c r="B11" s="18" t="n">
        <v>890</v>
      </c>
      <c r="C11" s="18" t="n">
        <v>0</v>
      </c>
      <c r="D11" s="18" t="n">
        <v>0</v>
      </c>
      <c r="E11" s="18" t="n">
        <v>0</v>
      </c>
      <c r="F11" s="18" t="n">
        <v>0</v>
      </c>
      <c r="G11" s="18" t="n">
        <v>0</v>
      </c>
      <c r="H11" s="18" t="n">
        <v>0</v>
      </c>
      <c r="I11" s="18" t="n">
        <v>0</v>
      </c>
      <c r="K11" s="18" t="n">
        <v>2250000</v>
      </c>
      <c r="L11" s="19" t="n">
        <v>0.4084</v>
      </c>
      <c r="M11" s="18" t="n">
        <v>614770</v>
      </c>
      <c r="N11" s="18" t="n">
        <v>608300</v>
      </c>
      <c r="O11" s="18" t="n">
        <v>601840</v>
      </c>
      <c r="P11" s="18" t="n">
        <v>595380</v>
      </c>
      <c r="Q11" s="18" t="n">
        <v>588900</v>
      </c>
      <c r="R11" s="18" t="n">
        <v>582440</v>
      </c>
      <c r="S11" s="18" t="n">
        <v>575980</v>
      </c>
      <c r="T11" s="18" t="n">
        <v>569500</v>
      </c>
    </row>
    <row r="12">
      <c r="A12" s="18" t="n">
        <v>121000</v>
      </c>
      <c r="B12" s="18" t="n">
        <v>990</v>
      </c>
      <c r="C12" s="18" t="n">
        <v>0</v>
      </c>
      <c r="D12" s="18" t="n">
        <v>0</v>
      </c>
      <c r="E12" s="18" t="n">
        <v>0</v>
      </c>
      <c r="F12" s="18" t="n">
        <v>0</v>
      </c>
      <c r="G12" s="18" t="n">
        <v>0</v>
      </c>
      <c r="H12" s="18" t="n">
        <v>0</v>
      </c>
      <c r="I12" s="18" t="n">
        <v>0</v>
      </c>
      <c r="K12" s="18" t="n">
        <v>3500000</v>
      </c>
      <c r="L12" s="19" t="n">
        <v>0.45945</v>
      </c>
      <c r="M12" s="18" t="n">
        <v>1125270</v>
      </c>
      <c r="N12" s="18" t="n">
        <v>1118800</v>
      </c>
      <c r="O12" s="18" t="n">
        <v>1112340</v>
      </c>
      <c r="P12" s="18" t="n">
        <v>1105880</v>
      </c>
      <c r="Q12" s="18" t="n">
        <v>1099400</v>
      </c>
      <c r="R12" s="18" t="n">
        <v>1092940</v>
      </c>
      <c r="S12" s="18" t="n">
        <v>1086480</v>
      </c>
      <c r="T12" s="18" t="n">
        <v>1080000</v>
      </c>
    </row>
    <row r="13">
      <c r="A13" s="18" t="n">
        <v>123000</v>
      </c>
      <c r="B13" s="18" t="n">
        <v>1090</v>
      </c>
      <c r="C13" s="18" t="n">
        <v>0</v>
      </c>
      <c r="D13" s="18" t="n">
        <v>0</v>
      </c>
      <c r="E13" s="18" t="n">
        <v>0</v>
      </c>
      <c r="F13" s="18" t="n">
        <v>0</v>
      </c>
      <c r="G13" s="18" t="n">
        <v>0</v>
      </c>
      <c r="H13" s="18" t="n">
        <v>0</v>
      </c>
      <c r="I13" s="18" t="n">
        <v>0</v>
      </c>
    </row>
    <row r="14">
      <c r="A14" s="18" t="n">
        <v>125000</v>
      </c>
      <c r="B14" s="18" t="n">
        <v>1190</v>
      </c>
      <c r="C14" s="18" t="n">
        <v>0</v>
      </c>
      <c r="D14" s="18" t="n">
        <v>0</v>
      </c>
      <c r="E14" s="18" t="n">
        <v>0</v>
      </c>
      <c r="F14" s="18" t="n">
        <v>0</v>
      </c>
      <c r="G14" s="18" t="n">
        <v>0</v>
      </c>
      <c r="H14" s="18" t="n">
        <v>0</v>
      </c>
      <c r="I14" s="18" t="n">
        <v>0</v>
      </c>
      <c r="K14" t="inlineStr">
        <is>
          <t>740,000円以上は、基準額の税額に、基準額を超える金額にその率を掛けた額を足す（1円未満切り捨て）</t>
        </is>
      </c>
    </row>
    <row r="15">
      <c r="A15" s="18" t="n">
        <v>127000</v>
      </c>
      <c r="B15" s="18" t="n">
        <v>1300</v>
      </c>
      <c r="C15" s="18" t="n">
        <v>0</v>
      </c>
      <c r="D15" s="18" t="n">
        <v>0</v>
      </c>
      <c r="E15" s="18" t="n">
        <v>0</v>
      </c>
      <c r="F15" s="18" t="n">
        <v>0</v>
      </c>
      <c r="G15" s="18" t="n">
        <v>0</v>
      </c>
      <c r="H15" s="18" t="n">
        <v>0</v>
      </c>
      <c r="I15" s="18" t="n">
        <v>0</v>
      </c>
    </row>
    <row r="16">
      <c r="A16" s="18" t="n">
        <v>129000</v>
      </c>
      <c r="B16" s="18" t="n">
        <v>1400</v>
      </c>
      <c r="C16" s="18" t="n">
        <v>0</v>
      </c>
      <c r="D16" s="18" t="n">
        <v>0</v>
      </c>
      <c r="E16" s="18" t="n">
        <v>0</v>
      </c>
      <c r="F16" s="18" t="n">
        <v>0</v>
      </c>
      <c r="G16" s="18" t="n">
        <v>0</v>
      </c>
      <c r="H16" s="18" t="n">
        <v>0</v>
      </c>
      <c r="I16" s="18" t="n">
        <v>0</v>
      </c>
    </row>
    <row r="17">
      <c r="A17" s="18" t="n">
        <v>131000</v>
      </c>
      <c r="B17" s="18" t="n">
        <v>1500</v>
      </c>
      <c r="C17" s="18" t="n">
        <v>0</v>
      </c>
      <c r="D17" s="18" t="n">
        <v>0</v>
      </c>
      <c r="E17" s="18" t="n">
        <v>0</v>
      </c>
      <c r="F17" s="18" t="n">
        <v>0</v>
      </c>
      <c r="G17" s="18" t="n">
        <v>0</v>
      </c>
      <c r="H17" s="18" t="n">
        <v>0</v>
      </c>
      <c r="I17" s="18" t="n">
        <v>0</v>
      </c>
    </row>
    <row r="18">
      <c r="A18" s="18" t="n">
        <v>133000</v>
      </c>
      <c r="B18" s="18" t="n">
        <v>1600</v>
      </c>
      <c r="C18" s="18" t="n">
        <v>0</v>
      </c>
      <c r="D18" s="18" t="n">
        <v>0</v>
      </c>
      <c r="E18" s="18" t="n">
        <v>0</v>
      </c>
      <c r="F18" s="18" t="n">
        <v>0</v>
      </c>
      <c r="G18" s="18" t="n">
        <v>0</v>
      </c>
      <c r="H18" s="18" t="n">
        <v>0</v>
      </c>
      <c r="I18" s="18" t="n">
        <v>0</v>
      </c>
    </row>
    <row r="19">
      <c r="A19" s="18" t="n">
        <v>135000</v>
      </c>
      <c r="B19" s="18" t="n">
        <v>1710</v>
      </c>
      <c r="C19" s="18" t="n">
        <v>0</v>
      </c>
      <c r="D19" s="18" t="n">
        <v>0</v>
      </c>
      <c r="E19" s="18" t="n">
        <v>0</v>
      </c>
      <c r="F19" s="18" t="n">
        <v>0</v>
      </c>
      <c r="G19" s="18" t="n">
        <v>0</v>
      </c>
      <c r="H19" s="18" t="n">
        <v>0</v>
      </c>
      <c r="I19" s="18" t="n">
        <v>0</v>
      </c>
    </row>
    <row r="20">
      <c r="A20" s="18" t="n">
        <v>137000</v>
      </c>
      <c r="B20" s="18" t="n">
        <v>1810</v>
      </c>
      <c r="C20" s="18" t="n">
        <v>190</v>
      </c>
      <c r="D20" s="18" t="n">
        <v>0</v>
      </c>
      <c r="E20" s="18" t="n">
        <v>0</v>
      </c>
      <c r="F20" s="18" t="n">
        <v>0</v>
      </c>
      <c r="G20" s="18" t="n">
        <v>0</v>
      </c>
      <c r="H20" s="18" t="n">
        <v>0</v>
      </c>
      <c r="I20" s="18" t="n">
        <v>0</v>
      </c>
    </row>
    <row r="21">
      <c r="A21" s="18" t="n">
        <v>139000</v>
      </c>
      <c r="B21" s="18" t="n">
        <v>1910</v>
      </c>
      <c r="C21" s="18" t="n">
        <v>300</v>
      </c>
      <c r="D21" s="18" t="n">
        <v>0</v>
      </c>
      <c r="E21" s="18" t="n">
        <v>0</v>
      </c>
      <c r="F21" s="18" t="n">
        <v>0</v>
      </c>
      <c r="G21" s="18" t="n">
        <v>0</v>
      </c>
      <c r="H21" s="18" t="n">
        <v>0</v>
      </c>
      <c r="I21" s="18" t="n">
        <v>0</v>
      </c>
    </row>
    <row r="22">
      <c r="A22" s="18" t="n">
        <v>141000</v>
      </c>
      <c r="B22" s="18" t="n">
        <v>2010</v>
      </c>
      <c r="C22" s="18" t="n">
        <v>400</v>
      </c>
      <c r="D22" s="18" t="n">
        <v>0</v>
      </c>
      <c r="E22" s="18" t="n">
        <v>0</v>
      </c>
      <c r="F22" s="18" t="n">
        <v>0</v>
      </c>
      <c r="G22" s="18" t="n">
        <v>0</v>
      </c>
      <c r="H22" s="18" t="n">
        <v>0</v>
      </c>
      <c r="I22" s="18" t="n">
        <v>0</v>
      </c>
    </row>
    <row r="23">
      <c r="A23" s="18" t="n">
        <v>143000</v>
      </c>
      <c r="B23" s="18" t="n">
        <v>2110</v>
      </c>
      <c r="C23" s="18" t="n">
        <v>500</v>
      </c>
      <c r="D23" s="18" t="n">
        <v>0</v>
      </c>
      <c r="E23" s="18" t="n">
        <v>0</v>
      </c>
      <c r="F23" s="18" t="n">
        <v>0</v>
      </c>
      <c r="G23" s="18" t="n">
        <v>0</v>
      </c>
      <c r="H23" s="18" t="n">
        <v>0</v>
      </c>
      <c r="I23" s="18" t="n">
        <v>0</v>
      </c>
    </row>
    <row r="24">
      <c r="A24" s="18" t="n">
        <v>145000</v>
      </c>
      <c r="B24" s="18" t="n">
        <v>2220</v>
      </c>
      <c r="C24" s="18" t="n">
        <v>600</v>
      </c>
      <c r="D24" s="18" t="n">
        <v>0</v>
      </c>
      <c r="E24" s="18" t="n">
        <v>0</v>
      </c>
      <c r="F24" s="18" t="n">
        <v>0</v>
      </c>
      <c r="G24" s="18" t="n">
        <v>0</v>
      </c>
      <c r="H24" s="18" t="n">
        <v>0</v>
      </c>
      <c r="I24" s="18" t="n">
        <v>0</v>
      </c>
    </row>
    <row r="25">
      <c r="A25" s="18" t="n">
        <v>147000</v>
      </c>
      <c r="B25" s="18" t="n">
        <v>2320</v>
      </c>
      <c r="C25" s="18" t="n">
        <v>700</v>
      </c>
      <c r="D25" s="18" t="n">
        <v>0</v>
      </c>
      <c r="E25" s="18" t="n">
        <v>0</v>
      </c>
      <c r="F25" s="18" t="n">
        <v>0</v>
      </c>
      <c r="G25" s="18" t="n">
        <v>0</v>
      </c>
      <c r="H25" s="18" t="n">
        <v>0</v>
      </c>
      <c r="I25" s="18" t="n">
        <v>0</v>
      </c>
    </row>
    <row r="26">
      <c r="A26" s="18" t="n">
        <v>149000</v>
      </c>
      <c r="B26" s="18" t="n">
        <v>2420</v>
      </c>
      <c r="C26" s="18" t="n">
        <v>810</v>
      </c>
      <c r="D26" s="18" t="n">
        <v>0</v>
      </c>
      <c r="E26" s="18" t="n">
        <v>0</v>
      </c>
      <c r="F26" s="18" t="n">
        <v>0</v>
      </c>
      <c r="G26" s="18" t="n">
        <v>0</v>
      </c>
      <c r="H26" s="18" t="n">
        <v>0</v>
      </c>
      <c r="I26" s="18" t="n">
        <v>0</v>
      </c>
    </row>
    <row r="27">
      <c r="A27" s="18" t="n">
        <v>151000</v>
      </c>
      <c r="B27" s="18" t="n">
        <v>2520</v>
      </c>
      <c r="C27" s="18" t="n">
        <v>910</v>
      </c>
      <c r="D27" s="18" t="n">
        <v>0</v>
      </c>
      <c r="E27" s="18" t="n">
        <v>0</v>
      </c>
      <c r="F27" s="18" t="n">
        <v>0</v>
      </c>
      <c r="G27" s="18" t="n">
        <v>0</v>
      </c>
      <c r="H27" s="18" t="n">
        <v>0</v>
      </c>
      <c r="I27" s="18" t="n">
        <v>0</v>
      </c>
    </row>
    <row r="28">
      <c r="A28" s="18" t="n">
        <v>153000</v>
      </c>
      <c r="B28" s="18" t="n">
        <v>2620</v>
      </c>
      <c r="C28" s="18" t="n">
        <v>1010</v>
      </c>
      <c r="D28" s="18" t="n">
        <v>0</v>
      </c>
      <c r="E28" s="18" t="n">
        <v>0</v>
      </c>
      <c r="F28" s="18" t="n">
        <v>0</v>
      </c>
      <c r="G28" s="18" t="n">
        <v>0</v>
      </c>
      <c r="H28" s="18" t="n">
        <v>0</v>
      </c>
      <c r="I28" s="18" t="n">
        <v>0</v>
      </c>
    </row>
    <row r="29">
      <c r="A29" s="18" t="n">
        <v>155000</v>
      </c>
      <c r="B29" s="18" t="n">
        <v>2730</v>
      </c>
      <c r="C29" s="18" t="n">
        <v>1110</v>
      </c>
      <c r="D29" s="18" t="n">
        <v>0</v>
      </c>
      <c r="E29" s="18" t="n">
        <v>0</v>
      </c>
      <c r="F29" s="18" t="n">
        <v>0</v>
      </c>
      <c r="G29" s="18" t="n">
        <v>0</v>
      </c>
      <c r="H29" s="18" t="n">
        <v>0</v>
      </c>
      <c r="I29" s="18" t="n">
        <v>0</v>
      </c>
    </row>
    <row r="30">
      <c r="A30" s="18" t="n">
        <v>157000</v>
      </c>
      <c r="B30" s="18" t="n">
        <v>2830</v>
      </c>
      <c r="C30" s="18" t="n">
        <v>1210</v>
      </c>
      <c r="D30" s="18" t="n">
        <v>0</v>
      </c>
      <c r="E30" s="18" t="n">
        <v>0</v>
      </c>
      <c r="F30" s="18" t="n">
        <v>0</v>
      </c>
      <c r="G30" s="18" t="n">
        <v>0</v>
      </c>
      <c r="H30" s="18" t="n">
        <v>0</v>
      </c>
      <c r="I30" s="18" t="n">
        <v>0</v>
      </c>
    </row>
    <row r="31">
      <c r="A31" s="18" t="n">
        <v>159000</v>
      </c>
      <c r="B31" s="18" t="n">
        <v>2910</v>
      </c>
      <c r="C31" s="18" t="n">
        <v>1300</v>
      </c>
      <c r="D31" s="18" t="n">
        <v>0</v>
      </c>
      <c r="E31" s="18" t="n">
        <v>0</v>
      </c>
      <c r="F31" s="18" t="n">
        <v>0</v>
      </c>
      <c r="G31" s="18" t="n">
        <v>0</v>
      </c>
      <c r="H31" s="18" t="n">
        <v>0</v>
      </c>
      <c r="I31" s="18" t="n">
        <v>0</v>
      </c>
    </row>
    <row r="32">
      <c r="A32" s="18" t="n">
        <v>161000</v>
      </c>
      <c r="B32" s="18" t="n">
        <v>2980</v>
      </c>
      <c r="C32" s="18" t="n">
        <v>1370</v>
      </c>
      <c r="D32" s="18" t="n">
        <v>0</v>
      </c>
      <c r="E32" s="18" t="n">
        <v>0</v>
      </c>
      <c r="F32" s="18" t="n">
        <v>0</v>
      </c>
      <c r="G32" s="18" t="n">
        <v>0</v>
      </c>
      <c r="H32" s="18" t="n">
        <v>0</v>
      </c>
      <c r="I32" s="18" t="n">
        <v>0</v>
      </c>
    </row>
    <row r="33">
      <c r="A33" s="18" t="n">
        <v>163000</v>
      </c>
      <c r="B33" s="18" t="n">
        <v>3050</v>
      </c>
      <c r="C33" s="18" t="n">
        <v>1440</v>
      </c>
      <c r="D33" s="18" t="n">
        <v>0</v>
      </c>
      <c r="E33" s="18" t="n">
        <v>0</v>
      </c>
      <c r="F33" s="18" t="n">
        <v>0</v>
      </c>
      <c r="G33" s="18" t="n">
        <v>0</v>
      </c>
      <c r="H33" s="18" t="n">
        <v>0</v>
      </c>
      <c r="I33" s="18" t="n">
        <v>0</v>
      </c>
    </row>
    <row r="34">
      <c r="A34" s="18" t="n">
        <v>165000</v>
      </c>
      <c r="B34" s="18" t="n">
        <v>3120</v>
      </c>
      <c r="C34" s="18" t="n">
        <v>1510</v>
      </c>
      <c r="D34" s="18" t="n">
        <v>0</v>
      </c>
      <c r="E34" s="18" t="n">
        <v>0</v>
      </c>
      <c r="F34" s="18" t="n">
        <v>0</v>
      </c>
      <c r="G34" s="18" t="n">
        <v>0</v>
      </c>
      <c r="H34" s="18" t="n">
        <v>0</v>
      </c>
      <c r="I34" s="18" t="n">
        <v>0</v>
      </c>
    </row>
    <row r="35">
      <c r="A35" s="18" t="n">
        <v>167000</v>
      </c>
      <c r="B35" s="18" t="n">
        <v>3200</v>
      </c>
      <c r="C35" s="18" t="n">
        <v>1580</v>
      </c>
      <c r="D35" s="18" t="n">
        <v>0</v>
      </c>
      <c r="E35" s="18" t="n">
        <v>0</v>
      </c>
      <c r="F35" s="18" t="n">
        <v>0</v>
      </c>
      <c r="G35" s="18" t="n">
        <v>0</v>
      </c>
      <c r="H35" s="18" t="n">
        <v>0</v>
      </c>
      <c r="I35" s="18" t="n">
        <v>0</v>
      </c>
    </row>
    <row r="36">
      <c r="A36" s="18" t="n">
        <v>169000</v>
      </c>
      <c r="B36" s="18" t="n">
        <v>3270</v>
      </c>
      <c r="C36" s="18" t="n">
        <v>1650</v>
      </c>
      <c r="D36" s="18" t="n">
        <v>0</v>
      </c>
      <c r="E36" s="18" t="n">
        <v>0</v>
      </c>
      <c r="F36" s="18" t="n">
        <v>0</v>
      </c>
      <c r="G36" s="18" t="n">
        <v>0</v>
      </c>
      <c r="H36" s="18" t="n">
        <v>0</v>
      </c>
      <c r="I36" s="18" t="n">
        <v>0</v>
      </c>
    </row>
    <row r="37">
      <c r="A37" s="18" t="n">
        <v>171000</v>
      </c>
      <c r="B37" s="18" t="n">
        <v>3340</v>
      </c>
      <c r="C37" s="18" t="n">
        <v>1730</v>
      </c>
      <c r="D37" s="18" t="n">
        <v>100</v>
      </c>
      <c r="E37" s="18" t="n">
        <v>0</v>
      </c>
      <c r="F37" s="18" t="n">
        <v>0</v>
      </c>
      <c r="G37" s="18" t="n">
        <v>0</v>
      </c>
      <c r="H37" s="18" t="n">
        <v>0</v>
      </c>
      <c r="I37" s="18" t="n">
        <v>0</v>
      </c>
    </row>
    <row r="38">
      <c r="A38" s="18" t="n">
        <v>173000</v>
      </c>
      <c r="B38" s="18" t="n">
        <v>3410</v>
      </c>
      <c r="C38" s="18" t="n">
        <v>1800</v>
      </c>
      <c r="D38" s="18" t="n">
        <v>170</v>
      </c>
      <c r="E38" s="18" t="n">
        <v>0</v>
      </c>
      <c r="F38" s="18" t="n">
        <v>0</v>
      </c>
      <c r="G38" s="18" t="n">
        <v>0</v>
      </c>
      <c r="H38" s="18" t="n">
        <v>0</v>
      </c>
      <c r="I38" s="18" t="n">
        <v>0</v>
      </c>
    </row>
    <row r="39">
      <c r="A39" s="18" t="n">
        <v>175000</v>
      </c>
      <c r="B39" s="18" t="n">
        <v>3480</v>
      </c>
      <c r="C39" s="18" t="n">
        <v>1870</v>
      </c>
      <c r="D39" s="18" t="n">
        <v>250</v>
      </c>
      <c r="E39" s="18" t="n">
        <v>0</v>
      </c>
      <c r="F39" s="18" t="n">
        <v>0</v>
      </c>
      <c r="G39" s="18" t="n">
        <v>0</v>
      </c>
      <c r="H39" s="18" t="n">
        <v>0</v>
      </c>
      <c r="I39" s="18" t="n">
        <v>0</v>
      </c>
    </row>
    <row r="40">
      <c r="A40" s="18" t="n">
        <v>177000</v>
      </c>
      <c r="B40" s="18" t="n">
        <v>3550</v>
      </c>
      <c r="C40" s="18" t="n">
        <v>1940</v>
      </c>
      <c r="D40" s="18" t="n">
        <v>320</v>
      </c>
      <c r="E40" s="18" t="n">
        <v>0</v>
      </c>
      <c r="F40" s="18" t="n">
        <v>0</v>
      </c>
      <c r="G40" s="18" t="n">
        <v>0</v>
      </c>
      <c r="H40" s="18" t="n">
        <v>0</v>
      </c>
      <c r="I40" s="18" t="n">
        <v>0</v>
      </c>
    </row>
    <row r="41">
      <c r="A41" s="18" t="n">
        <v>179000</v>
      </c>
      <c r="B41" s="18" t="n">
        <v>3620</v>
      </c>
      <c r="C41" s="18" t="n">
        <v>2010</v>
      </c>
      <c r="D41" s="18" t="n">
        <v>390</v>
      </c>
      <c r="E41" s="18" t="n">
        <v>0</v>
      </c>
      <c r="F41" s="18" t="n">
        <v>0</v>
      </c>
      <c r="G41" s="18" t="n">
        <v>0</v>
      </c>
      <c r="H41" s="18" t="n">
        <v>0</v>
      </c>
      <c r="I41" s="18" t="n">
        <v>0</v>
      </c>
    </row>
    <row r="42">
      <c r="A42" s="18" t="n">
        <v>181000</v>
      </c>
      <c r="B42" s="18" t="n">
        <v>3700</v>
      </c>
      <c r="C42" s="18" t="n">
        <v>2080</v>
      </c>
      <c r="D42" s="18" t="n">
        <v>460</v>
      </c>
      <c r="E42" s="18" t="n">
        <v>0</v>
      </c>
      <c r="F42" s="18" t="n">
        <v>0</v>
      </c>
      <c r="G42" s="18" t="n">
        <v>0</v>
      </c>
      <c r="H42" s="18" t="n">
        <v>0</v>
      </c>
      <c r="I42" s="18" t="n">
        <v>0</v>
      </c>
    </row>
    <row r="43">
      <c r="A43" s="18" t="n">
        <v>183000</v>
      </c>
      <c r="B43" s="18" t="n">
        <v>3770</v>
      </c>
      <c r="C43" s="18" t="n">
        <v>2150</v>
      </c>
      <c r="D43" s="18" t="n">
        <v>530</v>
      </c>
      <c r="E43" s="18" t="n">
        <v>0</v>
      </c>
      <c r="F43" s="18" t="n">
        <v>0</v>
      </c>
      <c r="G43" s="18" t="n">
        <v>0</v>
      </c>
      <c r="H43" s="18" t="n">
        <v>0</v>
      </c>
      <c r="I43" s="18" t="n">
        <v>0</v>
      </c>
    </row>
    <row r="44">
      <c r="A44" s="18" t="n">
        <v>185000</v>
      </c>
      <c r="B44" s="18" t="n">
        <v>3840</v>
      </c>
      <c r="C44" s="18" t="n">
        <v>2230</v>
      </c>
      <c r="D44" s="18" t="n">
        <v>600</v>
      </c>
      <c r="E44" s="18" t="n">
        <v>0</v>
      </c>
      <c r="F44" s="18" t="n">
        <v>0</v>
      </c>
      <c r="G44" s="18" t="n">
        <v>0</v>
      </c>
      <c r="H44" s="18" t="n">
        <v>0</v>
      </c>
      <c r="I44" s="18" t="n">
        <v>0</v>
      </c>
    </row>
    <row r="45">
      <c r="A45" s="18" t="n">
        <v>187000</v>
      </c>
      <c r="B45" s="18" t="n">
        <v>3910</v>
      </c>
      <c r="C45" s="18" t="n">
        <v>2300</v>
      </c>
      <c r="D45" s="18" t="n">
        <v>670</v>
      </c>
      <c r="E45" s="18" t="n">
        <v>0</v>
      </c>
      <c r="F45" s="18" t="n">
        <v>0</v>
      </c>
      <c r="G45" s="18" t="n">
        <v>0</v>
      </c>
      <c r="H45" s="18" t="n">
        <v>0</v>
      </c>
      <c r="I45" s="18" t="n">
        <v>0</v>
      </c>
    </row>
    <row r="46">
      <c r="A46" s="18" t="n">
        <v>189000</v>
      </c>
      <c r="B46" s="18" t="n">
        <v>3980</v>
      </c>
      <c r="C46" s="18" t="n">
        <v>2370</v>
      </c>
      <c r="D46" s="18" t="n">
        <v>750</v>
      </c>
      <c r="E46" s="18" t="n">
        <v>0</v>
      </c>
      <c r="F46" s="18" t="n">
        <v>0</v>
      </c>
      <c r="G46" s="18" t="n">
        <v>0</v>
      </c>
      <c r="H46" s="18" t="n">
        <v>0</v>
      </c>
      <c r="I46" s="18" t="n">
        <v>0</v>
      </c>
    </row>
    <row r="47">
      <c r="A47" s="18" t="n">
        <v>191000</v>
      </c>
      <c r="B47" s="18" t="n">
        <v>4050</v>
      </c>
      <c r="C47" s="18" t="n">
        <v>2440</v>
      </c>
      <c r="D47" s="18" t="n">
        <v>820</v>
      </c>
      <c r="E47" s="18" t="n">
        <v>0</v>
      </c>
      <c r="F47" s="18" t="n">
        <v>0</v>
      </c>
      <c r="G47" s="18" t="n">
        <v>0</v>
      </c>
      <c r="H47" s="18" t="n">
        <v>0</v>
      </c>
      <c r="I47" s="18" t="n">
        <v>0</v>
      </c>
    </row>
    <row r="48">
      <c r="A48" s="18" t="n">
        <v>193000</v>
      </c>
      <c r="B48" s="18" t="n">
        <v>4120</v>
      </c>
      <c r="C48" s="18" t="n">
        <v>2510</v>
      </c>
      <c r="D48" s="18" t="n">
        <v>890</v>
      </c>
      <c r="E48" s="18" t="n">
        <v>0</v>
      </c>
      <c r="F48" s="18" t="n">
        <v>0</v>
      </c>
      <c r="G48" s="18" t="n">
        <v>0</v>
      </c>
      <c r="H48" s="18" t="n">
        <v>0</v>
      </c>
      <c r="I48" s="18" t="n">
        <v>0</v>
      </c>
    </row>
    <row r="49">
      <c r="A49" s="18" t="n">
        <v>195000</v>
      </c>
      <c r="B49" s="18" t="n">
        <v>4200</v>
      </c>
      <c r="C49" s="18" t="n">
        <v>2580</v>
      </c>
      <c r="D49" s="18" t="n">
        <v>960</v>
      </c>
      <c r="E49" s="18" t="n">
        <v>0</v>
      </c>
      <c r="F49" s="18" t="n">
        <v>0</v>
      </c>
      <c r="G49" s="18" t="n">
        <v>0</v>
      </c>
      <c r="H49" s="18" t="n">
        <v>0</v>
      </c>
      <c r="I49" s="18" t="n">
        <v>0</v>
      </c>
    </row>
    <row r="50">
      <c r="A50" s="18" t="n">
        <v>197000</v>
      </c>
      <c r="B50" s="18" t="n">
        <v>4270</v>
      </c>
      <c r="C50" s="18" t="n">
        <v>2650</v>
      </c>
      <c r="D50" s="18" t="n">
        <v>1030</v>
      </c>
      <c r="E50" s="18" t="n">
        <v>0</v>
      </c>
      <c r="F50" s="18" t="n">
        <v>0</v>
      </c>
      <c r="G50" s="18" t="n">
        <v>0</v>
      </c>
      <c r="H50" s="18" t="n">
        <v>0</v>
      </c>
      <c r="I50" s="18" t="n">
        <v>0</v>
      </c>
    </row>
    <row r="51">
      <c r="A51" s="18" t="n">
        <v>199000</v>
      </c>
      <c r="B51" s="18" t="n">
        <v>4340</v>
      </c>
      <c r="C51" s="18" t="n">
        <v>2730</v>
      </c>
      <c r="D51" s="18" t="n">
        <v>1100</v>
      </c>
      <c r="E51" s="18" t="n">
        <v>0</v>
      </c>
      <c r="F51" s="18" t="n">
        <v>0</v>
      </c>
      <c r="G51" s="18" t="n">
        <v>0</v>
      </c>
      <c r="H51" s="18" t="n">
        <v>0</v>
      </c>
      <c r="I51" s="18" t="n">
        <v>0</v>
      </c>
    </row>
    <row r="52">
      <c r="A52" s="18" t="n">
        <v>201000</v>
      </c>
      <c r="B52" s="18" t="n">
        <v>4410</v>
      </c>
      <c r="C52" s="18" t="n">
        <v>2800</v>
      </c>
      <c r="D52" s="18" t="n">
        <v>1170</v>
      </c>
      <c r="E52" s="18" t="n">
        <v>0</v>
      </c>
      <c r="F52" s="18" t="n">
        <v>0</v>
      </c>
      <c r="G52" s="18" t="n">
        <v>0</v>
      </c>
      <c r="H52" s="18" t="n">
        <v>0</v>
      </c>
      <c r="I52" s="18" t="n">
        <v>0</v>
      </c>
    </row>
    <row r="53">
      <c r="A53" s="18" t="n">
        <v>203000</v>
      </c>
      <c r="B53" s="18" t="n">
        <v>4480</v>
      </c>
      <c r="C53" s="18" t="n">
        <v>2870</v>
      </c>
      <c r="D53" s="18" t="n">
        <v>1250</v>
      </c>
      <c r="E53" s="18" t="n">
        <v>0</v>
      </c>
      <c r="F53" s="18" t="n">
        <v>0</v>
      </c>
      <c r="G53" s="18" t="n">
        <v>0</v>
      </c>
      <c r="H53" s="18" t="n">
        <v>0</v>
      </c>
      <c r="I53" s="18" t="n">
        <v>0</v>
      </c>
    </row>
    <row r="54">
      <c r="A54" s="18" t="n">
        <v>205000</v>
      </c>
      <c r="B54" s="18" t="n">
        <v>4550</v>
      </c>
      <c r="C54" s="18" t="n">
        <v>2940</v>
      </c>
      <c r="D54" s="18" t="n">
        <v>1320</v>
      </c>
      <c r="E54" s="18" t="n">
        <v>0</v>
      </c>
      <c r="F54" s="18" t="n">
        <v>0</v>
      </c>
      <c r="G54" s="18" t="n">
        <v>0</v>
      </c>
      <c r="H54" s="18" t="n">
        <v>0</v>
      </c>
      <c r="I54" s="18" t="n">
        <v>0</v>
      </c>
    </row>
    <row r="55">
      <c r="A55" s="18" t="n">
        <v>207000</v>
      </c>
      <c r="B55" s="18" t="n">
        <v>4630</v>
      </c>
      <c r="C55" s="18" t="n">
        <v>3010</v>
      </c>
      <c r="D55" s="18" t="n">
        <v>1390</v>
      </c>
      <c r="E55" s="18" t="n">
        <v>0</v>
      </c>
      <c r="F55" s="18" t="n">
        <v>0</v>
      </c>
      <c r="G55" s="18" t="n">
        <v>0</v>
      </c>
      <c r="H55" s="18" t="n">
        <v>0</v>
      </c>
      <c r="I55" s="18" t="n">
        <v>0</v>
      </c>
    </row>
    <row r="56">
      <c r="A56" s="18" t="n">
        <v>209000</v>
      </c>
      <c r="B56" s="18" t="n">
        <v>4700</v>
      </c>
      <c r="C56" s="18" t="n">
        <v>3080</v>
      </c>
      <c r="D56" s="18" t="n">
        <v>1460</v>
      </c>
      <c r="E56" s="18" t="n">
        <v>0</v>
      </c>
      <c r="F56" s="18" t="n">
        <v>0</v>
      </c>
      <c r="G56" s="18" t="n">
        <v>0</v>
      </c>
      <c r="H56" s="18" t="n">
        <v>0</v>
      </c>
      <c r="I56" s="18" t="n">
        <v>0</v>
      </c>
    </row>
    <row r="57">
      <c r="A57" s="18" t="n">
        <v>211000</v>
      </c>
      <c r="B57" s="18" t="n">
        <v>4770</v>
      </c>
      <c r="C57" s="18" t="n">
        <v>3150</v>
      </c>
      <c r="D57" s="18" t="n">
        <v>1530</v>
      </c>
      <c r="E57" s="18" t="n">
        <v>0</v>
      </c>
      <c r="F57" s="18" t="n">
        <v>0</v>
      </c>
      <c r="G57" s="18" t="n">
        <v>0</v>
      </c>
      <c r="H57" s="18" t="n">
        <v>0</v>
      </c>
      <c r="I57" s="18" t="n">
        <v>0</v>
      </c>
    </row>
    <row r="58">
      <c r="A58" s="18" t="n">
        <v>213000</v>
      </c>
      <c r="B58" s="18" t="n">
        <v>4840</v>
      </c>
      <c r="C58" s="18" t="n">
        <v>3230</v>
      </c>
      <c r="D58" s="18" t="n">
        <v>1600</v>
      </c>
      <c r="E58" s="18" t="n">
        <v>0</v>
      </c>
      <c r="F58" s="18" t="n">
        <v>0</v>
      </c>
      <c r="G58" s="18" t="n">
        <v>0</v>
      </c>
      <c r="H58" s="18" t="n">
        <v>0</v>
      </c>
      <c r="I58" s="18" t="n">
        <v>0</v>
      </c>
    </row>
    <row r="59">
      <c r="A59" s="18" t="n">
        <v>215000</v>
      </c>
      <c r="B59" s="18" t="n">
        <v>4910</v>
      </c>
      <c r="C59" s="18" t="n">
        <v>3300</v>
      </c>
      <c r="D59" s="18" t="n">
        <v>1670</v>
      </c>
      <c r="E59" s="18" t="n">
        <v>0</v>
      </c>
      <c r="F59" s="18" t="n">
        <v>0</v>
      </c>
      <c r="G59" s="18" t="n">
        <v>0</v>
      </c>
      <c r="H59" s="18" t="n">
        <v>0</v>
      </c>
      <c r="I59" s="18" t="n">
        <v>0</v>
      </c>
    </row>
    <row r="60">
      <c r="A60" s="18" t="n">
        <v>217000</v>
      </c>
      <c r="B60" s="18" t="n">
        <v>4980</v>
      </c>
      <c r="C60" s="18" t="n">
        <v>3370</v>
      </c>
      <c r="D60" s="18" t="n">
        <v>1750</v>
      </c>
      <c r="E60" s="18" t="n">
        <v>130</v>
      </c>
      <c r="F60" s="18" t="n">
        <v>0</v>
      </c>
      <c r="G60" s="18" t="n">
        <v>0</v>
      </c>
      <c r="H60" s="18" t="n">
        <v>0</v>
      </c>
      <c r="I60" s="18" t="n">
        <v>0</v>
      </c>
    </row>
    <row r="61">
      <c r="A61" s="18" t="n">
        <v>219000</v>
      </c>
      <c r="B61" s="18" t="n">
        <v>5050</v>
      </c>
      <c r="C61" s="18" t="n">
        <v>3440</v>
      </c>
      <c r="D61" s="18" t="n">
        <v>1820</v>
      </c>
      <c r="E61" s="18" t="n">
        <v>200</v>
      </c>
      <c r="F61" s="18" t="n">
        <v>0</v>
      </c>
      <c r="G61" s="18" t="n">
        <v>0</v>
      </c>
      <c r="H61" s="18" t="n">
        <v>0</v>
      </c>
      <c r="I61" s="18" t="n">
        <v>0</v>
      </c>
    </row>
    <row r="62">
      <c r="A62" s="18" t="n">
        <v>221000</v>
      </c>
      <c r="B62" s="18" t="n">
        <v>5150</v>
      </c>
      <c r="C62" s="18" t="n">
        <v>3520</v>
      </c>
      <c r="D62" s="18" t="n">
        <v>1910</v>
      </c>
      <c r="E62" s="18" t="n">
        <v>300</v>
      </c>
      <c r="F62" s="18" t="n">
        <v>0</v>
      </c>
      <c r="G62" s="18" t="n">
        <v>0</v>
      </c>
      <c r="H62" s="18" t="n">
        <v>0</v>
      </c>
      <c r="I62" s="18" t="n">
        <v>0</v>
      </c>
    </row>
    <row r="63">
      <c r="A63" s="18" t="n">
        <v>224000</v>
      </c>
      <c r="B63" s="18" t="n">
        <v>5250</v>
      </c>
      <c r="C63" s="18" t="n">
        <v>3630</v>
      </c>
      <c r="D63" s="18" t="n">
        <v>2020</v>
      </c>
      <c r="E63" s="18" t="n">
        <v>400</v>
      </c>
      <c r="F63" s="18" t="n">
        <v>0</v>
      </c>
      <c r="G63" s="18" t="n">
        <v>0</v>
      </c>
      <c r="H63" s="18" t="n">
        <v>0</v>
      </c>
      <c r="I63" s="18" t="n">
        <v>0</v>
      </c>
    </row>
    <row r="64">
      <c r="A64" s="18" t="n">
        <v>227000</v>
      </c>
      <c r="B64" s="18" t="n">
        <v>5360</v>
      </c>
      <c r="C64" s="18" t="n">
        <v>3740</v>
      </c>
      <c r="D64" s="18" t="n">
        <v>2120</v>
      </c>
      <c r="E64" s="18" t="n">
        <v>510</v>
      </c>
      <c r="F64" s="18" t="n">
        <v>0</v>
      </c>
      <c r="G64" s="18" t="n">
        <v>0</v>
      </c>
      <c r="H64" s="18" t="n">
        <v>0</v>
      </c>
      <c r="I64" s="18" t="n">
        <v>0</v>
      </c>
    </row>
    <row r="65">
      <c r="A65" s="18" t="n">
        <v>230000</v>
      </c>
      <c r="B65" s="18" t="n">
        <v>5460</v>
      </c>
      <c r="C65" s="18" t="n">
        <v>3850</v>
      </c>
      <c r="D65" s="18" t="n">
        <v>2240</v>
      </c>
      <c r="E65" s="18" t="n">
        <v>610</v>
      </c>
      <c r="F65" s="18" t="n">
        <v>0</v>
      </c>
      <c r="G65" s="18" t="n">
        <v>0</v>
      </c>
      <c r="H65" s="18" t="n">
        <v>0</v>
      </c>
      <c r="I65" s="18" t="n">
        <v>0</v>
      </c>
    </row>
    <row r="66">
      <c r="A66" s="18" t="n">
        <v>233000</v>
      </c>
      <c r="B66" s="18" t="n">
        <v>5570</v>
      </c>
      <c r="C66" s="18" t="n">
        <v>3950</v>
      </c>
      <c r="D66" s="18" t="n">
        <v>2340</v>
      </c>
      <c r="E66" s="18" t="n">
        <v>720</v>
      </c>
      <c r="F66" s="18" t="n">
        <v>0</v>
      </c>
      <c r="G66" s="18" t="n">
        <v>0</v>
      </c>
      <c r="H66" s="18" t="n">
        <v>0</v>
      </c>
      <c r="I66" s="18" t="n">
        <v>0</v>
      </c>
    </row>
    <row r="67">
      <c r="A67" s="18" t="n">
        <v>236000</v>
      </c>
      <c r="B67" s="18" t="n">
        <v>5680</v>
      </c>
      <c r="C67" s="18" t="n">
        <v>4060</v>
      </c>
      <c r="D67" s="18" t="n">
        <v>2450</v>
      </c>
      <c r="E67" s="18" t="n">
        <v>830</v>
      </c>
      <c r="F67" s="18" t="n">
        <v>0</v>
      </c>
      <c r="G67" s="18" t="n">
        <v>0</v>
      </c>
      <c r="H67" s="18" t="n">
        <v>0</v>
      </c>
      <c r="I67" s="18" t="n">
        <v>0</v>
      </c>
    </row>
    <row r="68">
      <c r="A68" s="18" t="n">
        <v>239000</v>
      </c>
      <c r="B68" s="18" t="n">
        <v>5790</v>
      </c>
      <c r="C68" s="18" t="n">
        <v>4170</v>
      </c>
      <c r="D68" s="18" t="n">
        <v>2550</v>
      </c>
      <c r="E68" s="18" t="n">
        <v>940</v>
      </c>
      <c r="F68" s="18" t="n">
        <v>0</v>
      </c>
      <c r="G68" s="18" t="n">
        <v>0</v>
      </c>
      <c r="H68" s="18" t="n">
        <v>0</v>
      </c>
      <c r="I68" s="18" t="n">
        <v>0</v>
      </c>
    </row>
    <row r="69">
      <c r="A69" s="18" t="n">
        <v>242000</v>
      </c>
      <c r="B69" s="18" t="n">
        <v>5890</v>
      </c>
      <c r="C69" s="18" t="n">
        <v>4280</v>
      </c>
      <c r="D69" s="18" t="n">
        <v>2660</v>
      </c>
      <c r="E69" s="18" t="n">
        <v>1040</v>
      </c>
      <c r="F69" s="18" t="n">
        <v>0</v>
      </c>
      <c r="G69" s="18" t="n">
        <v>0</v>
      </c>
      <c r="H69" s="18" t="n">
        <v>0</v>
      </c>
      <c r="I69" s="18" t="n">
        <v>0</v>
      </c>
    </row>
    <row r="70">
      <c r="A70" s="18" t="n">
        <v>245000</v>
      </c>
      <c r="B70" s="18" t="n">
        <v>6000</v>
      </c>
      <c r="C70" s="18" t="n">
        <v>4380</v>
      </c>
      <c r="D70" s="18" t="n">
        <v>2770</v>
      </c>
      <c r="E70" s="18" t="n">
        <v>1150</v>
      </c>
      <c r="F70" s="18" t="n">
        <v>0</v>
      </c>
      <c r="G70" s="18" t="n">
        <v>0</v>
      </c>
      <c r="H70" s="18" t="n">
        <v>0</v>
      </c>
      <c r="I70" s="18" t="n">
        <v>0</v>
      </c>
    </row>
    <row r="71">
      <c r="A71" s="18" t="n">
        <v>248000</v>
      </c>
      <c r="B71" s="18" t="n">
        <v>6110</v>
      </c>
      <c r="C71" s="18" t="n">
        <v>4490</v>
      </c>
      <c r="D71" s="18" t="n">
        <v>2880</v>
      </c>
      <c r="E71" s="18" t="n">
        <v>1260</v>
      </c>
      <c r="F71" s="18" t="n">
        <v>0</v>
      </c>
      <c r="G71" s="18" t="n">
        <v>0</v>
      </c>
      <c r="H71" s="18" t="n">
        <v>0</v>
      </c>
      <c r="I71" s="18" t="n">
        <v>0</v>
      </c>
    </row>
    <row r="72">
      <c r="A72" s="18" t="n">
        <v>251000</v>
      </c>
      <c r="B72" s="18" t="n">
        <v>6220</v>
      </c>
      <c r="C72" s="18" t="n">
        <v>4590</v>
      </c>
      <c r="D72" s="18" t="n">
        <v>2980</v>
      </c>
      <c r="E72" s="18" t="n">
        <v>1370</v>
      </c>
      <c r="F72" s="18" t="n">
        <v>0</v>
      </c>
      <c r="G72" s="18" t="n">
        <v>0</v>
      </c>
      <c r="H72" s="18" t="n">
        <v>0</v>
      </c>
      <c r="I72" s="18" t="n">
        <v>0</v>
      </c>
    </row>
    <row r="73">
      <c r="A73" s="18" t="n">
        <v>254000</v>
      </c>
      <c r="B73" s="18" t="n">
        <v>6320</v>
      </c>
      <c r="C73" s="18" t="n">
        <v>4710</v>
      </c>
      <c r="D73" s="18" t="n">
        <v>3090</v>
      </c>
      <c r="E73" s="18" t="n">
        <v>1470</v>
      </c>
      <c r="F73" s="18" t="n">
        <v>0</v>
      </c>
      <c r="G73" s="18" t="n">
        <v>0</v>
      </c>
      <c r="H73" s="18" t="n">
        <v>0</v>
      </c>
      <c r="I73" s="18" t="n">
        <v>0</v>
      </c>
    </row>
    <row r="74">
      <c r="A74" s="18" t="n">
        <v>257000</v>
      </c>
      <c r="B74" s="18" t="n">
        <v>6430</v>
      </c>
      <c r="C74" s="18" t="n">
        <v>4810</v>
      </c>
      <c r="D74" s="18" t="n">
        <v>3200</v>
      </c>
      <c r="E74" s="18" t="n">
        <v>1580</v>
      </c>
      <c r="F74" s="18" t="n">
        <v>0</v>
      </c>
      <c r="G74" s="18" t="n">
        <v>0</v>
      </c>
      <c r="H74" s="18" t="n">
        <v>0</v>
      </c>
      <c r="I74" s="18" t="n">
        <v>0</v>
      </c>
    </row>
    <row r="75">
      <c r="A75" s="18" t="n">
        <v>260000</v>
      </c>
      <c r="B75" s="18" t="n">
        <v>6530</v>
      </c>
      <c r="C75" s="18" t="n">
        <v>4920</v>
      </c>
      <c r="D75" s="18" t="n">
        <v>3310</v>
      </c>
      <c r="E75" s="18" t="n">
        <v>1680</v>
      </c>
      <c r="F75" s="18" t="n">
        <v>0</v>
      </c>
      <c r="G75" s="18" t="n">
        <v>0</v>
      </c>
      <c r="H75" s="18" t="n">
        <v>0</v>
      </c>
      <c r="I75" s="18" t="n">
        <v>0</v>
      </c>
    </row>
    <row r="76">
      <c r="A76" s="18" t="n">
        <v>263000</v>
      </c>
      <c r="B76" s="18" t="n">
        <v>6650</v>
      </c>
      <c r="C76" s="18" t="n">
        <v>5020</v>
      </c>
      <c r="D76" s="18" t="n">
        <v>3410</v>
      </c>
      <c r="E76" s="18" t="n">
        <v>1800</v>
      </c>
      <c r="F76" s="18" t="n">
        <v>170</v>
      </c>
      <c r="G76" s="18" t="n">
        <v>0</v>
      </c>
      <c r="H76" s="18" t="n">
        <v>0</v>
      </c>
      <c r="I76" s="18" t="n">
        <v>0</v>
      </c>
    </row>
    <row r="77">
      <c r="A77" s="18" t="n">
        <v>266000</v>
      </c>
      <c r="B77" s="18" t="n">
        <v>6750</v>
      </c>
      <c r="C77" s="18" t="n">
        <v>5140</v>
      </c>
      <c r="D77" s="18" t="n">
        <v>3520</v>
      </c>
      <c r="E77" s="18" t="n">
        <v>1900</v>
      </c>
      <c r="F77" s="18" t="n">
        <v>290</v>
      </c>
      <c r="G77" s="18" t="n">
        <v>0</v>
      </c>
      <c r="H77" s="18" t="n">
        <v>0</v>
      </c>
      <c r="I77" s="18" t="n">
        <v>0</v>
      </c>
    </row>
    <row r="78">
      <c r="A78" s="18" t="n">
        <v>269000</v>
      </c>
      <c r="B78" s="18" t="n">
        <v>6860</v>
      </c>
      <c r="C78" s="18" t="n">
        <v>5240</v>
      </c>
      <c r="D78" s="18" t="n">
        <v>3620</v>
      </c>
      <c r="E78" s="18" t="n">
        <v>2010</v>
      </c>
      <c r="F78" s="18" t="n">
        <v>390</v>
      </c>
      <c r="G78" s="18" t="n">
        <v>0</v>
      </c>
      <c r="H78" s="18" t="n">
        <v>0</v>
      </c>
      <c r="I78" s="18" t="n">
        <v>0</v>
      </c>
    </row>
    <row r="79">
      <c r="A79" s="18" t="n">
        <v>272000</v>
      </c>
      <c r="B79" s="18" t="n">
        <v>6960</v>
      </c>
      <c r="C79" s="18" t="n">
        <v>5350</v>
      </c>
      <c r="D79" s="18" t="n">
        <v>3740</v>
      </c>
      <c r="E79" s="18" t="n">
        <v>2110</v>
      </c>
      <c r="F79" s="18" t="n">
        <v>500</v>
      </c>
      <c r="G79" s="18" t="n">
        <v>0</v>
      </c>
      <c r="H79" s="18" t="n">
        <v>0</v>
      </c>
      <c r="I79" s="18" t="n">
        <v>0</v>
      </c>
    </row>
    <row r="80">
      <c r="A80" s="18" t="n">
        <v>275000</v>
      </c>
      <c r="B80" s="18" t="n">
        <v>7080</v>
      </c>
      <c r="C80" s="18" t="n">
        <v>5450</v>
      </c>
      <c r="D80" s="18" t="n">
        <v>3840</v>
      </c>
      <c r="E80" s="18" t="n">
        <v>2230</v>
      </c>
      <c r="F80" s="18" t="n">
        <v>600</v>
      </c>
      <c r="G80" s="18" t="n">
        <v>0</v>
      </c>
      <c r="H80" s="18" t="n">
        <v>0</v>
      </c>
      <c r="I80" s="18" t="n">
        <v>0</v>
      </c>
    </row>
    <row r="81">
      <c r="A81" s="18" t="n">
        <v>278000</v>
      </c>
      <c r="B81" s="18" t="n">
        <v>7180</v>
      </c>
      <c r="C81" s="18" t="n">
        <v>5560</v>
      </c>
      <c r="D81" s="18" t="n">
        <v>3950</v>
      </c>
      <c r="E81" s="18" t="n">
        <v>2330</v>
      </c>
      <c r="F81" s="18" t="n">
        <v>710</v>
      </c>
      <c r="G81" s="18" t="n">
        <v>0</v>
      </c>
      <c r="H81" s="18" t="n">
        <v>0</v>
      </c>
      <c r="I81" s="18" t="n">
        <v>0</v>
      </c>
    </row>
    <row r="82">
      <c r="A82" s="18" t="n">
        <v>281000</v>
      </c>
      <c r="B82" s="18" t="n">
        <v>7290</v>
      </c>
      <c r="C82" s="18" t="n">
        <v>5670</v>
      </c>
      <c r="D82" s="18" t="n">
        <v>4050</v>
      </c>
      <c r="E82" s="18" t="n">
        <v>2440</v>
      </c>
      <c r="F82" s="18" t="n">
        <v>820</v>
      </c>
      <c r="G82" s="18" t="n">
        <v>0</v>
      </c>
      <c r="H82" s="18" t="n">
        <v>0</v>
      </c>
      <c r="I82" s="18" t="n">
        <v>0</v>
      </c>
    </row>
    <row r="83">
      <c r="A83" s="18" t="n">
        <v>284000</v>
      </c>
      <c r="B83" s="18" t="n">
        <v>7390</v>
      </c>
      <c r="C83" s="18" t="n">
        <v>5780</v>
      </c>
      <c r="D83" s="18" t="n">
        <v>4170</v>
      </c>
      <c r="E83" s="18" t="n">
        <v>2540</v>
      </c>
      <c r="F83" s="18" t="n">
        <v>930</v>
      </c>
      <c r="G83" s="18" t="n">
        <v>0</v>
      </c>
      <c r="H83" s="18" t="n">
        <v>0</v>
      </c>
      <c r="I83" s="18" t="n">
        <v>0</v>
      </c>
    </row>
    <row r="84">
      <c r="A84" s="18" t="n">
        <v>287000</v>
      </c>
      <c r="B84" s="18" t="n">
        <v>7500</v>
      </c>
      <c r="C84" s="18" t="n">
        <v>5880</v>
      </c>
      <c r="D84" s="18" t="n">
        <v>4270</v>
      </c>
      <c r="E84" s="18" t="n">
        <v>2650</v>
      </c>
      <c r="F84" s="18" t="n">
        <v>1030</v>
      </c>
      <c r="G84" s="18" t="n">
        <v>0</v>
      </c>
      <c r="H84" s="18" t="n">
        <v>0</v>
      </c>
      <c r="I84" s="18" t="n">
        <v>0</v>
      </c>
    </row>
    <row r="85">
      <c r="A85" s="18" t="n">
        <v>290000</v>
      </c>
      <c r="B85" s="18" t="n">
        <v>7610</v>
      </c>
      <c r="C85" s="18" t="n">
        <v>5990</v>
      </c>
      <c r="D85" s="18" t="n">
        <v>4380</v>
      </c>
      <c r="E85" s="18" t="n">
        <v>2760</v>
      </c>
      <c r="F85" s="18" t="n">
        <v>1140</v>
      </c>
      <c r="G85" s="18" t="n">
        <v>0</v>
      </c>
      <c r="H85" s="18" t="n">
        <v>0</v>
      </c>
      <c r="I85" s="18" t="n">
        <v>0</v>
      </c>
    </row>
    <row r="86">
      <c r="A86" s="18" t="n">
        <v>293000</v>
      </c>
      <c r="B86" s="18" t="n">
        <v>7720</v>
      </c>
      <c r="C86" s="18" t="n">
        <v>6100</v>
      </c>
      <c r="D86" s="18" t="n">
        <v>4480</v>
      </c>
      <c r="E86" s="18" t="n">
        <v>2870</v>
      </c>
      <c r="F86" s="18" t="n">
        <v>1250</v>
      </c>
      <c r="G86" s="18" t="n">
        <v>0</v>
      </c>
      <c r="H86" s="18" t="n">
        <v>0</v>
      </c>
      <c r="I86" s="18" t="n">
        <v>0</v>
      </c>
    </row>
    <row r="87">
      <c r="A87" s="18" t="n">
        <v>296000</v>
      </c>
      <c r="B87" s="18" t="n">
        <v>7820</v>
      </c>
      <c r="C87" s="18" t="n">
        <v>6210</v>
      </c>
      <c r="D87" s="18" t="n">
        <v>4590</v>
      </c>
      <c r="E87" s="18" t="n">
        <v>2970</v>
      </c>
      <c r="F87" s="18" t="n">
        <v>1360</v>
      </c>
      <c r="G87" s="18" t="n">
        <v>0</v>
      </c>
      <c r="H87" s="18" t="n">
        <v>0</v>
      </c>
      <c r="I87" s="18" t="n">
        <v>0</v>
      </c>
    </row>
    <row r="88">
      <c r="A88" s="18" t="n">
        <v>299000</v>
      </c>
      <c r="B88" s="18" t="n">
        <v>7930</v>
      </c>
      <c r="C88" s="18" t="n">
        <v>6320</v>
      </c>
      <c r="D88" s="18" t="n">
        <v>4700</v>
      </c>
      <c r="E88" s="18" t="n">
        <v>3080</v>
      </c>
      <c r="F88" s="18" t="n">
        <v>1470</v>
      </c>
      <c r="G88" s="18" t="n">
        <v>0</v>
      </c>
      <c r="H88" s="18" t="n">
        <v>0</v>
      </c>
      <c r="I88" s="18" t="n">
        <v>0</v>
      </c>
    </row>
    <row r="89">
      <c r="A89" s="18" t="n">
        <v>302000</v>
      </c>
      <c r="B89" s="18" t="n">
        <v>8060</v>
      </c>
      <c r="C89" s="18" t="n">
        <v>6440</v>
      </c>
      <c r="D89" s="18" t="n">
        <v>4820</v>
      </c>
      <c r="E89" s="18" t="n">
        <v>3210</v>
      </c>
      <c r="F89" s="18" t="n">
        <v>1590</v>
      </c>
      <c r="G89" s="18" t="n">
        <v>0</v>
      </c>
      <c r="H89" s="18" t="n">
        <v>0</v>
      </c>
      <c r="I89" s="18" t="n">
        <v>0</v>
      </c>
    </row>
    <row r="90">
      <c r="A90" s="18" t="n">
        <v>305000</v>
      </c>
      <c r="B90" s="18" t="n">
        <v>8180</v>
      </c>
      <c r="C90" s="18" t="n">
        <v>6570</v>
      </c>
      <c r="D90" s="18" t="n">
        <v>4940</v>
      </c>
      <c r="E90" s="18" t="n">
        <v>3330</v>
      </c>
      <c r="F90" s="18" t="n">
        <v>1720</v>
      </c>
      <c r="G90" s="18" t="n">
        <v>0</v>
      </c>
      <c r="H90" s="18" t="n">
        <v>0</v>
      </c>
      <c r="I90" s="18" t="n">
        <v>0</v>
      </c>
    </row>
    <row r="91">
      <c r="A91" s="18" t="n">
        <v>308000</v>
      </c>
      <c r="B91" s="18" t="n">
        <v>8300</v>
      </c>
      <c r="C91" s="18" t="n">
        <v>6690</v>
      </c>
      <c r="D91" s="18" t="n">
        <v>5060</v>
      </c>
      <c r="E91" s="18" t="n">
        <v>3450</v>
      </c>
      <c r="F91" s="18" t="n">
        <v>1840</v>
      </c>
      <c r="G91" s="18" t="n">
        <v>210</v>
      </c>
      <c r="H91" s="18" t="n">
        <v>0</v>
      </c>
      <c r="I91" s="18" t="n">
        <v>0</v>
      </c>
    </row>
    <row r="92">
      <c r="A92" s="18" t="n">
        <v>311000</v>
      </c>
      <c r="B92" s="18" t="n">
        <v>8550</v>
      </c>
      <c r="C92" s="18" t="n">
        <v>6810</v>
      </c>
      <c r="D92" s="18" t="n">
        <v>5190</v>
      </c>
      <c r="E92" s="18" t="n">
        <v>3570</v>
      </c>
      <c r="F92" s="18" t="n">
        <v>1960</v>
      </c>
      <c r="G92" s="18" t="n">
        <v>340</v>
      </c>
      <c r="H92" s="18" t="n">
        <v>0</v>
      </c>
      <c r="I92" s="18" t="n">
        <v>0</v>
      </c>
    </row>
    <row r="93">
      <c r="A93" s="18" t="n">
        <v>314000</v>
      </c>
      <c r="B93" s="18" t="n">
        <v>8790</v>
      </c>
      <c r="C93" s="18" t="n">
        <v>6930</v>
      </c>
      <c r="D93" s="18" t="n">
        <v>5310</v>
      </c>
      <c r="E93" s="18" t="n">
        <v>3700</v>
      </c>
      <c r="F93" s="18" t="n">
        <v>2080</v>
      </c>
      <c r="G93" s="18" t="n">
        <v>460</v>
      </c>
      <c r="H93" s="18" t="n">
        <v>0</v>
      </c>
      <c r="I93" s="18" t="n">
        <v>0</v>
      </c>
    </row>
    <row r="94">
      <c r="A94" s="18" t="n">
        <v>317000</v>
      </c>
      <c r="B94" s="18" t="n">
        <v>9040</v>
      </c>
      <c r="C94" s="18" t="n">
        <v>7060</v>
      </c>
      <c r="D94" s="18" t="n">
        <v>5430</v>
      </c>
      <c r="E94" s="18" t="n">
        <v>3820</v>
      </c>
      <c r="F94" s="18" t="n">
        <v>2210</v>
      </c>
      <c r="G94" s="18" t="n">
        <v>580</v>
      </c>
      <c r="H94" s="18" t="n">
        <v>0</v>
      </c>
      <c r="I94" s="18" t="n">
        <v>0</v>
      </c>
    </row>
    <row r="95">
      <c r="A95" s="18" t="n">
        <v>320000</v>
      </c>
      <c r="B95" s="18" t="n">
        <v>9280</v>
      </c>
      <c r="C95" s="18" t="n">
        <v>7180</v>
      </c>
      <c r="D95" s="18" t="n">
        <v>5550</v>
      </c>
      <c r="E95" s="18" t="n">
        <v>3940</v>
      </c>
      <c r="F95" s="18" t="n">
        <v>2330</v>
      </c>
      <c r="G95" s="18" t="n">
        <v>700</v>
      </c>
      <c r="H95" s="18" t="n">
        <v>0</v>
      </c>
      <c r="I95" s="18" t="n">
        <v>0</v>
      </c>
    </row>
    <row r="96">
      <c r="A96" s="18" t="n">
        <v>323000</v>
      </c>
      <c r="B96" s="18" t="n">
        <v>9530</v>
      </c>
      <c r="C96" s="18" t="n">
        <v>7300</v>
      </c>
      <c r="D96" s="18" t="n">
        <v>5680</v>
      </c>
      <c r="E96" s="18" t="n">
        <v>4060</v>
      </c>
      <c r="F96" s="18" t="n">
        <v>2450</v>
      </c>
      <c r="G96" s="18" t="n">
        <v>830</v>
      </c>
      <c r="H96" s="18" t="n">
        <v>0</v>
      </c>
      <c r="I96" s="18" t="n">
        <v>0</v>
      </c>
    </row>
    <row r="97">
      <c r="A97" s="18" t="n">
        <v>326000</v>
      </c>
      <c r="B97" s="18" t="n">
        <v>9770</v>
      </c>
      <c r="C97" s="18" t="n">
        <v>7420</v>
      </c>
      <c r="D97" s="18" t="n">
        <v>5800</v>
      </c>
      <c r="E97" s="18" t="n">
        <v>4190</v>
      </c>
      <c r="F97" s="18" t="n">
        <v>2570</v>
      </c>
      <c r="G97" s="18" t="n">
        <v>950</v>
      </c>
      <c r="H97" s="18" t="n">
        <v>0</v>
      </c>
      <c r="I97" s="18" t="n">
        <v>0</v>
      </c>
    </row>
    <row r="98">
      <c r="A98" s="18" t="n">
        <v>329000</v>
      </c>
      <c r="B98" s="18" t="n">
        <v>10020</v>
      </c>
      <c r="C98" s="18" t="n">
        <v>7550</v>
      </c>
      <c r="D98" s="18" t="n">
        <v>5920</v>
      </c>
      <c r="E98" s="18" t="n">
        <v>4310</v>
      </c>
      <c r="F98" s="18" t="n">
        <v>2700</v>
      </c>
      <c r="G98" s="18" t="n">
        <v>1070</v>
      </c>
      <c r="H98" s="18" t="n">
        <v>0</v>
      </c>
      <c r="I98" s="18" t="n">
        <v>0</v>
      </c>
    </row>
    <row r="99">
      <c r="A99" s="18" t="n">
        <v>332000</v>
      </c>
      <c r="B99" s="18" t="n">
        <v>10260</v>
      </c>
      <c r="C99" s="18" t="n">
        <v>7670</v>
      </c>
      <c r="D99" s="18" t="n">
        <v>6040</v>
      </c>
      <c r="E99" s="18" t="n">
        <v>4430</v>
      </c>
      <c r="F99" s="18" t="n">
        <v>2820</v>
      </c>
      <c r="G99" s="18" t="n">
        <v>1190</v>
      </c>
      <c r="H99" s="18" t="n">
        <v>0</v>
      </c>
      <c r="I99" s="18" t="n">
        <v>0</v>
      </c>
    </row>
    <row r="100">
      <c r="A100" s="18" t="n">
        <v>335000</v>
      </c>
      <c r="B100" s="18" t="n">
        <v>10510</v>
      </c>
      <c r="C100" s="18" t="n">
        <v>7790</v>
      </c>
      <c r="D100" s="18" t="n">
        <v>6170</v>
      </c>
      <c r="E100" s="18" t="n">
        <v>4550</v>
      </c>
      <c r="F100" s="18" t="n">
        <v>2940</v>
      </c>
      <c r="G100" s="18" t="n">
        <v>1320</v>
      </c>
      <c r="H100" s="18" t="n">
        <v>0</v>
      </c>
      <c r="I100" s="18" t="n">
        <v>0</v>
      </c>
    </row>
    <row r="101">
      <c r="A101" s="18" t="n">
        <v>338000</v>
      </c>
      <c r="B101" s="18" t="n">
        <v>10750</v>
      </c>
      <c r="C101" s="18" t="n">
        <v>7910</v>
      </c>
      <c r="D101" s="18" t="n">
        <v>6290</v>
      </c>
      <c r="E101" s="18" t="n">
        <v>4680</v>
      </c>
      <c r="F101" s="18" t="n">
        <v>3060</v>
      </c>
      <c r="G101" s="18" t="n">
        <v>1440</v>
      </c>
      <c r="H101" s="18" t="n">
        <v>0</v>
      </c>
      <c r="I101" s="18" t="n">
        <v>0</v>
      </c>
    </row>
    <row r="102">
      <c r="A102" s="18" t="n">
        <v>341000</v>
      </c>
      <c r="B102" s="18" t="n">
        <v>11000</v>
      </c>
      <c r="C102" s="18" t="n">
        <v>8040</v>
      </c>
      <c r="D102" s="18" t="n">
        <v>6410</v>
      </c>
      <c r="E102" s="18" t="n">
        <v>4800</v>
      </c>
      <c r="F102" s="18" t="n">
        <v>3190</v>
      </c>
      <c r="G102" s="18" t="n">
        <v>1560</v>
      </c>
      <c r="H102" s="18" t="n">
        <v>0</v>
      </c>
      <c r="I102" s="18" t="n">
        <v>0</v>
      </c>
    </row>
    <row r="103">
      <c r="A103" s="18" t="n">
        <v>344000</v>
      </c>
      <c r="B103" s="18" t="n">
        <v>11240</v>
      </c>
      <c r="C103" s="18" t="n">
        <v>8160</v>
      </c>
      <c r="D103" s="18" t="n">
        <v>6530</v>
      </c>
      <c r="E103" s="18" t="n">
        <v>4920</v>
      </c>
      <c r="F103" s="18" t="n">
        <v>3310</v>
      </c>
      <c r="G103" s="18" t="n">
        <v>1680</v>
      </c>
      <c r="H103" s="18" t="n">
        <v>0</v>
      </c>
      <c r="I103" s="18" t="n">
        <v>0</v>
      </c>
    </row>
    <row r="104">
      <c r="A104" s="18" t="n">
        <v>347000</v>
      </c>
      <c r="B104" s="18" t="n">
        <v>11490</v>
      </c>
      <c r="C104" s="18" t="n">
        <v>8280</v>
      </c>
      <c r="D104" s="18" t="n">
        <v>6660</v>
      </c>
      <c r="E104" s="18" t="n">
        <v>5040</v>
      </c>
      <c r="F104" s="18" t="n">
        <v>3430</v>
      </c>
      <c r="G104" s="18" t="n">
        <v>1810</v>
      </c>
      <c r="H104" s="18" t="n">
        <v>190</v>
      </c>
      <c r="I104" s="18" t="n">
        <v>0</v>
      </c>
    </row>
    <row r="105">
      <c r="A105" s="18" t="n">
        <v>350000</v>
      </c>
      <c r="B105" s="18" t="n">
        <v>11730</v>
      </c>
      <c r="C105" s="18" t="n">
        <v>8500</v>
      </c>
      <c r="D105" s="18" t="n">
        <v>6780</v>
      </c>
      <c r="E105" s="18" t="n">
        <v>5170</v>
      </c>
      <c r="F105" s="18" t="n">
        <v>3550</v>
      </c>
      <c r="G105" s="18" t="n">
        <v>1930</v>
      </c>
      <c r="H105" s="18" t="n">
        <v>320</v>
      </c>
      <c r="I105" s="18" t="n">
        <v>0</v>
      </c>
    </row>
    <row r="106">
      <c r="A106" s="18" t="n">
        <v>353000</v>
      </c>
      <c r="B106" s="18" t="n">
        <v>11980</v>
      </c>
      <c r="C106" s="18" t="n">
        <v>8750</v>
      </c>
      <c r="D106" s="18" t="n">
        <v>6900</v>
      </c>
      <c r="E106" s="18" t="n">
        <v>5290</v>
      </c>
      <c r="F106" s="18" t="n">
        <v>3680</v>
      </c>
      <c r="G106" s="18" t="n">
        <v>2050</v>
      </c>
      <c r="H106" s="18" t="n">
        <v>440</v>
      </c>
      <c r="I106" s="18" t="n">
        <v>0</v>
      </c>
    </row>
    <row r="107">
      <c r="A107" s="18" t="n">
        <v>356000</v>
      </c>
      <c r="B107" s="18" t="n">
        <v>12220</v>
      </c>
      <c r="C107" s="18" t="n">
        <v>9000</v>
      </c>
      <c r="D107" s="18" t="n">
        <v>7020</v>
      </c>
      <c r="E107" s="18" t="n">
        <v>5410</v>
      </c>
      <c r="F107" s="18" t="n">
        <v>3800</v>
      </c>
      <c r="G107" s="18" t="n">
        <v>2170</v>
      </c>
      <c r="H107" s="18" t="n">
        <v>560</v>
      </c>
      <c r="I107" s="18" t="n">
        <v>0</v>
      </c>
    </row>
    <row r="108">
      <c r="A108" s="18" t="n">
        <v>359000</v>
      </c>
      <c r="B108" s="18" t="n">
        <v>12470</v>
      </c>
      <c r="C108" s="18" t="n">
        <v>9240</v>
      </c>
      <c r="D108" s="18" t="n">
        <v>7150</v>
      </c>
      <c r="E108" s="18" t="n">
        <v>5530</v>
      </c>
      <c r="F108" s="18" t="n">
        <v>3920</v>
      </c>
      <c r="G108" s="18" t="n">
        <v>2300</v>
      </c>
      <c r="H108" s="18" t="n">
        <v>680</v>
      </c>
      <c r="I108" s="18" t="n">
        <v>0</v>
      </c>
    </row>
    <row r="109">
      <c r="A109" s="18" t="n">
        <v>362000</v>
      </c>
      <c r="B109" s="18" t="n">
        <v>12710</v>
      </c>
      <c r="C109" s="18" t="n">
        <v>9490</v>
      </c>
      <c r="D109" s="18" t="n">
        <v>7270</v>
      </c>
      <c r="E109" s="18" t="n">
        <v>5660</v>
      </c>
      <c r="F109" s="18" t="n">
        <v>4040</v>
      </c>
      <c r="G109" s="18" t="n">
        <v>2420</v>
      </c>
      <c r="H109" s="18" t="n">
        <v>810</v>
      </c>
      <c r="I109" s="18" t="n">
        <v>0</v>
      </c>
    </row>
    <row r="110">
      <c r="A110" s="18" t="n">
        <v>365000</v>
      </c>
      <c r="B110" s="18" t="n">
        <v>12960</v>
      </c>
      <c r="C110" s="18" t="n">
        <v>9730</v>
      </c>
      <c r="D110" s="18" t="n">
        <v>7390</v>
      </c>
      <c r="E110" s="18" t="n">
        <v>5780</v>
      </c>
      <c r="F110" s="18" t="n">
        <v>4170</v>
      </c>
      <c r="G110" s="18" t="n">
        <v>2540</v>
      </c>
      <c r="H110" s="18" t="n">
        <v>930</v>
      </c>
      <c r="I110" s="18" t="n">
        <v>0</v>
      </c>
    </row>
    <row r="111">
      <c r="A111" s="18" t="n">
        <v>368000</v>
      </c>
      <c r="B111" s="18" t="n">
        <v>13200</v>
      </c>
      <c r="C111" s="18" t="n">
        <v>9980</v>
      </c>
      <c r="D111" s="18" t="n">
        <v>7510</v>
      </c>
      <c r="E111" s="18" t="n">
        <v>5900</v>
      </c>
      <c r="F111" s="18" t="n">
        <v>4290</v>
      </c>
      <c r="G111" s="18" t="n">
        <v>2660</v>
      </c>
      <c r="H111" s="18" t="n">
        <v>1050</v>
      </c>
      <c r="I111" s="18" t="n">
        <v>0</v>
      </c>
    </row>
    <row r="112">
      <c r="A112" s="18" t="n">
        <v>371000</v>
      </c>
      <c r="B112" s="18" t="n">
        <v>13450</v>
      </c>
      <c r="C112" s="18" t="n">
        <v>10220</v>
      </c>
      <c r="D112" s="18" t="n">
        <v>7640</v>
      </c>
      <c r="E112" s="18" t="n">
        <v>6020</v>
      </c>
      <c r="F112" s="18" t="n">
        <v>4410</v>
      </c>
      <c r="G112" s="18" t="n">
        <v>2790</v>
      </c>
      <c r="H112" s="18" t="n">
        <v>1170</v>
      </c>
      <c r="I112" s="18" t="n">
        <v>0</v>
      </c>
    </row>
    <row r="113">
      <c r="A113" s="18" t="n">
        <v>374000</v>
      </c>
      <c r="B113" s="18" t="n">
        <v>13690</v>
      </c>
      <c r="C113" s="18" t="n">
        <v>10470</v>
      </c>
      <c r="D113" s="18" t="n">
        <v>7760</v>
      </c>
      <c r="E113" s="18" t="n">
        <v>6150</v>
      </c>
      <c r="F113" s="18" t="n">
        <v>4530</v>
      </c>
      <c r="G113" s="18" t="n">
        <v>2910</v>
      </c>
      <c r="H113" s="18" t="n">
        <v>1300</v>
      </c>
      <c r="I113" s="18" t="n">
        <v>0</v>
      </c>
    </row>
    <row r="114">
      <c r="A114" s="18" t="n">
        <v>377000</v>
      </c>
      <c r="B114" s="18" t="n">
        <v>13940</v>
      </c>
      <c r="C114" s="18" t="n">
        <v>10710</v>
      </c>
      <c r="D114" s="18" t="n">
        <v>7880</v>
      </c>
      <c r="E114" s="18" t="n">
        <v>6270</v>
      </c>
      <c r="F114" s="18" t="n">
        <v>4660</v>
      </c>
      <c r="G114" s="18" t="n">
        <v>3030</v>
      </c>
      <c r="H114" s="18" t="n">
        <v>1420</v>
      </c>
      <c r="I114" s="18" t="n">
        <v>0</v>
      </c>
    </row>
    <row r="115">
      <c r="A115" s="18" t="n">
        <v>380000</v>
      </c>
      <c r="B115" s="18" t="n">
        <v>14180</v>
      </c>
      <c r="C115" s="18" t="n">
        <v>10960</v>
      </c>
      <c r="D115" s="18" t="n">
        <v>8000</v>
      </c>
      <c r="E115" s="18" t="n">
        <v>6390</v>
      </c>
      <c r="F115" s="18" t="n">
        <v>4780</v>
      </c>
      <c r="G115" s="18" t="n">
        <v>3150</v>
      </c>
      <c r="H115" s="18" t="n">
        <v>1540</v>
      </c>
      <c r="I115" s="18" t="n">
        <v>0</v>
      </c>
    </row>
    <row r="116">
      <c r="A116" s="18" t="n">
        <v>383000</v>
      </c>
      <c r="B116" s="18" t="n">
        <v>14430</v>
      </c>
      <c r="C116" s="18" t="n">
        <v>11200</v>
      </c>
      <c r="D116" s="18" t="n">
        <v>8130</v>
      </c>
      <c r="E116" s="18" t="n">
        <v>6510</v>
      </c>
      <c r="F116" s="18" t="n">
        <v>4900</v>
      </c>
      <c r="G116" s="18" t="n">
        <v>3280</v>
      </c>
      <c r="H116" s="18" t="n">
        <v>1660</v>
      </c>
      <c r="I116" s="18" t="n">
        <v>0</v>
      </c>
    </row>
    <row r="117">
      <c r="A117" s="18" t="n">
        <v>386000</v>
      </c>
      <c r="B117" s="18" t="n">
        <v>14670</v>
      </c>
      <c r="C117" s="18" t="n">
        <v>11450</v>
      </c>
      <c r="D117" s="18" t="n">
        <v>8250</v>
      </c>
      <c r="E117" s="18" t="n">
        <v>6640</v>
      </c>
      <c r="F117" s="18" t="n">
        <v>5020</v>
      </c>
      <c r="G117" s="18" t="n">
        <v>3400</v>
      </c>
      <c r="H117" s="18" t="n">
        <v>1790</v>
      </c>
      <c r="I117" s="18" t="n">
        <v>170</v>
      </c>
    </row>
    <row r="118">
      <c r="A118" s="18" t="n">
        <v>389000</v>
      </c>
      <c r="B118" s="18" t="n">
        <v>14920</v>
      </c>
      <c r="C118" s="18" t="n">
        <v>11690</v>
      </c>
      <c r="D118" s="18" t="n">
        <v>8450</v>
      </c>
      <c r="E118" s="18" t="n">
        <v>6760</v>
      </c>
      <c r="F118" s="18" t="n">
        <v>5150</v>
      </c>
      <c r="G118" s="18" t="n">
        <v>3520</v>
      </c>
      <c r="H118" s="18" t="n">
        <v>1910</v>
      </c>
      <c r="I118" s="18" t="n">
        <v>300</v>
      </c>
    </row>
    <row r="119">
      <c r="A119" s="18" t="n">
        <v>392000</v>
      </c>
      <c r="B119" s="18" t="n">
        <v>15160</v>
      </c>
      <c r="C119" s="18" t="n">
        <v>11940</v>
      </c>
      <c r="D119" s="18" t="n">
        <v>8700</v>
      </c>
      <c r="E119" s="18" t="n">
        <v>6880</v>
      </c>
      <c r="F119" s="18" t="n">
        <v>5270</v>
      </c>
      <c r="G119" s="18" t="n">
        <v>3640</v>
      </c>
      <c r="H119" s="18" t="n">
        <v>2030</v>
      </c>
      <c r="I119" s="18" t="n">
        <v>420</v>
      </c>
    </row>
    <row r="120">
      <c r="A120" s="18" t="n">
        <v>395000</v>
      </c>
      <c r="B120" s="18" t="n">
        <v>15410</v>
      </c>
      <c r="C120" s="18" t="n">
        <v>12180</v>
      </c>
      <c r="D120" s="18" t="n">
        <v>8940</v>
      </c>
      <c r="E120" s="18" t="n">
        <v>7000</v>
      </c>
      <c r="F120" s="18" t="n">
        <v>5390</v>
      </c>
      <c r="G120" s="18" t="n">
        <v>3770</v>
      </c>
      <c r="H120" s="18" t="n">
        <v>2150</v>
      </c>
      <c r="I120" s="18" t="n">
        <v>540</v>
      </c>
    </row>
    <row r="121">
      <c r="A121" s="18" t="n">
        <v>398000</v>
      </c>
      <c r="B121" s="18" t="n">
        <v>15650</v>
      </c>
      <c r="C121" s="18" t="n">
        <v>12430</v>
      </c>
      <c r="D121" s="18" t="n">
        <v>9190</v>
      </c>
      <c r="E121" s="18" t="n">
        <v>7130</v>
      </c>
      <c r="F121" s="18" t="n">
        <v>5510</v>
      </c>
      <c r="G121" s="18" t="n">
        <v>3890</v>
      </c>
      <c r="H121" s="18" t="n">
        <v>2280</v>
      </c>
      <c r="I121" s="18" t="n">
        <v>660</v>
      </c>
    </row>
    <row r="122">
      <c r="A122" s="18" t="n">
        <v>401000</v>
      </c>
      <c r="B122" s="18" t="n">
        <v>15900</v>
      </c>
      <c r="C122" s="18" t="n">
        <v>12670</v>
      </c>
      <c r="D122" s="18" t="n">
        <v>9430</v>
      </c>
      <c r="E122" s="18" t="n">
        <v>7250</v>
      </c>
      <c r="F122" s="18" t="n">
        <v>5640</v>
      </c>
      <c r="G122" s="18" t="n">
        <v>4010</v>
      </c>
      <c r="H122" s="18" t="n">
        <v>2400</v>
      </c>
      <c r="I122" s="18" t="n">
        <v>790</v>
      </c>
    </row>
    <row r="123">
      <c r="A123" s="18" t="n">
        <v>404000</v>
      </c>
      <c r="B123" s="18" t="n">
        <v>16140</v>
      </c>
      <c r="C123" s="18" t="n">
        <v>12920</v>
      </c>
      <c r="D123" s="18" t="n">
        <v>9680</v>
      </c>
      <c r="E123" s="18" t="n">
        <v>7370</v>
      </c>
      <c r="F123" s="18" t="n">
        <v>5760</v>
      </c>
      <c r="G123" s="18" t="n">
        <v>4140</v>
      </c>
      <c r="H123" s="18" t="n">
        <v>2520</v>
      </c>
      <c r="I123" s="18" t="n">
        <v>910</v>
      </c>
    </row>
    <row r="124">
      <c r="A124" s="18" t="n">
        <v>407000</v>
      </c>
      <c r="B124" s="18" t="n">
        <v>16390</v>
      </c>
      <c r="C124" s="18" t="n">
        <v>13160</v>
      </c>
      <c r="D124" s="18" t="n">
        <v>9920</v>
      </c>
      <c r="E124" s="18" t="n">
        <v>7490</v>
      </c>
      <c r="F124" s="18" t="n">
        <v>5880</v>
      </c>
      <c r="G124" s="18" t="n">
        <v>4260</v>
      </c>
      <c r="H124" s="18" t="n">
        <v>2640</v>
      </c>
      <c r="I124" s="18" t="n">
        <v>1030</v>
      </c>
    </row>
    <row r="125">
      <c r="A125" s="18" t="n">
        <v>410000</v>
      </c>
      <c r="B125" s="18" t="n">
        <v>16630</v>
      </c>
      <c r="C125" s="18" t="n">
        <v>13410</v>
      </c>
      <c r="D125" s="18" t="n">
        <v>10170</v>
      </c>
      <c r="E125" s="18" t="n">
        <v>7620</v>
      </c>
      <c r="F125" s="18" t="n">
        <v>6000</v>
      </c>
      <c r="G125" s="18" t="n">
        <v>4380</v>
      </c>
      <c r="H125" s="18" t="n">
        <v>2770</v>
      </c>
      <c r="I125" s="18" t="n">
        <v>1150</v>
      </c>
    </row>
    <row r="126">
      <c r="A126" s="18" t="n">
        <v>413000</v>
      </c>
      <c r="B126" s="18" t="n">
        <v>16880</v>
      </c>
      <c r="C126" s="18" t="n">
        <v>13650</v>
      </c>
      <c r="D126" s="18" t="n">
        <v>10410</v>
      </c>
      <c r="E126" s="18" t="n">
        <v>7740</v>
      </c>
      <c r="F126" s="18" t="n">
        <v>6130</v>
      </c>
      <c r="G126" s="18" t="n">
        <v>4500</v>
      </c>
      <c r="H126" s="18" t="n">
        <v>2890</v>
      </c>
      <c r="I126" s="18" t="n">
        <v>1280</v>
      </c>
    </row>
    <row r="127">
      <c r="A127" s="18" t="n">
        <v>416000</v>
      </c>
      <c r="B127" s="18" t="n">
        <v>17120</v>
      </c>
      <c r="C127" s="18" t="n">
        <v>13900</v>
      </c>
      <c r="D127" s="18" t="n">
        <v>10660</v>
      </c>
      <c r="E127" s="18" t="n">
        <v>7860</v>
      </c>
      <c r="F127" s="18" t="n">
        <v>6250</v>
      </c>
      <c r="G127" s="18" t="n">
        <v>4630</v>
      </c>
      <c r="H127" s="18" t="n">
        <v>3010</v>
      </c>
      <c r="I127" s="18" t="n">
        <v>1400</v>
      </c>
    </row>
    <row r="128">
      <c r="A128" s="18" t="n">
        <v>419000</v>
      </c>
      <c r="B128" s="18" t="n">
        <v>17370</v>
      </c>
      <c r="C128" s="18" t="n">
        <v>14140</v>
      </c>
      <c r="D128" s="18" t="n">
        <v>10900</v>
      </c>
      <c r="E128" s="18" t="n">
        <v>7980</v>
      </c>
      <c r="F128" s="18" t="n">
        <v>6370</v>
      </c>
      <c r="G128" s="18" t="n">
        <v>4750</v>
      </c>
      <c r="H128" s="18" t="n">
        <v>3130</v>
      </c>
      <c r="I128" s="18" t="n">
        <v>1520</v>
      </c>
    </row>
    <row r="129">
      <c r="A129" s="18" t="n">
        <v>422000</v>
      </c>
      <c r="B129" s="18" t="n">
        <v>17610</v>
      </c>
      <c r="C129" s="18" t="n">
        <v>14390</v>
      </c>
      <c r="D129" s="18" t="n">
        <v>11150</v>
      </c>
      <c r="E129" s="18" t="n">
        <v>8110</v>
      </c>
      <c r="F129" s="18" t="n">
        <v>6490</v>
      </c>
      <c r="G129" s="18" t="n">
        <v>4870</v>
      </c>
      <c r="H129" s="18" t="n">
        <v>3260</v>
      </c>
      <c r="I129" s="18" t="n">
        <v>1640</v>
      </c>
    </row>
    <row r="130">
      <c r="A130" s="18" t="n">
        <v>425000</v>
      </c>
      <c r="B130" s="18" t="n">
        <v>17860</v>
      </c>
      <c r="C130" s="18" t="n">
        <v>14630</v>
      </c>
      <c r="D130" s="18" t="n">
        <v>11390</v>
      </c>
      <c r="E130" s="18" t="n">
        <v>8230</v>
      </c>
      <c r="F130" s="18" t="n">
        <v>6620</v>
      </c>
      <c r="G130" s="18" t="n">
        <v>4990</v>
      </c>
      <c r="H130" s="18" t="n">
        <v>3380</v>
      </c>
      <c r="I130" s="18" t="n">
        <v>1770</v>
      </c>
    </row>
    <row r="131">
      <c r="A131" s="18" t="n">
        <v>428000</v>
      </c>
      <c r="B131" s="18" t="n">
        <v>18100</v>
      </c>
      <c r="C131" s="18" t="n">
        <v>14880</v>
      </c>
      <c r="D131" s="18" t="n">
        <v>11640</v>
      </c>
      <c r="E131" s="18" t="n">
        <v>8400</v>
      </c>
      <c r="F131" s="18" t="n">
        <v>6740</v>
      </c>
      <c r="G131" s="18" t="n">
        <v>5120</v>
      </c>
      <c r="H131" s="18" t="n">
        <v>3500</v>
      </c>
      <c r="I131" s="18" t="n">
        <v>1890</v>
      </c>
    </row>
    <row r="132">
      <c r="A132" s="18" t="n">
        <v>431000</v>
      </c>
      <c r="B132" s="18" t="n">
        <v>18350</v>
      </c>
      <c r="C132" s="18" t="n">
        <v>15120</v>
      </c>
      <c r="D132" s="18" t="n">
        <v>11880</v>
      </c>
      <c r="E132" s="18" t="n">
        <v>8650</v>
      </c>
      <c r="F132" s="18" t="n">
        <v>6860</v>
      </c>
      <c r="G132" s="18" t="n">
        <v>5240</v>
      </c>
      <c r="H132" s="18" t="n">
        <v>3620</v>
      </c>
      <c r="I132" s="18" t="n">
        <v>2010</v>
      </c>
    </row>
    <row r="133">
      <c r="A133" s="18" t="n">
        <v>434000</v>
      </c>
      <c r="B133" s="18" t="n">
        <v>18590</v>
      </c>
      <c r="C133" s="18" t="n">
        <v>15370</v>
      </c>
      <c r="D133" s="18" t="n">
        <v>12130</v>
      </c>
      <c r="E133" s="18" t="n">
        <v>8890</v>
      </c>
      <c r="F133" s="18" t="n">
        <v>6980</v>
      </c>
      <c r="G133" s="18" t="n">
        <v>5360</v>
      </c>
      <c r="H133" s="18" t="n">
        <v>3750</v>
      </c>
      <c r="I133" s="18" t="n">
        <v>2130</v>
      </c>
    </row>
    <row r="134">
      <c r="A134" s="18" t="n">
        <v>437000</v>
      </c>
      <c r="B134" s="18" t="n">
        <v>18840</v>
      </c>
      <c r="C134" s="18" t="n">
        <v>15610</v>
      </c>
      <c r="D134" s="18" t="n">
        <v>12370</v>
      </c>
      <c r="E134" s="18" t="n">
        <v>9140</v>
      </c>
      <c r="F134" s="18" t="n">
        <v>7110</v>
      </c>
      <c r="G134" s="18" t="n">
        <v>5480</v>
      </c>
      <c r="H134" s="18" t="n">
        <v>3870</v>
      </c>
      <c r="I134" s="18" t="n">
        <v>2260</v>
      </c>
    </row>
    <row r="135">
      <c r="A135" s="18" t="n">
        <v>440000</v>
      </c>
      <c r="B135" s="18" t="n">
        <v>19080</v>
      </c>
      <c r="C135" s="18" t="n">
        <v>15860</v>
      </c>
      <c r="D135" s="18" t="n">
        <v>12620</v>
      </c>
      <c r="E135" s="18" t="n">
        <v>9380</v>
      </c>
      <c r="F135" s="18" t="n">
        <v>7230</v>
      </c>
      <c r="G135" s="18" t="n">
        <v>5610</v>
      </c>
      <c r="H135" s="18" t="n">
        <v>3990</v>
      </c>
      <c r="I135" s="18" t="n">
        <v>2380</v>
      </c>
    </row>
    <row r="136">
      <c r="A136" s="18" t="n">
        <v>443000</v>
      </c>
      <c r="B136" s="18" t="n">
        <v>19330</v>
      </c>
      <c r="C136" s="18" t="n">
        <v>16100</v>
      </c>
      <c r="D136" s="18" t="n">
        <v>12860</v>
      </c>
      <c r="E136" s="18" t="n">
        <v>9630</v>
      </c>
      <c r="F136" s="18" t="n">
        <v>7350</v>
      </c>
      <c r="G136" s="18" t="n">
        <v>5730</v>
      </c>
      <c r="H136" s="18" t="n">
        <v>4110</v>
      </c>
      <c r="I136" s="18" t="n">
        <v>2500</v>
      </c>
    </row>
    <row r="137">
      <c r="A137" s="18" t="n">
        <v>446000</v>
      </c>
      <c r="B137" s="18" t="n">
        <v>19570</v>
      </c>
      <c r="C137" s="18" t="n">
        <v>16350</v>
      </c>
      <c r="D137" s="18" t="n">
        <v>13110</v>
      </c>
      <c r="E137" s="18" t="n">
        <v>9870</v>
      </c>
      <c r="F137" s="18" t="n">
        <v>7470</v>
      </c>
      <c r="G137" s="18" t="n">
        <v>5850</v>
      </c>
      <c r="H137" s="18" t="n">
        <v>4240</v>
      </c>
      <c r="I137" s="18" t="n">
        <v>2620</v>
      </c>
    </row>
    <row r="138">
      <c r="A138" s="18" t="n">
        <v>449000</v>
      </c>
      <c r="B138" s="18" t="n">
        <v>19860</v>
      </c>
      <c r="C138" s="18" t="n">
        <v>16590</v>
      </c>
      <c r="D138" s="18" t="n">
        <v>13350</v>
      </c>
      <c r="E138" s="18" t="n">
        <v>10120</v>
      </c>
      <c r="F138" s="18" t="n">
        <v>7600</v>
      </c>
      <c r="G138" s="18" t="n">
        <v>5970</v>
      </c>
      <c r="H138" s="18" t="n">
        <v>4360</v>
      </c>
      <c r="I138" s="18" t="n">
        <v>2750</v>
      </c>
    </row>
    <row r="139">
      <c r="A139" s="18" t="n">
        <v>452000</v>
      </c>
      <c r="B139" s="18" t="n">
        <v>20350</v>
      </c>
      <c r="C139" s="18" t="n">
        <v>16840</v>
      </c>
      <c r="D139" s="18" t="n">
        <v>13600</v>
      </c>
      <c r="E139" s="18" t="n">
        <v>10360</v>
      </c>
      <c r="F139" s="18" t="n">
        <v>7720</v>
      </c>
      <c r="G139" s="18" t="n">
        <v>6100</v>
      </c>
      <c r="H139" s="18" t="n">
        <v>4480</v>
      </c>
      <c r="I139" s="18" t="n">
        <v>2870</v>
      </c>
    </row>
    <row r="140">
      <c r="A140" s="18" t="n">
        <v>455000</v>
      </c>
      <c r="B140" s="18" t="n">
        <v>20840</v>
      </c>
      <c r="C140" s="18" t="n">
        <v>17080</v>
      </c>
      <c r="D140" s="18" t="n">
        <v>13840</v>
      </c>
      <c r="E140" s="18" t="n">
        <v>10610</v>
      </c>
      <c r="F140" s="18" t="n">
        <v>7840</v>
      </c>
      <c r="G140" s="18" t="n">
        <v>6220</v>
      </c>
      <c r="H140" s="18" t="n">
        <v>4600</v>
      </c>
      <c r="I140" s="18" t="n">
        <v>2990</v>
      </c>
    </row>
    <row r="141">
      <c r="A141" s="18" t="n">
        <v>458000</v>
      </c>
      <c r="B141" s="18" t="n">
        <v>21330</v>
      </c>
      <c r="C141" s="18" t="n">
        <v>17330</v>
      </c>
      <c r="D141" s="18" t="n">
        <v>14090</v>
      </c>
      <c r="E141" s="18" t="n">
        <v>10850</v>
      </c>
      <c r="F141" s="18" t="n">
        <v>7960</v>
      </c>
      <c r="G141" s="18" t="n">
        <v>6340</v>
      </c>
      <c r="H141" s="18" t="n">
        <v>4730</v>
      </c>
      <c r="I141" s="18" t="n">
        <v>3110</v>
      </c>
    </row>
    <row r="142">
      <c r="A142" s="18" t="n">
        <v>461000</v>
      </c>
      <c r="B142" s="18" t="n">
        <v>21820</v>
      </c>
      <c r="C142" s="18" t="n">
        <v>17570</v>
      </c>
      <c r="D142" s="18" t="n">
        <v>14330</v>
      </c>
      <c r="E142" s="18" t="n">
        <v>11100</v>
      </c>
      <c r="F142" s="18" t="n">
        <v>8090</v>
      </c>
      <c r="G142" s="18" t="n">
        <v>6460</v>
      </c>
      <c r="H142" s="18" t="n">
        <v>4850</v>
      </c>
      <c r="I142" s="18" t="n">
        <v>3240</v>
      </c>
    </row>
    <row r="143">
      <c r="A143" s="18" t="n">
        <v>464000</v>
      </c>
      <c r="B143" s="18" t="n">
        <v>22310</v>
      </c>
      <c r="C143" s="18" t="n">
        <v>17820</v>
      </c>
      <c r="D143" s="18" t="n">
        <v>14580</v>
      </c>
      <c r="E143" s="18" t="n">
        <v>11340</v>
      </c>
      <c r="F143" s="18" t="n">
        <v>8210</v>
      </c>
      <c r="G143" s="18" t="n">
        <v>6590</v>
      </c>
      <c r="H143" s="18" t="n">
        <v>4970</v>
      </c>
      <c r="I143" s="18" t="n">
        <v>3360</v>
      </c>
    </row>
    <row r="144">
      <c r="A144" s="18" t="n">
        <v>467000</v>
      </c>
      <c r="B144" s="18" t="n">
        <v>22800</v>
      </c>
      <c r="C144" s="18" t="n">
        <v>18060</v>
      </c>
      <c r="D144" s="18" t="n">
        <v>14820</v>
      </c>
      <c r="E144" s="18" t="n">
        <v>11590</v>
      </c>
      <c r="F144" s="18" t="n">
        <v>8360</v>
      </c>
      <c r="G144" s="18" t="n">
        <v>6710</v>
      </c>
      <c r="H144" s="18" t="n">
        <v>5090</v>
      </c>
      <c r="I144" s="18" t="n">
        <v>3480</v>
      </c>
    </row>
    <row r="145">
      <c r="A145" s="18" t="n">
        <v>470000</v>
      </c>
      <c r="B145" s="18" t="n">
        <v>23290</v>
      </c>
      <c r="C145" s="18" t="n">
        <v>18310</v>
      </c>
      <c r="D145" s="18" t="n">
        <v>15070</v>
      </c>
      <c r="E145" s="18" t="n">
        <v>11830</v>
      </c>
      <c r="F145" s="18" t="n">
        <v>8610</v>
      </c>
      <c r="G145" s="18" t="n">
        <v>6830</v>
      </c>
      <c r="H145" s="18" t="n">
        <v>5220</v>
      </c>
      <c r="I145" s="18" t="n">
        <v>3600</v>
      </c>
    </row>
    <row r="146">
      <c r="A146" s="18" t="n">
        <v>473000</v>
      </c>
      <c r="B146" s="18" t="n">
        <v>23780</v>
      </c>
      <c r="C146" s="18" t="n">
        <v>18550</v>
      </c>
      <c r="D146" s="18" t="n">
        <v>15320</v>
      </c>
      <c r="E146" s="18" t="n">
        <v>12080</v>
      </c>
      <c r="F146" s="18" t="n">
        <v>8850</v>
      </c>
      <c r="G146" s="18" t="n">
        <v>6950</v>
      </c>
      <c r="H146" s="18" t="n">
        <v>5340</v>
      </c>
      <c r="I146" s="18" t="n">
        <v>3730</v>
      </c>
    </row>
    <row r="147">
      <c r="A147" s="18" t="n">
        <v>476000</v>
      </c>
      <c r="B147" s="18" t="n">
        <v>24270</v>
      </c>
      <c r="C147" s="18" t="n">
        <v>18800</v>
      </c>
      <c r="D147" s="18" t="n">
        <v>15560</v>
      </c>
      <c r="E147" s="18" t="n">
        <v>12320</v>
      </c>
      <c r="F147" s="18" t="n">
        <v>9100</v>
      </c>
      <c r="G147" s="18" t="n">
        <v>7080</v>
      </c>
      <c r="H147" s="18" t="n">
        <v>5460</v>
      </c>
      <c r="I147" s="18" t="n">
        <v>3850</v>
      </c>
    </row>
    <row r="148">
      <c r="A148" s="18" t="n">
        <v>479000</v>
      </c>
      <c r="B148" s="18" t="n">
        <v>24760</v>
      </c>
      <c r="C148" s="18" t="n">
        <v>19040</v>
      </c>
      <c r="D148" s="18" t="n">
        <v>15810</v>
      </c>
      <c r="E148" s="18" t="n">
        <v>12570</v>
      </c>
      <c r="F148" s="18" t="n">
        <v>9340</v>
      </c>
      <c r="G148" s="18" t="n">
        <v>7200</v>
      </c>
      <c r="H148" s="18" t="n">
        <v>5580</v>
      </c>
      <c r="I148" s="18" t="n">
        <v>3970</v>
      </c>
    </row>
    <row r="149">
      <c r="A149" s="18" t="n">
        <v>482000</v>
      </c>
      <c r="B149" s="18" t="n">
        <v>25250</v>
      </c>
      <c r="C149" s="18" t="n">
        <v>19290</v>
      </c>
      <c r="D149" s="18" t="n">
        <v>16050</v>
      </c>
      <c r="E149" s="18" t="n">
        <v>12810</v>
      </c>
      <c r="F149" s="18" t="n">
        <v>9590</v>
      </c>
      <c r="G149" s="18" t="n">
        <v>7320</v>
      </c>
      <c r="H149" s="18" t="n">
        <v>5710</v>
      </c>
      <c r="I149" s="18" t="n">
        <v>4090</v>
      </c>
    </row>
    <row r="150">
      <c r="A150" s="18" t="n">
        <v>485000</v>
      </c>
      <c r="B150" s="18" t="n">
        <v>25740</v>
      </c>
      <c r="C150" s="18" t="n">
        <v>19530</v>
      </c>
      <c r="D150" s="18" t="n">
        <v>16300</v>
      </c>
      <c r="E150" s="18" t="n">
        <v>13060</v>
      </c>
      <c r="F150" s="18" t="n">
        <v>9830</v>
      </c>
      <c r="G150" s="18" t="n">
        <v>7440</v>
      </c>
      <c r="H150" s="18" t="n">
        <v>5830</v>
      </c>
      <c r="I150" s="18" t="n">
        <v>4220</v>
      </c>
    </row>
    <row r="151">
      <c r="A151" s="18" t="n">
        <v>488000</v>
      </c>
      <c r="B151" s="18" t="n">
        <v>26230</v>
      </c>
      <c r="C151" s="18" t="n">
        <v>19780</v>
      </c>
      <c r="D151" s="18" t="n">
        <v>16540</v>
      </c>
      <c r="E151" s="18" t="n">
        <v>13300</v>
      </c>
      <c r="F151" s="18" t="n">
        <v>10080</v>
      </c>
      <c r="G151" s="18" t="n">
        <v>7570</v>
      </c>
      <c r="H151" s="18" t="n">
        <v>5950</v>
      </c>
      <c r="I151" s="18" t="n">
        <v>4340</v>
      </c>
    </row>
    <row r="152">
      <c r="A152" s="18" t="n">
        <v>491000</v>
      </c>
      <c r="B152" s="18" t="n">
        <v>26720</v>
      </c>
      <c r="C152" s="18" t="n">
        <v>20260</v>
      </c>
      <c r="D152" s="18" t="n">
        <v>16790</v>
      </c>
      <c r="E152" s="18" t="n">
        <v>13550</v>
      </c>
      <c r="F152" s="18" t="n">
        <v>10320</v>
      </c>
      <c r="G152" s="18" t="n">
        <v>7690</v>
      </c>
      <c r="H152" s="18" t="n">
        <v>6070</v>
      </c>
      <c r="I152" s="18" t="n">
        <v>4460</v>
      </c>
    </row>
    <row r="153">
      <c r="A153" s="18" t="n">
        <v>494000</v>
      </c>
      <c r="B153" s="18" t="n">
        <v>27210</v>
      </c>
      <c r="C153" s="18" t="n">
        <v>20750</v>
      </c>
      <c r="D153" s="18" t="n">
        <v>17030</v>
      </c>
      <c r="E153" s="18" t="n">
        <v>13790</v>
      </c>
      <c r="F153" s="18" t="n">
        <v>10570</v>
      </c>
      <c r="G153" s="18" t="n">
        <v>7810</v>
      </c>
      <c r="H153" s="18" t="n">
        <v>6200</v>
      </c>
      <c r="I153" s="18" t="n">
        <v>4580</v>
      </c>
    </row>
    <row r="154">
      <c r="A154" s="18" t="n">
        <v>497000</v>
      </c>
      <c r="B154" s="18" t="n">
        <v>27700</v>
      </c>
      <c r="C154" s="18" t="n">
        <v>21240</v>
      </c>
      <c r="D154" s="18" t="n">
        <v>17280</v>
      </c>
      <c r="E154" s="18" t="n">
        <v>14040</v>
      </c>
      <c r="F154" s="18" t="n">
        <v>10810</v>
      </c>
      <c r="G154" s="18" t="n">
        <v>7930</v>
      </c>
      <c r="H154" s="18" t="n">
        <v>6320</v>
      </c>
      <c r="I154" s="18" t="n">
        <v>4710</v>
      </c>
    </row>
    <row r="155">
      <c r="A155" s="18" t="n">
        <v>500000</v>
      </c>
      <c r="B155" s="18" t="n">
        <v>28190</v>
      </c>
      <c r="C155" s="18" t="n">
        <v>21730</v>
      </c>
      <c r="D155" s="18" t="n">
        <v>17520</v>
      </c>
      <c r="E155" s="18" t="n">
        <v>14280</v>
      </c>
      <c r="F155" s="18" t="n">
        <v>11060</v>
      </c>
      <c r="G155" s="18" t="n">
        <v>8060</v>
      </c>
      <c r="H155" s="18" t="n">
        <v>6440</v>
      </c>
      <c r="I155" s="18" t="n">
        <v>4830</v>
      </c>
    </row>
    <row r="156">
      <c r="A156" s="18" t="n">
        <v>503000</v>
      </c>
      <c r="B156" s="18" t="n">
        <v>28680</v>
      </c>
      <c r="C156" s="18" t="n">
        <v>22220</v>
      </c>
      <c r="D156" s="18" t="n">
        <v>17770</v>
      </c>
      <c r="E156" s="18" t="n">
        <v>14530</v>
      </c>
      <c r="F156" s="18" t="n">
        <v>11300</v>
      </c>
      <c r="G156" s="18" t="n">
        <v>8180</v>
      </c>
      <c r="H156" s="18" t="n">
        <v>6570</v>
      </c>
      <c r="I156" s="18" t="n">
        <v>4950</v>
      </c>
    </row>
    <row r="157">
      <c r="A157" s="18" t="n">
        <v>506000</v>
      </c>
      <c r="B157" s="18" t="n">
        <v>29170</v>
      </c>
      <c r="C157" s="18" t="n">
        <v>22710</v>
      </c>
      <c r="D157" s="18" t="n">
        <v>18010</v>
      </c>
      <c r="E157" s="18" t="n">
        <v>14770</v>
      </c>
      <c r="F157" s="18" t="n">
        <v>11550</v>
      </c>
      <c r="G157" s="18" t="n">
        <v>8310</v>
      </c>
      <c r="H157" s="18" t="n">
        <v>6690</v>
      </c>
      <c r="I157" s="18" t="n">
        <v>5070</v>
      </c>
    </row>
    <row r="158">
      <c r="A158" s="18" t="n">
        <v>509000</v>
      </c>
      <c r="B158" s="18" t="n">
        <v>29660</v>
      </c>
      <c r="C158" s="18" t="n">
        <v>23200</v>
      </c>
      <c r="D158" s="18" t="n">
        <v>18260</v>
      </c>
      <c r="E158" s="18" t="n">
        <v>15020</v>
      </c>
      <c r="F158" s="18" t="n">
        <v>11790</v>
      </c>
      <c r="G158" s="18" t="n">
        <v>8560</v>
      </c>
      <c r="H158" s="18" t="n">
        <v>6810</v>
      </c>
      <c r="I158" s="18" t="n">
        <v>5200</v>
      </c>
    </row>
    <row r="159">
      <c r="A159" s="18" t="n">
        <v>512000</v>
      </c>
      <c r="B159" s="18" t="n">
        <v>30150</v>
      </c>
      <c r="C159" s="18" t="n">
        <v>23690</v>
      </c>
      <c r="D159" s="18" t="n">
        <v>18500</v>
      </c>
      <c r="E159" s="18" t="n">
        <v>15260</v>
      </c>
      <c r="F159" s="18" t="n">
        <v>12040</v>
      </c>
      <c r="G159" s="18" t="n">
        <v>8800</v>
      </c>
      <c r="H159" s="18" t="n">
        <v>6930</v>
      </c>
      <c r="I159" s="18" t="n">
        <v>5320</v>
      </c>
    </row>
    <row r="160">
      <c r="A160" s="18" t="n">
        <v>515000</v>
      </c>
      <c r="B160" s="18" t="n">
        <v>30640</v>
      </c>
      <c r="C160" s="18" t="n">
        <v>24180</v>
      </c>
      <c r="D160" s="18" t="n">
        <v>18750</v>
      </c>
      <c r="E160" s="18" t="n">
        <v>15510</v>
      </c>
      <c r="F160" s="18" t="n">
        <v>12280</v>
      </c>
      <c r="G160" s="18" t="n">
        <v>9050</v>
      </c>
      <c r="H160" s="18" t="n">
        <v>7060</v>
      </c>
      <c r="I160" s="18" t="n">
        <v>5440</v>
      </c>
    </row>
    <row r="161">
      <c r="A161" s="18" t="n">
        <v>518000</v>
      </c>
      <c r="B161" s="18" t="n">
        <v>31130</v>
      </c>
      <c r="C161" s="18" t="n">
        <v>24670</v>
      </c>
      <c r="D161" s="18" t="n">
        <v>18990</v>
      </c>
      <c r="E161" s="18" t="n">
        <v>15750</v>
      </c>
      <c r="F161" s="18" t="n">
        <v>12530</v>
      </c>
      <c r="G161" s="18" t="n">
        <v>9290</v>
      </c>
      <c r="H161" s="18" t="n">
        <v>7180</v>
      </c>
      <c r="I161" s="18" t="n">
        <v>5560</v>
      </c>
    </row>
    <row r="162">
      <c r="A162" s="18" t="n">
        <v>521000</v>
      </c>
      <c r="B162" s="18" t="n">
        <v>31620</v>
      </c>
      <c r="C162" s="18" t="n">
        <v>25160</v>
      </c>
      <c r="D162" s="18" t="n">
        <v>19240</v>
      </c>
      <c r="E162" s="18" t="n">
        <v>16000</v>
      </c>
      <c r="F162" s="18" t="n">
        <v>12770</v>
      </c>
      <c r="G162" s="18" t="n">
        <v>9540</v>
      </c>
      <c r="H162" s="18" t="n">
        <v>7300</v>
      </c>
      <c r="I162" s="18" t="n">
        <v>5690</v>
      </c>
    </row>
    <row r="163">
      <c r="A163" s="18" t="n">
        <v>524000</v>
      </c>
      <c r="B163" s="18" t="n">
        <v>32110</v>
      </c>
      <c r="C163" s="18" t="n">
        <v>25650</v>
      </c>
      <c r="D163" s="18" t="n">
        <v>19480</v>
      </c>
      <c r="E163" s="18" t="n">
        <v>16240</v>
      </c>
      <c r="F163" s="18" t="n">
        <v>13020</v>
      </c>
      <c r="G163" s="18" t="n">
        <v>9780</v>
      </c>
      <c r="H163" s="18" t="n">
        <v>7420</v>
      </c>
      <c r="I163" s="18" t="n">
        <v>5810</v>
      </c>
    </row>
    <row r="164">
      <c r="A164" s="18" t="n">
        <v>527000</v>
      </c>
      <c r="B164" s="18" t="n">
        <v>32600</v>
      </c>
      <c r="C164" s="18" t="n">
        <v>26140</v>
      </c>
      <c r="D164" s="18" t="n">
        <v>19730</v>
      </c>
      <c r="E164" s="18" t="n">
        <v>16490</v>
      </c>
      <c r="F164" s="18" t="n">
        <v>13260</v>
      </c>
      <c r="G164" s="18" t="n">
        <v>10030</v>
      </c>
      <c r="H164" s="18" t="n">
        <v>7550</v>
      </c>
      <c r="I164" s="18" t="n">
        <v>5930</v>
      </c>
    </row>
    <row r="165">
      <c r="A165" s="18" t="n">
        <v>530000</v>
      </c>
      <c r="B165" s="18" t="n">
        <v>33090</v>
      </c>
      <c r="C165" s="18" t="n">
        <v>26630</v>
      </c>
      <c r="D165" s="18" t="n">
        <v>20160</v>
      </c>
      <c r="E165" s="18" t="n">
        <v>16730</v>
      </c>
      <c r="F165" s="18" t="n">
        <v>13510</v>
      </c>
      <c r="G165" s="18" t="n">
        <v>10270</v>
      </c>
      <c r="H165" s="18" t="n">
        <v>7670</v>
      </c>
      <c r="I165" s="18" t="n">
        <v>6050</v>
      </c>
    </row>
    <row r="166">
      <c r="A166" s="18" t="n">
        <v>533000</v>
      </c>
      <c r="B166" s="18" t="n">
        <v>33580</v>
      </c>
      <c r="C166" s="18" t="n">
        <v>27120</v>
      </c>
      <c r="D166" s="18" t="n">
        <v>20650</v>
      </c>
      <c r="E166" s="18" t="n">
        <v>16980</v>
      </c>
      <c r="F166" s="18" t="n">
        <v>13750</v>
      </c>
      <c r="G166" s="18" t="n">
        <v>10520</v>
      </c>
      <c r="H166" s="18" t="n">
        <v>7790</v>
      </c>
      <c r="I166" s="18" t="n">
        <v>6180</v>
      </c>
    </row>
    <row r="167">
      <c r="A167" s="18" t="n">
        <v>536000</v>
      </c>
      <c r="B167" s="18" t="n">
        <v>34070</v>
      </c>
      <c r="C167" s="18" t="n">
        <v>27610</v>
      </c>
      <c r="D167" s="18" t="n">
        <v>21140</v>
      </c>
      <c r="E167" s="18" t="n">
        <v>17220</v>
      </c>
      <c r="F167" s="18" t="n">
        <v>14000</v>
      </c>
      <c r="G167" s="18" t="n">
        <v>10760</v>
      </c>
      <c r="H167" s="18" t="n">
        <v>7910</v>
      </c>
      <c r="I167" s="18" t="n">
        <v>6300</v>
      </c>
    </row>
    <row r="168">
      <c r="A168" s="18" t="n">
        <v>539000</v>
      </c>
      <c r="B168" s="18" t="n">
        <v>34560</v>
      </c>
      <c r="C168" s="18" t="n">
        <v>28100</v>
      </c>
      <c r="D168" s="18" t="n">
        <v>21630</v>
      </c>
      <c r="E168" s="18" t="n">
        <v>17470</v>
      </c>
      <c r="F168" s="18" t="n">
        <v>14240</v>
      </c>
      <c r="G168" s="18" t="n">
        <v>11010</v>
      </c>
      <c r="H168" s="18" t="n">
        <v>8040</v>
      </c>
      <c r="I168" s="18" t="n">
        <v>6420</v>
      </c>
    </row>
    <row r="169">
      <c r="A169" s="18" t="n">
        <v>542000</v>
      </c>
      <c r="B169" s="18" t="n">
        <v>35050</v>
      </c>
      <c r="C169" s="18" t="n">
        <v>28590</v>
      </c>
      <c r="D169" s="18" t="n">
        <v>22130</v>
      </c>
      <c r="E169" s="18" t="n">
        <v>17710</v>
      </c>
      <c r="F169" s="18" t="n">
        <v>14490</v>
      </c>
      <c r="G169" s="18" t="n">
        <v>11250</v>
      </c>
      <c r="H169" s="18" t="n">
        <v>8160</v>
      </c>
      <c r="I169" s="18" t="n">
        <v>6540</v>
      </c>
    </row>
    <row r="170">
      <c r="A170" s="18" t="n">
        <v>545000</v>
      </c>
      <c r="B170" s="18" t="n">
        <v>35540</v>
      </c>
      <c r="C170" s="18" t="n">
        <v>29080</v>
      </c>
      <c r="D170" s="18" t="n">
        <v>22620</v>
      </c>
      <c r="E170" s="18" t="n">
        <v>17960</v>
      </c>
      <c r="F170" s="18" t="n">
        <v>14730</v>
      </c>
      <c r="G170" s="18" t="n">
        <v>11500</v>
      </c>
      <c r="H170" s="18" t="n">
        <v>8280</v>
      </c>
      <c r="I170" s="18" t="n">
        <v>6670</v>
      </c>
    </row>
    <row r="171">
      <c r="A171" s="18" t="n">
        <v>548000</v>
      </c>
      <c r="B171" s="18" t="n">
        <v>36030</v>
      </c>
      <c r="C171" s="18" t="n">
        <v>29570</v>
      </c>
      <c r="D171" s="18" t="n">
        <v>23110</v>
      </c>
      <c r="E171" s="18" t="n">
        <v>18200</v>
      </c>
      <c r="F171" s="18" t="n">
        <v>14980</v>
      </c>
      <c r="G171" s="18" t="n">
        <v>11740</v>
      </c>
      <c r="H171" s="18" t="n">
        <v>8500</v>
      </c>
      <c r="I171" s="18" t="n">
        <v>6790</v>
      </c>
    </row>
    <row r="172">
      <c r="A172" s="18" t="n">
        <v>551000</v>
      </c>
      <c r="B172" s="18" t="n">
        <v>36570</v>
      </c>
      <c r="C172" s="18" t="n">
        <v>30110</v>
      </c>
      <c r="D172" s="18" t="n">
        <v>23650</v>
      </c>
      <c r="E172" s="18" t="n">
        <v>18480</v>
      </c>
      <c r="F172" s="18" t="n">
        <v>15240</v>
      </c>
      <c r="G172" s="18" t="n">
        <v>12020</v>
      </c>
      <c r="H172" s="18" t="n">
        <v>8780</v>
      </c>
      <c r="I172" s="18" t="n">
        <v>6920</v>
      </c>
    </row>
    <row r="173">
      <c r="A173" s="18" t="n">
        <v>554000</v>
      </c>
      <c r="B173" s="18" t="n">
        <v>37120</v>
      </c>
      <c r="C173" s="18" t="n">
        <v>30660</v>
      </c>
      <c r="D173" s="18" t="n">
        <v>24200</v>
      </c>
      <c r="E173" s="18" t="n">
        <v>18760</v>
      </c>
      <c r="F173" s="18" t="n">
        <v>15520</v>
      </c>
      <c r="G173" s="18" t="n">
        <v>12290</v>
      </c>
      <c r="H173" s="18" t="n">
        <v>9060</v>
      </c>
      <c r="I173" s="18" t="n">
        <v>7060</v>
      </c>
    </row>
    <row r="174">
      <c r="A174" s="18" t="n">
        <v>557000</v>
      </c>
      <c r="B174" s="18" t="n">
        <v>37670</v>
      </c>
      <c r="C174" s="18" t="n">
        <v>31210</v>
      </c>
      <c r="D174" s="18" t="n">
        <v>24750</v>
      </c>
      <c r="E174" s="18" t="n">
        <v>19030</v>
      </c>
      <c r="F174" s="18" t="n">
        <v>15790</v>
      </c>
      <c r="G174" s="18" t="n">
        <v>12570</v>
      </c>
      <c r="H174" s="18" t="n">
        <v>9330</v>
      </c>
      <c r="I174" s="18" t="n">
        <v>7200</v>
      </c>
    </row>
    <row r="175">
      <c r="A175" s="18" t="n">
        <v>560000</v>
      </c>
      <c r="B175" s="18" t="n">
        <v>38230</v>
      </c>
      <c r="C175" s="18" t="n">
        <v>31760</v>
      </c>
      <c r="D175" s="18" t="n">
        <v>25300</v>
      </c>
      <c r="E175" s="18" t="n">
        <v>19310</v>
      </c>
      <c r="F175" s="18" t="n">
        <v>16070</v>
      </c>
      <c r="G175" s="18" t="n">
        <v>12840</v>
      </c>
      <c r="H175" s="18" t="n">
        <v>9610</v>
      </c>
      <c r="I175" s="18" t="n">
        <v>7330</v>
      </c>
    </row>
    <row r="176">
      <c r="A176" s="18" t="n">
        <v>563000</v>
      </c>
      <c r="B176" s="18" t="n">
        <v>38780</v>
      </c>
      <c r="C176" s="18" t="n">
        <v>32310</v>
      </c>
      <c r="D176" s="18" t="n">
        <v>25850</v>
      </c>
      <c r="E176" s="18" t="n">
        <v>19580</v>
      </c>
      <c r="F176" s="18" t="n">
        <v>16350</v>
      </c>
      <c r="G176" s="18" t="n">
        <v>13120</v>
      </c>
      <c r="H176" s="18" t="n">
        <v>9880</v>
      </c>
      <c r="I176" s="18" t="n">
        <v>7470</v>
      </c>
    </row>
    <row r="177">
      <c r="A177" s="18" t="n">
        <v>566000</v>
      </c>
      <c r="B177" s="18" t="n">
        <v>39330</v>
      </c>
      <c r="C177" s="18" t="n">
        <v>32870</v>
      </c>
      <c r="D177" s="18" t="n">
        <v>26400</v>
      </c>
      <c r="E177" s="18" t="n">
        <v>19930</v>
      </c>
      <c r="F177" s="18" t="n">
        <v>16620</v>
      </c>
      <c r="G177" s="18" t="n">
        <v>13400</v>
      </c>
      <c r="H177" s="18" t="n">
        <v>10160</v>
      </c>
      <c r="I177" s="18" t="n">
        <v>7610</v>
      </c>
    </row>
    <row r="178">
      <c r="A178" s="18" t="n">
        <v>569000</v>
      </c>
      <c r="B178" s="18" t="n">
        <v>39880</v>
      </c>
      <c r="C178" s="18" t="n">
        <v>33420</v>
      </c>
      <c r="D178" s="18" t="n">
        <v>26950</v>
      </c>
      <c r="E178" s="18" t="n">
        <v>20480</v>
      </c>
      <c r="F178" s="18" t="n">
        <v>16900</v>
      </c>
      <c r="G178" s="18" t="n">
        <v>13670</v>
      </c>
      <c r="H178" s="18" t="n">
        <v>10430</v>
      </c>
      <c r="I178" s="18" t="n">
        <v>7750</v>
      </c>
    </row>
    <row r="179">
      <c r="A179" s="18" t="n">
        <v>572000</v>
      </c>
      <c r="B179" s="18" t="n">
        <v>40430</v>
      </c>
      <c r="C179" s="18" t="n">
        <v>33970</v>
      </c>
      <c r="D179" s="18" t="n">
        <v>27510</v>
      </c>
      <c r="E179" s="18" t="n">
        <v>21030</v>
      </c>
      <c r="F179" s="18" t="n">
        <v>17170</v>
      </c>
      <c r="G179" s="18" t="n">
        <v>13950</v>
      </c>
      <c r="H179" s="18" t="n">
        <v>10710</v>
      </c>
      <c r="I179" s="18" t="n">
        <v>7880</v>
      </c>
    </row>
    <row r="180">
      <c r="A180" s="18" t="n">
        <v>575000</v>
      </c>
      <c r="B180" s="18" t="n">
        <v>40980</v>
      </c>
      <c r="C180" s="18" t="n">
        <v>34520</v>
      </c>
      <c r="D180" s="18" t="n">
        <v>28060</v>
      </c>
      <c r="E180" s="18" t="n">
        <v>21580</v>
      </c>
      <c r="F180" s="18" t="n">
        <v>17450</v>
      </c>
      <c r="G180" s="18" t="n">
        <v>14220</v>
      </c>
      <c r="H180" s="18" t="n">
        <v>10990</v>
      </c>
      <c r="I180" s="18" t="n">
        <v>8030</v>
      </c>
    </row>
    <row r="181">
      <c r="A181" s="18" t="n">
        <v>578000</v>
      </c>
      <c r="B181" s="18" t="n">
        <v>41530</v>
      </c>
      <c r="C181" s="18" t="n">
        <v>35070</v>
      </c>
      <c r="D181" s="18" t="n">
        <v>28610</v>
      </c>
      <c r="E181" s="18" t="n">
        <v>22140</v>
      </c>
      <c r="F181" s="18" t="n">
        <v>17720</v>
      </c>
      <c r="G181" s="18" t="n">
        <v>14500</v>
      </c>
      <c r="H181" s="18" t="n">
        <v>11260</v>
      </c>
      <c r="I181" s="18" t="n">
        <v>8160</v>
      </c>
    </row>
    <row r="182">
      <c r="A182" s="18" t="n">
        <v>581000</v>
      </c>
      <c r="B182" s="18" t="n">
        <v>42090</v>
      </c>
      <c r="C182" s="18" t="n">
        <v>35620</v>
      </c>
      <c r="D182" s="18" t="n">
        <v>29160</v>
      </c>
      <c r="E182" s="18" t="n">
        <v>22690</v>
      </c>
      <c r="F182" s="18" t="n">
        <v>18000</v>
      </c>
      <c r="G182" s="18" t="n">
        <v>14770</v>
      </c>
      <c r="H182" s="18" t="n">
        <v>11540</v>
      </c>
      <c r="I182" s="18" t="n">
        <v>8300</v>
      </c>
    </row>
    <row r="183">
      <c r="A183" s="18" t="n">
        <v>584000</v>
      </c>
      <c r="B183" s="18" t="n">
        <v>42640</v>
      </c>
      <c r="C183" s="18" t="n">
        <v>36170</v>
      </c>
      <c r="D183" s="18" t="n">
        <v>29710</v>
      </c>
      <c r="E183" s="18" t="n">
        <v>23240</v>
      </c>
      <c r="F183" s="18" t="n">
        <v>18280</v>
      </c>
      <c r="G183" s="18" t="n">
        <v>15050</v>
      </c>
      <c r="H183" s="18" t="n">
        <v>11810</v>
      </c>
      <c r="I183" s="18" t="n">
        <v>8580</v>
      </c>
    </row>
    <row r="184">
      <c r="A184" s="18" t="n">
        <v>587000</v>
      </c>
      <c r="B184" s="18" t="n">
        <v>43190</v>
      </c>
      <c r="C184" s="18" t="n">
        <v>36730</v>
      </c>
      <c r="D184" s="18" t="n">
        <v>30260</v>
      </c>
      <c r="E184" s="18" t="n">
        <v>23790</v>
      </c>
      <c r="F184" s="18" t="n">
        <v>18550</v>
      </c>
      <c r="G184" s="18" t="n">
        <v>15330</v>
      </c>
      <c r="H184" s="18" t="n">
        <v>12090</v>
      </c>
      <c r="I184" s="18" t="n">
        <v>8850</v>
      </c>
    </row>
    <row r="185">
      <c r="A185" s="18" t="n">
        <v>590000</v>
      </c>
      <c r="B185" s="18" t="n">
        <v>43740</v>
      </c>
      <c r="C185" s="18" t="n">
        <v>37280</v>
      </c>
      <c r="D185" s="18" t="n">
        <v>30810</v>
      </c>
      <c r="E185" s="18" t="n">
        <v>24340</v>
      </c>
      <c r="F185" s="18" t="n">
        <v>18830</v>
      </c>
      <c r="G185" s="18" t="n">
        <v>15600</v>
      </c>
      <c r="H185" s="18" t="n">
        <v>12360</v>
      </c>
      <c r="I185" s="18" t="n">
        <v>9130</v>
      </c>
    </row>
    <row r="186">
      <c r="A186" s="18" t="n">
        <v>593000</v>
      </c>
      <c r="B186" s="18" t="n">
        <v>44290</v>
      </c>
      <c r="C186" s="18" t="n">
        <v>37830</v>
      </c>
      <c r="D186" s="18" t="n">
        <v>31370</v>
      </c>
      <c r="E186" s="18" t="n">
        <v>24890</v>
      </c>
      <c r="F186" s="18" t="n">
        <v>19100</v>
      </c>
      <c r="G186" s="18" t="n">
        <v>15880</v>
      </c>
      <c r="H186" s="18" t="n">
        <v>12640</v>
      </c>
      <c r="I186" s="18" t="n">
        <v>9400</v>
      </c>
    </row>
    <row r="187">
      <c r="A187" s="18" t="n">
        <v>596000</v>
      </c>
      <c r="B187" s="18" t="n">
        <v>44840</v>
      </c>
      <c r="C187" s="18" t="n">
        <v>38380</v>
      </c>
      <c r="D187" s="18" t="n">
        <v>31920</v>
      </c>
      <c r="E187" s="18" t="n">
        <v>25440</v>
      </c>
      <c r="F187" s="18" t="n">
        <v>19380</v>
      </c>
      <c r="G187" s="18" t="n">
        <v>16150</v>
      </c>
      <c r="H187" s="18" t="n">
        <v>12920</v>
      </c>
      <c r="I187" s="18" t="n">
        <v>9680</v>
      </c>
    </row>
    <row r="188">
      <c r="A188" s="18" t="n">
        <v>599000</v>
      </c>
      <c r="B188" s="18" t="n">
        <v>45390</v>
      </c>
      <c r="C188" s="18" t="n">
        <v>38930</v>
      </c>
      <c r="D188" s="18" t="n">
        <v>32470</v>
      </c>
      <c r="E188" s="18" t="n">
        <v>25990</v>
      </c>
      <c r="F188" s="18" t="n">
        <v>19650</v>
      </c>
      <c r="G188" s="18" t="n">
        <v>16430</v>
      </c>
      <c r="H188" s="18" t="n">
        <v>13190</v>
      </c>
      <c r="I188" s="18" t="n">
        <v>9950</v>
      </c>
    </row>
    <row r="189">
      <c r="A189" s="18" t="n">
        <v>602000</v>
      </c>
      <c r="B189" s="18" t="n">
        <v>45950</v>
      </c>
      <c r="C189" s="18" t="n">
        <v>39480</v>
      </c>
      <c r="D189" s="18" t="n">
        <v>33020</v>
      </c>
      <c r="E189" s="18" t="n">
        <v>26550</v>
      </c>
      <c r="F189" s="18" t="n">
        <v>20080</v>
      </c>
      <c r="G189" s="18" t="n">
        <v>16700</v>
      </c>
      <c r="H189" s="18" t="n">
        <v>13470</v>
      </c>
      <c r="I189" s="18" t="n">
        <v>10230</v>
      </c>
    </row>
    <row r="190">
      <c r="A190" s="18" t="n">
        <v>605000</v>
      </c>
      <c r="B190" s="18" t="n">
        <v>46500</v>
      </c>
      <c r="C190" s="18" t="n">
        <v>40030</v>
      </c>
      <c r="D190" s="18" t="n">
        <v>33570</v>
      </c>
      <c r="E190" s="18" t="n">
        <v>27100</v>
      </c>
      <c r="F190" s="18" t="n">
        <v>20630</v>
      </c>
      <c r="G190" s="18" t="n">
        <v>16980</v>
      </c>
      <c r="H190" s="18" t="n">
        <v>13740</v>
      </c>
      <c r="I190" s="18" t="n">
        <v>10510</v>
      </c>
    </row>
    <row r="191">
      <c r="A191" s="18" t="n">
        <v>608000</v>
      </c>
      <c r="B191" s="18" t="n">
        <v>47050</v>
      </c>
      <c r="C191" s="18" t="n">
        <v>40580</v>
      </c>
      <c r="D191" s="18" t="n">
        <v>34120</v>
      </c>
      <c r="E191" s="18" t="n">
        <v>27650</v>
      </c>
      <c r="F191" s="18" t="n">
        <v>21190</v>
      </c>
      <c r="G191" s="18" t="n">
        <v>17250</v>
      </c>
      <c r="H191" s="18" t="n">
        <v>14020</v>
      </c>
      <c r="I191" s="18" t="n">
        <v>10780</v>
      </c>
    </row>
    <row r="192">
      <c r="A192" s="18" t="n">
        <v>611000</v>
      </c>
      <c r="B192" s="18" t="n">
        <v>47600</v>
      </c>
      <c r="C192" s="18" t="n">
        <v>41140</v>
      </c>
      <c r="D192" s="18" t="n">
        <v>34670</v>
      </c>
      <c r="E192" s="18" t="n">
        <v>28200</v>
      </c>
      <c r="F192" s="18" t="n">
        <v>21740</v>
      </c>
      <c r="G192" s="18" t="n">
        <v>17530</v>
      </c>
      <c r="H192" s="18" t="n">
        <v>14290</v>
      </c>
      <c r="I192" s="18" t="n">
        <v>11060</v>
      </c>
    </row>
    <row r="193">
      <c r="A193" s="18" t="n">
        <v>614000</v>
      </c>
      <c r="B193" s="18" t="n">
        <v>48150</v>
      </c>
      <c r="C193" s="18" t="n">
        <v>41690</v>
      </c>
      <c r="D193" s="18" t="n">
        <v>35220</v>
      </c>
      <c r="E193" s="18" t="n">
        <v>28750</v>
      </c>
      <c r="F193" s="18" t="n">
        <v>22290</v>
      </c>
      <c r="G193" s="18" t="n">
        <v>17810</v>
      </c>
      <c r="H193" s="18" t="n">
        <v>14570</v>
      </c>
      <c r="I193" s="18" t="n">
        <v>11330</v>
      </c>
    </row>
    <row r="194">
      <c r="A194" s="18" t="n">
        <v>617000</v>
      </c>
      <c r="B194" s="18" t="n">
        <v>48700</v>
      </c>
      <c r="C194" s="18" t="n">
        <v>42240</v>
      </c>
      <c r="D194" s="18" t="n">
        <v>35780</v>
      </c>
      <c r="E194" s="18" t="n">
        <v>29300</v>
      </c>
      <c r="F194" s="18" t="n">
        <v>22840</v>
      </c>
      <c r="G194" s="18" t="n">
        <v>18080</v>
      </c>
      <c r="H194" s="18" t="n">
        <v>14850</v>
      </c>
      <c r="I194" s="18" t="n">
        <v>11610</v>
      </c>
    </row>
    <row r="195">
      <c r="A195" s="18" t="n">
        <v>620000</v>
      </c>
      <c r="B195" s="18" t="n">
        <v>49250</v>
      </c>
      <c r="C195" s="18" t="n">
        <v>42790</v>
      </c>
      <c r="D195" s="18" t="n">
        <v>36330</v>
      </c>
      <c r="E195" s="18" t="n">
        <v>29850</v>
      </c>
      <c r="F195" s="18" t="n">
        <v>23390</v>
      </c>
      <c r="G195" s="18" t="n">
        <v>18360</v>
      </c>
      <c r="H195" s="18" t="n">
        <v>15120</v>
      </c>
      <c r="I195" s="18" t="n">
        <v>11880</v>
      </c>
    </row>
    <row r="196">
      <c r="A196" s="18" t="n">
        <v>623000</v>
      </c>
      <c r="B196" s="18" t="n">
        <v>49800</v>
      </c>
      <c r="C196" s="18" t="n">
        <v>43340</v>
      </c>
      <c r="D196" s="18" t="n">
        <v>36880</v>
      </c>
      <c r="E196" s="18" t="n">
        <v>30410</v>
      </c>
      <c r="F196" s="18" t="n">
        <v>23940</v>
      </c>
      <c r="G196" s="18" t="n">
        <v>18630</v>
      </c>
      <c r="H196" s="18" t="n">
        <v>15400</v>
      </c>
      <c r="I196" s="18" t="n">
        <v>12160</v>
      </c>
    </row>
    <row r="197">
      <c r="A197" s="18" t="n">
        <v>626000</v>
      </c>
      <c r="B197" s="18" t="n">
        <v>50360</v>
      </c>
      <c r="C197" s="18" t="n">
        <v>43890</v>
      </c>
      <c r="D197" s="18" t="n">
        <v>37430</v>
      </c>
      <c r="E197" s="18" t="n">
        <v>30960</v>
      </c>
      <c r="F197" s="18" t="n">
        <v>24490</v>
      </c>
      <c r="G197" s="18" t="n">
        <v>18910</v>
      </c>
      <c r="H197" s="18" t="n">
        <v>15670</v>
      </c>
      <c r="I197" s="18" t="n">
        <v>12440</v>
      </c>
    </row>
    <row r="198">
      <c r="A198" s="18" t="n">
        <v>629000</v>
      </c>
      <c r="B198" s="18" t="n">
        <v>50910</v>
      </c>
      <c r="C198" s="18" t="n">
        <v>44440</v>
      </c>
      <c r="D198" s="18" t="n">
        <v>37980</v>
      </c>
      <c r="E198" s="18" t="n">
        <v>31510</v>
      </c>
      <c r="F198" s="18" t="n">
        <v>25050</v>
      </c>
      <c r="G198" s="18" t="n">
        <v>19180</v>
      </c>
      <c r="H198" s="18" t="n">
        <v>15950</v>
      </c>
      <c r="I198" s="18" t="n">
        <v>12710</v>
      </c>
    </row>
    <row r="199">
      <c r="A199" s="18" t="n">
        <v>632000</v>
      </c>
      <c r="B199" s="18" t="n">
        <v>51460</v>
      </c>
      <c r="C199" s="18" t="n">
        <v>45000</v>
      </c>
      <c r="D199" s="18" t="n">
        <v>38530</v>
      </c>
      <c r="E199" s="18" t="n">
        <v>32060</v>
      </c>
      <c r="F199" s="18" t="n">
        <v>25600</v>
      </c>
      <c r="G199" s="18" t="n">
        <v>19460</v>
      </c>
      <c r="H199" s="18" t="n">
        <v>16220</v>
      </c>
      <c r="I199" s="18" t="n">
        <v>12990</v>
      </c>
    </row>
    <row r="200">
      <c r="A200" s="18" t="n">
        <v>635000</v>
      </c>
      <c r="B200" s="18" t="n">
        <v>52010</v>
      </c>
      <c r="C200" s="18" t="n">
        <v>45550</v>
      </c>
      <c r="D200" s="18" t="n">
        <v>39080</v>
      </c>
      <c r="E200" s="18" t="n">
        <v>32610</v>
      </c>
      <c r="F200" s="18" t="n">
        <v>26150</v>
      </c>
      <c r="G200" s="18" t="n">
        <v>19740</v>
      </c>
      <c r="H200" s="18" t="n">
        <v>16500</v>
      </c>
      <c r="I200" s="18" t="n">
        <v>13260</v>
      </c>
    </row>
    <row r="201">
      <c r="A201" s="18" t="n">
        <v>638000</v>
      </c>
      <c r="B201" s="18" t="n">
        <v>52560</v>
      </c>
      <c r="C201" s="18" t="n">
        <v>46100</v>
      </c>
      <c r="D201" s="18" t="n">
        <v>39640</v>
      </c>
      <c r="E201" s="18" t="n">
        <v>33160</v>
      </c>
      <c r="F201" s="18" t="n">
        <v>26700</v>
      </c>
      <c r="G201" s="18" t="n">
        <v>20240</v>
      </c>
      <c r="H201" s="18" t="n">
        <v>16780</v>
      </c>
      <c r="I201" s="18" t="n">
        <v>13540</v>
      </c>
    </row>
    <row r="202">
      <c r="A202" s="18" t="n">
        <v>641000</v>
      </c>
      <c r="B202" s="18" t="n">
        <v>53110</v>
      </c>
      <c r="C202" s="18" t="n">
        <v>46650</v>
      </c>
      <c r="D202" s="18" t="n">
        <v>40190</v>
      </c>
      <c r="E202" s="18" t="n">
        <v>33710</v>
      </c>
      <c r="F202" s="18" t="n">
        <v>27250</v>
      </c>
      <c r="G202" s="18" t="n">
        <v>20790</v>
      </c>
      <c r="H202" s="18" t="n">
        <v>17050</v>
      </c>
      <c r="I202" s="18" t="n">
        <v>13810</v>
      </c>
    </row>
    <row r="203">
      <c r="A203" s="18" t="n">
        <v>644000</v>
      </c>
      <c r="B203" s="18" t="n">
        <v>53660</v>
      </c>
      <c r="C203" s="18" t="n">
        <v>47200</v>
      </c>
      <c r="D203" s="18" t="n">
        <v>40740</v>
      </c>
      <c r="E203" s="18" t="n">
        <v>34260</v>
      </c>
      <c r="F203" s="18" t="n">
        <v>27800</v>
      </c>
      <c r="G203" s="18" t="n">
        <v>21340</v>
      </c>
      <c r="H203" s="18" t="n">
        <v>17330</v>
      </c>
      <c r="I203" s="18" t="n">
        <v>14090</v>
      </c>
    </row>
    <row r="204">
      <c r="A204" s="18" t="n">
        <v>647000</v>
      </c>
      <c r="B204" s="18" t="n">
        <v>54220</v>
      </c>
      <c r="C204" s="18" t="n">
        <v>47750</v>
      </c>
      <c r="D204" s="18" t="n">
        <v>41290</v>
      </c>
      <c r="E204" s="18" t="n">
        <v>34820</v>
      </c>
      <c r="F204" s="18" t="n">
        <v>28350</v>
      </c>
      <c r="G204" s="18" t="n">
        <v>21890</v>
      </c>
      <c r="H204" s="18" t="n">
        <v>17600</v>
      </c>
      <c r="I204" s="18" t="n">
        <v>14370</v>
      </c>
    </row>
    <row r="205">
      <c r="A205" s="18" t="n">
        <v>650000</v>
      </c>
      <c r="B205" s="18" t="n">
        <v>54770</v>
      </c>
      <c r="C205" s="18" t="n">
        <v>48300</v>
      </c>
      <c r="D205" s="18" t="n">
        <v>41840</v>
      </c>
      <c r="E205" s="18" t="n">
        <v>35370</v>
      </c>
      <c r="F205" s="18" t="n">
        <v>28900</v>
      </c>
      <c r="G205" s="18" t="n">
        <v>22440</v>
      </c>
      <c r="H205" s="18" t="n">
        <v>17880</v>
      </c>
      <c r="I205" s="18" t="n">
        <v>14640</v>
      </c>
    </row>
    <row r="206">
      <c r="A206" s="18" t="n">
        <v>653000</v>
      </c>
      <c r="B206" s="18" t="n">
        <v>55320</v>
      </c>
      <c r="C206" s="18" t="n">
        <v>48850</v>
      </c>
      <c r="D206" s="18" t="n">
        <v>42390</v>
      </c>
      <c r="E206" s="18" t="n">
        <v>35920</v>
      </c>
      <c r="F206" s="18" t="n">
        <v>29460</v>
      </c>
      <c r="G206" s="18" t="n">
        <v>22990</v>
      </c>
      <c r="H206" s="18" t="n">
        <v>18150</v>
      </c>
      <c r="I206" s="18" t="n">
        <v>14920</v>
      </c>
    </row>
    <row r="207">
      <c r="A207" s="18" t="n">
        <v>656000</v>
      </c>
      <c r="B207" s="18" t="n">
        <v>55870</v>
      </c>
      <c r="C207" s="18" t="n">
        <v>49410</v>
      </c>
      <c r="D207" s="18" t="n">
        <v>42940</v>
      </c>
      <c r="E207" s="18" t="n">
        <v>36470</v>
      </c>
      <c r="F207" s="18" t="n">
        <v>30010</v>
      </c>
      <c r="G207" s="18" t="n">
        <v>23540</v>
      </c>
      <c r="H207" s="18" t="n">
        <v>18430</v>
      </c>
      <c r="I207" s="18" t="n">
        <v>15190</v>
      </c>
    </row>
    <row r="208">
      <c r="A208" s="18" t="n">
        <v>659000</v>
      </c>
      <c r="B208" s="18" t="n">
        <v>56420</v>
      </c>
      <c r="C208" s="18" t="n">
        <v>49960</v>
      </c>
      <c r="D208" s="18" t="n">
        <v>43490</v>
      </c>
      <c r="E208" s="18" t="n">
        <v>37020</v>
      </c>
      <c r="F208" s="18" t="n">
        <v>30560</v>
      </c>
      <c r="G208" s="18" t="n">
        <v>24100</v>
      </c>
      <c r="H208" s="18" t="n">
        <v>18700</v>
      </c>
      <c r="I208" s="18" t="n">
        <v>15470</v>
      </c>
    </row>
    <row r="209">
      <c r="A209" s="18" t="n">
        <v>662000</v>
      </c>
      <c r="B209" s="18" t="n">
        <v>56970</v>
      </c>
      <c r="C209" s="18" t="n">
        <v>50510</v>
      </c>
      <c r="D209" s="18" t="n">
        <v>44050</v>
      </c>
      <c r="E209" s="18" t="n">
        <v>37570</v>
      </c>
      <c r="F209" s="18" t="n">
        <v>31110</v>
      </c>
      <c r="G209" s="18" t="n">
        <v>24650</v>
      </c>
      <c r="H209" s="18" t="n">
        <v>18980</v>
      </c>
      <c r="I209" s="18" t="n">
        <v>15740</v>
      </c>
    </row>
    <row r="210">
      <c r="A210" s="18" t="n">
        <v>665000</v>
      </c>
      <c r="B210" s="18" t="n">
        <v>57520</v>
      </c>
      <c r="C210" s="18" t="n">
        <v>51060</v>
      </c>
      <c r="D210" s="18" t="n">
        <v>44600</v>
      </c>
      <c r="E210" s="18" t="n">
        <v>38120</v>
      </c>
      <c r="F210" s="18" t="n">
        <v>31660</v>
      </c>
      <c r="G210" s="18" t="n">
        <v>25200</v>
      </c>
      <c r="H210" s="18" t="n">
        <v>19260</v>
      </c>
      <c r="I210" s="18" t="n">
        <v>16020</v>
      </c>
    </row>
    <row r="211">
      <c r="A211" s="18" t="n">
        <v>668000</v>
      </c>
      <c r="B211" s="18" t="n">
        <v>58070</v>
      </c>
      <c r="C211" s="18" t="n">
        <v>51610</v>
      </c>
      <c r="D211" s="18" t="n">
        <v>45150</v>
      </c>
      <c r="E211" s="18" t="n">
        <v>38680</v>
      </c>
      <c r="F211" s="18" t="n">
        <v>32210</v>
      </c>
      <c r="G211" s="18" t="n">
        <v>25750</v>
      </c>
      <c r="H211" s="18" t="n">
        <v>19530</v>
      </c>
      <c r="I211" s="18" t="n">
        <v>16300</v>
      </c>
    </row>
    <row r="212">
      <c r="A212" s="18" t="n">
        <v>671000</v>
      </c>
      <c r="B212" s="18" t="n">
        <v>58630</v>
      </c>
      <c r="C212" s="18" t="n">
        <v>52160</v>
      </c>
      <c r="D212" s="18" t="n">
        <v>45700</v>
      </c>
      <c r="E212" s="18" t="n">
        <v>39230</v>
      </c>
      <c r="F212" s="18" t="n">
        <v>32760</v>
      </c>
      <c r="G212" s="18" t="n">
        <v>26300</v>
      </c>
      <c r="H212" s="18" t="n">
        <v>19830</v>
      </c>
      <c r="I212" s="18" t="n">
        <v>16570</v>
      </c>
    </row>
    <row r="213">
      <c r="A213" s="18" t="n">
        <v>674000</v>
      </c>
      <c r="B213" s="18" t="n">
        <v>59180</v>
      </c>
      <c r="C213" s="18" t="n">
        <v>52710</v>
      </c>
      <c r="D213" s="18" t="n">
        <v>46250</v>
      </c>
      <c r="E213" s="18" t="n">
        <v>39780</v>
      </c>
      <c r="F213" s="18" t="n">
        <v>33320</v>
      </c>
      <c r="G213" s="18" t="n">
        <v>26850</v>
      </c>
      <c r="H213" s="18" t="n">
        <v>20380</v>
      </c>
      <c r="I213" s="18" t="n">
        <v>16850</v>
      </c>
    </row>
    <row r="214">
      <c r="A214" s="18" t="n">
        <v>677000</v>
      </c>
      <c r="B214" s="18" t="n">
        <v>59730</v>
      </c>
      <c r="C214" s="18" t="n">
        <v>53270</v>
      </c>
      <c r="D214" s="18" t="n">
        <v>46800</v>
      </c>
      <c r="E214" s="18" t="n">
        <v>40330</v>
      </c>
      <c r="F214" s="18" t="n">
        <v>33870</v>
      </c>
      <c r="G214" s="18" t="n">
        <v>27400</v>
      </c>
      <c r="H214" s="18" t="n">
        <v>20930</v>
      </c>
      <c r="I214" s="18" t="n">
        <v>17120</v>
      </c>
    </row>
    <row r="215">
      <c r="A215" s="18" t="n">
        <v>680000</v>
      </c>
      <c r="B215" s="18" t="n">
        <v>60280</v>
      </c>
      <c r="C215" s="18" t="n">
        <v>53820</v>
      </c>
      <c r="D215" s="18" t="n">
        <v>47350</v>
      </c>
      <c r="E215" s="18" t="n">
        <v>40880</v>
      </c>
      <c r="F215" s="18" t="n">
        <v>34420</v>
      </c>
      <c r="G215" s="18" t="n">
        <v>27950</v>
      </c>
      <c r="H215" s="18" t="n">
        <v>21480</v>
      </c>
      <c r="I215" s="18" t="n">
        <v>17400</v>
      </c>
    </row>
    <row r="216">
      <c r="A216" s="18" t="n">
        <v>683000</v>
      </c>
      <c r="B216" s="18" t="n">
        <v>60830</v>
      </c>
      <c r="C216" s="18" t="n">
        <v>54370</v>
      </c>
      <c r="D216" s="18" t="n">
        <v>47910</v>
      </c>
      <c r="E216" s="18" t="n">
        <v>41430</v>
      </c>
      <c r="F216" s="18" t="n">
        <v>34970</v>
      </c>
      <c r="G216" s="18" t="n">
        <v>28510</v>
      </c>
      <c r="H216" s="18" t="n">
        <v>22030</v>
      </c>
      <c r="I216" s="18" t="n">
        <v>17670</v>
      </c>
    </row>
    <row r="217">
      <c r="A217" s="18" t="n">
        <v>686000</v>
      </c>
      <c r="B217" s="18" t="n">
        <v>61380</v>
      </c>
      <c r="C217" s="18" t="n">
        <v>54920</v>
      </c>
      <c r="D217" s="18" t="n">
        <v>48460</v>
      </c>
      <c r="E217" s="18" t="n">
        <v>41980</v>
      </c>
      <c r="F217" s="18" t="n">
        <v>35520</v>
      </c>
      <c r="G217" s="18" t="n">
        <v>29060</v>
      </c>
      <c r="H217" s="18" t="n">
        <v>22580</v>
      </c>
      <c r="I217" s="18" t="n">
        <v>17950</v>
      </c>
    </row>
    <row r="218">
      <c r="A218" s="18" t="n">
        <v>689000</v>
      </c>
      <c r="B218" s="18" t="n">
        <v>61930</v>
      </c>
      <c r="C218" s="18" t="n">
        <v>55470</v>
      </c>
      <c r="D218" s="18" t="n">
        <v>49010</v>
      </c>
      <c r="E218" s="18" t="n">
        <v>42530</v>
      </c>
      <c r="F218" s="18" t="n">
        <v>36070</v>
      </c>
      <c r="G218" s="18" t="n">
        <v>29610</v>
      </c>
      <c r="H218" s="18" t="n">
        <v>23140</v>
      </c>
      <c r="I218" s="18" t="n">
        <v>18220</v>
      </c>
    </row>
    <row r="219">
      <c r="A219" s="18" t="n">
        <v>692000</v>
      </c>
      <c r="B219" s="18" t="n">
        <v>62490</v>
      </c>
      <c r="C219" s="18" t="n">
        <v>56020</v>
      </c>
      <c r="D219" s="18" t="n">
        <v>49560</v>
      </c>
      <c r="E219" s="18" t="n">
        <v>43090</v>
      </c>
      <c r="F219" s="18" t="n">
        <v>36620</v>
      </c>
      <c r="G219" s="18" t="n">
        <v>30160</v>
      </c>
      <c r="H219" s="18" t="n">
        <v>23690</v>
      </c>
      <c r="I219" s="18" t="n">
        <v>18500</v>
      </c>
    </row>
    <row r="220">
      <c r="A220" s="18" t="n">
        <v>695000</v>
      </c>
      <c r="B220" s="18" t="n">
        <v>63040</v>
      </c>
      <c r="C220" s="18" t="n">
        <v>56570</v>
      </c>
      <c r="D220" s="18" t="n">
        <v>50110</v>
      </c>
      <c r="E220" s="18" t="n">
        <v>43640</v>
      </c>
      <c r="F220" s="18" t="n">
        <v>37170</v>
      </c>
      <c r="G220" s="18" t="n">
        <v>30710</v>
      </c>
      <c r="H220" s="18" t="n">
        <v>24240</v>
      </c>
      <c r="I220" s="18" t="n">
        <v>18780</v>
      </c>
    </row>
    <row r="221">
      <c r="A221" s="18" t="n">
        <v>698000</v>
      </c>
      <c r="B221" s="18" t="n">
        <v>63590</v>
      </c>
      <c r="C221" s="18" t="n">
        <v>57120</v>
      </c>
      <c r="D221" s="18" t="n">
        <v>50660</v>
      </c>
      <c r="E221" s="18" t="n">
        <v>44190</v>
      </c>
      <c r="F221" s="18" t="n">
        <v>37730</v>
      </c>
      <c r="G221" s="18" t="n">
        <v>31260</v>
      </c>
      <c r="H221" s="18" t="n">
        <v>24790</v>
      </c>
      <c r="I221" s="18" t="n">
        <v>19050</v>
      </c>
    </row>
    <row r="222">
      <c r="A222" s="18" t="n">
        <v>701000</v>
      </c>
      <c r="B222" s="18" t="n">
        <v>64140</v>
      </c>
      <c r="C222" s="18" t="n">
        <v>57680</v>
      </c>
      <c r="D222" s="18" t="n">
        <v>51210</v>
      </c>
      <c r="E222" s="18" t="n">
        <v>44740</v>
      </c>
      <c r="F222" s="18" t="n">
        <v>38280</v>
      </c>
      <c r="G222" s="18" t="n">
        <v>31810</v>
      </c>
      <c r="H222" s="18" t="n">
        <v>25340</v>
      </c>
      <c r="I222" s="18" t="n">
        <v>19330</v>
      </c>
    </row>
    <row r="223">
      <c r="A223" s="18" t="n">
        <v>704000</v>
      </c>
      <c r="B223" s="18" t="n">
        <v>64690</v>
      </c>
      <c r="C223" s="18" t="n">
        <v>58230</v>
      </c>
      <c r="D223" s="18" t="n">
        <v>51760</v>
      </c>
      <c r="E223" s="18" t="n">
        <v>45290</v>
      </c>
      <c r="F223" s="18" t="n">
        <v>38830</v>
      </c>
      <c r="G223" s="18" t="n">
        <v>32370</v>
      </c>
      <c r="H223" s="18" t="n">
        <v>25890</v>
      </c>
      <c r="I223" s="18" t="n">
        <v>19600</v>
      </c>
    </row>
    <row r="224">
      <c r="A224" s="18" t="n">
        <v>707000</v>
      </c>
      <c r="B224" s="18" t="n">
        <v>65250</v>
      </c>
      <c r="C224" s="18" t="n">
        <v>58780</v>
      </c>
      <c r="D224" s="18" t="n">
        <v>52320</v>
      </c>
      <c r="E224" s="18" t="n">
        <v>45850</v>
      </c>
      <c r="F224" s="18" t="n">
        <v>39380</v>
      </c>
      <c r="G224" s="18" t="n">
        <v>32920</v>
      </c>
      <c r="H224" s="18" t="n">
        <v>26450</v>
      </c>
      <c r="I224" s="18" t="n">
        <v>19980</v>
      </c>
    </row>
    <row r="225">
      <c r="A225" s="18" t="n">
        <v>710000</v>
      </c>
      <c r="B225" s="18" t="n">
        <v>65860</v>
      </c>
      <c r="C225" s="18" t="n">
        <v>59390</v>
      </c>
      <c r="D225" s="18" t="n">
        <v>52930</v>
      </c>
      <c r="E225" s="18" t="n">
        <v>46470</v>
      </c>
      <c r="F225" s="18" t="n">
        <v>39990</v>
      </c>
      <c r="G225" s="18" t="n">
        <v>33530</v>
      </c>
      <c r="H225" s="18" t="n">
        <v>27070</v>
      </c>
      <c r="I225" s="18" t="n">
        <v>20590</v>
      </c>
    </row>
    <row r="226">
      <c r="A226" s="18" t="n">
        <v>713000</v>
      </c>
      <c r="B226" s="18" t="n">
        <v>66480</v>
      </c>
      <c r="C226" s="18" t="n">
        <v>60000</v>
      </c>
      <c r="D226" s="18" t="n">
        <v>53540</v>
      </c>
      <c r="E226" s="18" t="n">
        <v>47080</v>
      </c>
      <c r="F226" s="18" t="n">
        <v>40610</v>
      </c>
      <c r="G226" s="18" t="n">
        <v>34140</v>
      </c>
      <c r="H226" s="18" t="n">
        <v>27680</v>
      </c>
      <c r="I226" s="18" t="n">
        <v>21210</v>
      </c>
    </row>
    <row r="227">
      <c r="A227" s="18" t="n">
        <v>716000</v>
      </c>
      <c r="B227" s="18" t="n">
        <v>67090</v>
      </c>
      <c r="C227" s="18" t="n">
        <v>60620</v>
      </c>
      <c r="D227" s="18" t="n">
        <v>54150</v>
      </c>
      <c r="E227" s="18" t="n">
        <v>47690</v>
      </c>
      <c r="F227" s="18" t="n">
        <v>41220</v>
      </c>
      <c r="G227" s="18" t="n">
        <v>34750</v>
      </c>
      <c r="H227" s="18" t="n">
        <v>28290</v>
      </c>
      <c r="I227" s="18" t="n">
        <v>21820</v>
      </c>
    </row>
    <row r="228">
      <c r="A228" s="18" t="n">
        <v>719000</v>
      </c>
      <c r="B228" s="18" t="n">
        <v>67700</v>
      </c>
      <c r="C228" s="18" t="n">
        <v>61230</v>
      </c>
      <c r="D228" s="18" t="n">
        <v>54770</v>
      </c>
      <c r="E228" s="18" t="n">
        <v>48300</v>
      </c>
      <c r="F228" s="18" t="n">
        <v>41830</v>
      </c>
      <c r="G228" s="18" t="n">
        <v>35370</v>
      </c>
      <c r="H228" s="18" t="n">
        <v>28900</v>
      </c>
      <c r="I228" s="18" t="n">
        <v>22430</v>
      </c>
    </row>
    <row r="229">
      <c r="A229" s="18" t="n">
        <v>722000</v>
      </c>
      <c r="B229" s="18" t="n">
        <v>68320</v>
      </c>
      <c r="C229" s="18" t="n">
        <v>61840</v>
      </c>
      <c r="D229" s="18" t="n">
        <v>55380</v>
      </c>
      <c r="E229" s="18" t="n">
        <v>48920</v>
      </c>
      <c r="F229" s="18" t="n">
        <v>42440</v>
      </c>
      <c r="G229" s="18" t="n">
        <v>35980</v>
      </c>
      <c r="H229" s="18" t="n">
        <v>29520</v>
      </c>
      <c r="I229" s="18" t="n">
        <v>23040</v>
      </c>
    </row>
    <row r="230">
      <c r="A230" s="18" t="n">
        <v>725000</v>
      </c>
      <c r="B230" s="18" t="n">
        <v>68930</v>
      </c>
      <c r="C230" s="18" t="n">
        <v>62450</v>
      </c>
      <c r="D230" s="18" t="n">
        <v>55990</v>
      </c>
      <c r="E230" s="18" t="n">
        <v>49530</v>
      </c>
      <c r="F230" s="18" t="n">
        <v>43060</v>
      </c>
      <c r="G230" s="18" t="n">
        <v>36590</v>
      </c>
      <c r="H230" s="18" t="n">
        <v>30130</v>
      </c>
      <c r="I230" s="18" t="n">
        <v>23660</v>
      </c>
    </row>
    <row r="231">
      <c r="A231" s="18" t="n">
        <v>728000</v>
      </c>
      <c r="B231" s="18" t="n">
        <v>69540</v>
      </c>
      <c r="C231" s="18" t="n">
        <v>63070</v>
      </c>
      <c r="D231" s="18" t="n">
        <v>56600</v>
      </c>
      <c r="E231" s="18" t="n">
        <v>50140</v>
      </c>
      <c r="F231" s="18" t="n">
        <v>43670</v>
      </c>
      <c r="G231" s="18" t="n">
        <v>37210</v>
      </c>
      <c r="H231" s="18" t="n">
        <v>30740</v>
      </c>
      <c r="I231" s="18" t="n">
        <v>24270</v>
      </c>
    </row>
    <row r="232">
      <c r="A232" s="18" t="n">
        <v>731000</v>
      </c>
      <c r="B232" s="18" t="n">
        <v>70150</v>
      </c>
      <c r="C232" s="18" t="n">
        <v>63680</v>
      </c>
      <c r="D232" s="18" t="n">
        <v>57220</v>
      </c>
      <c r="E232" s="18" t="n">
        <v>50750</v>
      </c>
      <c r="F232" s="18" t="n">
        <v>44280</v>
      </c>
      <c r="G232" s="18" t="n">
        <v>37820</v>
      </c>
      <c r="H232" s="18" t="n">
        <v>31350</v>
      </c>
      <c r="I232" s="18" t="n">
        <v>24880</v>
      </c>
    </row>
    <row r="233">
      <c r="A233" s="18" t="n">
        <v>734000</v>
      </c>
      <c r="B233" s="18" t="n">
        <v>70770</v>
      </c>
      <c r="C233" s="18" t="n">
        <v>64290</v>
      </c>
      <c r="D233" s="18" t="n">
        <v>57830</v>
      </c>
      <c r="E233" s="18" t="n">
        <v>51370</v>
      </c>
      <c r="F233" s="18" t="n">
        <v>44890</v>
      </c>
      <c r="G233" s="18" t="n">
        <v>38430</v>
      </c>
      <c r="H233" s="18" t="n">
        <v>31970</v>
      </c>
      <c r="I233" s="18" t="n">
        <v>25490</v>
      </c>
    </row>
    <row r="234">
      <c r="A234" s="18" t="n">
        <v>737000</v>
      </c>
      <c r="B234" s="18" t="n">
        <v>71380</v>
      </c>
      <c r="C234" s="18" t="n">
        <v>64900</v>
      </c>
      <c r="D234" s="18" t="n">
        <v>58440</v>
      </c>
      <c r="E234" s="18" t="n">
        <v>51980</v>
      </c>
      <c r="F234" s="18" t="n">
        <v>45510</v>
      </c>
      <c r="G234" s="18" t="n">
        <v>39040</v>
      </c>
      <c r="H234" s="18" t="n">
        <v>32580</v>
      </c>
      <c r="I234" s="18" t="n">
        <v>26110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16" customWidth="1" min="1" max="1"/>
    <col width="16" customWidth="1" min="2" max="2"/>
  </cols>
  <sheetData>
    <row r="1">
      <c r="A1" s="13" t="inlineStr">
        <is>
          <t>健康保険の標準報酬月額。報酬月額がA列以上なら、その行の標準報酬月額。厚生年金は88,000円から650,000円まで</t>
        </is>
      </c>
    </row>
    <row r="3">
      <c r="A3" s="2" t="inlineStr">
        <is>
          <t>報酬月額の下限</t>
        </is>
      </c>
      <c r="B3" s="2" t="inlineStr">
        <is>
          <t>標準報酬月額</t>
        </is>
      </c>
    </row>
    <row r="4">
      <c r="A4" s="18" t="n">
        <v>0</v>
      </c>
      <c r="B4" s="18" t="n">
        <v>58000</v>
      </c>
    </row>
    <row r="5">
      <c r="A5" s="18" t="n">
        <v>63000</v>
      </c>
      <c r="B5" s="18" t="n">
        <v>68000</v>
      </c>
    </row>
    <row r="6">
      <c r="A6" s="18" t="n">
        <v>73000</v>
      </c>
      <c r="B6" s="18" t="n">
        <v>78000</v>
      </c>
    </row>
    <row r="7">
      <c r="A7" s="18" t="n">
        <v>83000</v>
      </c>
      <c r="B7" s="18" t="n">
        <v>88000</v>
      </c>
    </row>
    <row r="8">
      <c r="A8" s="18" t="n">
        <v>93000</v>
      </c>
      <c r="B8" s="18" t="n">
        <v>98000</v>
      </c>
    </row>
    <row r="9">
      <c r="A9" s="18" t="n">
        <v>101000</v>
      </c>
      <c r="B9" s="18" t="n">
        <v>104000</v>
      </c>
    </row>
    <row r="10">
      <c r="A10" s="18" t="n">
        <v>107000</v>
      </c>
      <c r="B10" s="18" t="n">
        <v>110000</v>
      </c>
    </row>
    <row r="11">
      <c r="A11" s="18" t="n">
        <v>114000</v>
      </c>
      <c r="B11" s="18" t="n">
        <v>118000</v>
      </c>
    </row>
    <row r="12">
      <c r="A12" s="18" t="n">
        <v>122000</v>
      </c>
      <c r="B12" s="18" t="n">
        <v>126000</v>
      </c>
    </row>
    <row r="13">
      <c r="A13" s="18" t="n">
        <v>130000</v>
      </c>
      <c r="B13" s="18" t="n">
        <v>134000</v>
      </c>
    </row>
    <row r="14">
      <c r="A14" s="18" t="n">
        <v>138000</v>
      </c>
      <c r="B14" s="18" t="n">
        <v>142000</v>
      </c>
    </row>
    <row r="15">
      <c r="A15" s="18" t="n">
        <v>146000</v>
      </c>
      <c r="B15" s="18" t="n">
        <v>150000</v>
      </c>
    </row>
    <row r="16">
      <c r="A16" s="18" t="n">
        <v>155000</v>
      </c>
      <c r="B16" s="18" t="n">
        <v>160000</v>
      </c>
    </row>
    <row r="17">
      <c r="A17" s="18" t="n">
        <v>165000</v>
      </c>
      <c r="B17" s="18" t="n">
        <v>170000</v>
      </c>
    </row>
    <row r="18">
      <c r="A18" s="18" t="n">
        <v>175000</v>
      </c>
      <c r="B18" s="18" t="n">
        <v>180000</v>
      </c>
    </row>
    <row r="19">
      <c r="A19" s="18" t="n">
        <v>185000</v>
      </c>
      <c r="B19" s="18" t="n">
        <v>190000</v>
      </c>
    </row>
    <row r="20">
      <c r="A20" s="18" t="n">
        <v>195000</v>
      </c>
      <c r="B20" s="18" t="n">
        <v>200000</v>
      </c>
    </row>
    <row r="21">
      <c r="A21" s="18" t="n">
        <v>210000</v>
      </c>
      <c r="B21" s="18" t="n">
        <v>220000</v>
      </c>
    </row>
    <row r="22">
      <c r="A22" s="18" t="n">
        <v>230000</v>
      </c>
      <c r="B22" s="18" t="n">
        <v>240000</v>
      </c>
    </row>
    <row r="23">
      <c r="A23" s="18" t="n">
        <v>250000</v>
      </c>
      <c r="B23" s="18" t="n">
        <v>260000</v>
      </c>
    </row>
    <row r="24">
      <c r="A24" s="18" t="n">
        <v>270000</v>
      </c>
      <c r="B24" s="18" t="n">
        <v>280000</v>
      </c>
    </row>
    <row r="25">
      <c r="A25" s="18" t="n">
        <v>290000</v>
      </c>
      <c r="B25" s="18" t="n">
        <v>300000</v>
      </c>
    </row>
    <row r="26">
      <c r="A26" s="18" t="n">
        <v>310000</v>
      </c>
      <c r="B26" s="18" t="n">
        <v>320000</v>
      </c>
    </row>
    <row r="27">
      <c r="A27" s="18" t="n">
        <v>330000</v>
      </c>
      <c r="B27" s="18" t="n">
        <v>340000</v>
      </c>
    </row>
    <row r="28">
      <c r="A28" s="18" t="n">
        <v>350000</v>
      </c>
      <c r="B28" s="18" t="n">
        <v>360000</v>
      </c>
    </row>
    <row r="29">
      <c r="A29" s="18" t="n">
        <v>370000</v>
      </c>
      <c r="B29" s="18" t="n">
        <v>380000</v>
      </c>
    </row>
    <row r="30">
      <c r="A30" s="18" t="n">
        <v>395000</v>
      </c>
      <c r="B30" s="18" t="n">
        <v>410000</v>
      </c>
    </row>
    <row r="31">
      <c r="A31" s="18" t="n">
        <v>425000</v>
      </c>
      <c r="B31" s="18" t="n">
        <v>440000</v>
      </c>
    </row>
    <row r="32">
      <c r="A32" s="18" t="n">
        <v>455000</v>
      </c>
      <c r="B32" s="18" t="n">
        <v>470000</v>
      </c>
    </row>
    <row r="33">
      <c r="A33" s="18" t="n">
        <v>485000</v>
      </c>
      <c r="B33" s="18" t="n">
        <v>500000</v>
      </c>
    </row>
    <row r="34">
      <c r="A34" s="18" t="n">
        <v>515000</v>
      </c>
      <c r="B34" s="18" t="n">
        <v>530000</v>
      </c>
    </row>
    <row r="35">
      <c r="A35" s="18" t="n">
        <v>545000</v>
      </c>
      <c r="B35" s="18" t="n">
        <v>560000</v>
      </c>
    </row>
    <row r="36">
      <c r="A36" s="18" t="n">
        <v>575000</v>
      </c>
      <c r="B36" s="18" t="n">
        <v>590000</v>
      </c>
    </row>
    <row r="37">
      <c r="A37" s="18" t="n">
        <v>605000</v>
      </c>
      <c r="B37" s="18" t="n">
        <v>620000</v>
      </c>
    </row>
    <row r="38">
      <c r="A38" s="18" t="n">
        <v>635000</v>
      </c>
      <c r="B38" s="18" t="n">
        <v>650000</v>
      </c>
    </row>
    <row r="39">
      <c r="A39" s="18" t="n">
        <v>665000</v>
      </c>
      <c r="B39" s="18" t="n">
        <v>680000</v>
      </c>
    </row>
    <row r="40">
      <c r="A40" s="18" t="n">
        <v>695000</v>
      </c>
      <c r="B40" s="18" t="n">
        <v>710000</v>
      </c>
    </row>
    <row r="41">
      <c r="A41" s="18" t="n">
        <v>730000</v>
      </c>
      <c r="B41" s="18" t="n">
        <v>750000</v>
      </c>
    </row>
    <row r="42">
      <c r="A42" s="18" t="n">
        <v>770000</v>
      </c>
      <c r="B42" s="18" t="n">
        <v>790000</v>
      </c>
    </row>
    <row r="43">
      <c r="A43" s="18" t="n">
        <v>810000</v>
      </c>
      <c r="B43" s="18" t="n">
        <v>830000</v>
      </c>
    </row>
    <row r="44">
      <c r="A44" s="18" t="n">
        <v>855000</v>
      </c>
      <c r="B44" s="18" t="n">
        <v>880000</v>
      </c>
    </row>
    <row r="45">
      <c r="A45" s="18" t="n">
        <v>905000</v>
      </c>
      <c r="B45" s="18" t="n">
        <v>930000</v>
      </c>
    </row>
    <row r="46">
      <c r="A46" s="18" t="n">
        <v>955000</v>
      </c>
      <c r="B46" s="18" t="n">
        <v>980000</v>
      </c>
    </row>
    <row r="47">
      <c r="A47" s="18" t="n">
        <v>1005000</v>
      </c>
      <c r="B47" s="18" t="n">
        <v>1030000</v>
      </c>
    </row>
    <row r="48">
      <c r="A48" s="18" t="n">
        <v>1055000</v>
      </c>
      <c r="B48" s="18" t="n">
        <v>1090000</v>
      </c>
    </row>
    <row r="49">
      <c r="A49" s="18" t="n">
        <v>1115000</v>
      </c>
      <c r="B49" s="18" t="n">
        <v>1150000</v>
      </c>
    </row>
    <row r="50">
      <c r="A50" s="18" t="n">
        <v>1175000</v>
      </c>
      <c r="B50" s="18" t="n">
        <v>1210000</v>
      </c>
    </row>
    <row r="51">
      <c r="A51" s="18" t="n">
        <v>1235000</v>
      </c>
      <c r="B51" s="18" t="n">
        <v>1270000</v>
      </c>
    </row>
    <row r="52">
      <c r="A52" s="18" t="n">
        <v>1295000</v>
      </c>
      <c r="B52" s="18" t="n">
        <v>1330000</v>
      </c>
    </row>
    <row r="53">
      <c r="A53" s="18" t="n">
        <v>1355000</v>
      </c>
      <c r="B53" s="18" t="n">
        <v>1390000</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2026-10-06T02:16:14Z</dcterms:created>
  <dcterms:modified xmlns:dcterms="http://purl.org/dc/terms/" xmlns:xsi="http://www.w3.org/2001/XMLSchema-instance" xsi:type="dcterms:W3CDTF">2026-10-06T02:16:17Z</dcterms:modified>
</cp:coreProperties>
</file>