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_点検" sheetId="1" state="visible" r:id="rId1"/>
    <sheet xmlns:r="http://schemas.openxmlformats.org/officeDocument/2006/relationships" name="2_0.1を足す" sheetId="2" state="visible" r:id="rId2"/>
    <sheet xmlns:r="http://schemas.openxmlformats.org/officeDocument/2006/relationships" name="3_足す数ごと" sheetId="3" state="visible" r:id="rId3"/>
    <sheet xmlns:r="http://schemas.openxmlformats.org/officeDocument/2006/relationships" name="4_隠れる例" sheetId="4" state="visible" r:id="rId4"/>
    <sheet xmlns:r="http://schemas.openxmlformats.org/officeDocument/2006/relationships" name="5_使い方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0.0#########"/>
    <numFmt numFmtId="165" formatCode="#,##0.0#########"/>
    <numFmt numFmtId="166" formatCode="0.0#"/>
    <numFmt numFmtId="167" formatCode="0.00000000000000"/>
  </numFmts>
  <fonts count="3">
    <font>
      <name val="Calibri"/>
      <family val="2"/>
      <color theme="1"/>
      <sz val="11"/>
      <scheme val="minor"/>
    </font>
    <font>
      <b val="1"/>
      <sz val="12"/>
    </font>
    <font>
      <b val="1"/>
    </font>
  </fonts>
  <fills count="5">
    <fill>
      <patternFill/>
    </fill>
    <fill>
      <patternFill patternType="gray125"/>
    </fill>
    <fill>
      <patternFill patternType="solid">
        <fgColor rgb="00FFF7CC"/>
      </patternFill>
    </fill>
    <fill>
      <patternFill patternType="solid">
        <fgColor rgb="00E8EDF2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" fontId="0" fillId="2" borderId="1" pivotButton="0" quotePrefix="0" xfId="0"/>
    <xf numFmtId="0" fontId="0" fillId="0" borderId="0" applyAlignment="1" pivotButton="0" quotePrefix="0" xfId="0">
      <alignment/>
    </xf>
    <xf numFmtId="0" fontId="2" fillId="3" borderId="1" applyAlignment="1" pivotButton="0" quotePrefix="0" xfId="0">
      <alignment horizontal="center" vertical="center" wrapText="1"/>
    </xf>
    <xf numFmtId="164" fontId="0" fillId="2" borderId="1" pivotButton="0" quotePrefix="0" xfId="0"/>
    <xf numFmtId="164" fontId="0" fillId="4" borderId="1" pivotButton="0" quotePrefix="0" xfId="0"/>
    <xf numFmtId="11" fontId="0" fillId="4" borderId="1" pivotButton="0" quotePrefix="0" xfId="0"/>
    <xf numFmtId="0" fontId="0" fillId="4" borderId="1" pivotButton="0" quotePrefix="0" xfId="0"/>
    <xf numFmtId="0" fontId="2" fillId="3" borderId="1" pivotButton="0" quotePrefix="0" xfId="0"/>
    <xf numFmtId="3" fontId="0" fillId="4" borderId="1" pivotButton="0" quotePrefix="0" xfId="0"/>
    <xf numFmtId="165" fontId="0" fillId="4" borderId="1" pivotButton="0" quotePrefix="0" xfId="0"/>
    <xf numFmtId="3" fontId="2" fillId="3" borderId="1" applyAlignment="1" pivotButton="0" quotePrefix="0" xfId="0">
      <alignment horizontal="center" vertical="center" wrapText="1"/>
    </xf>
    <xf numFmtId="166" fontId="0" fillId="0" borderId="1" pivotButton="0" quotePrefix="0" xfId="0"/>
    <xf numFmtId="0" fontId="0" fillId="0" borderId="1" pivotButton="0" quotePrefix="0" xfId="0"/>
    <xf numFmtId="167" fontId="0" fillId="4" borderId="1" pivotButton="0" quotePrefix="0" xfId="0"/>
  </cellXfs>
  <cellStyles count="1">
    <cellStyle name="Normal" xfId="0" builtinId="0" hidden="0"/>
  </cellStyles>
  <dxfs count="3">
    <dxf>
      <fill>
        <patternFill patternType="solid">
          <fgColor rgb="00FDE8E8"/>
          <bgColor rgb="00FDE8E8"/>
        </patternFill>
      </fill>
    </dxf>
    <dxf>
      <fill>
        <patternFill patternType="solid">
          <fgColor rgb="00FFF1D6"/>
          <bgColor rgb="00FFF1D6"/>
        </patternFill>
      </fill>
    </dxf>
    <dxf>
      <fill>
        <patternFill patternType="solid">
          <fgColor rgb="00E6F4EA"/>
          <bgColor rgb="00E6F4E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0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4" customWidth="1" min="4" max="4"/>
    <col width="11" customWidth="1" min="5" max="5"/>
    <col width="30" customWidth="1" min="6" max="6"/>
    <col width="22" customWidth="1" min="7" max="7"/>
    <col width="30" customWidth="1" min="9" max="9"/>
    <col width="12" customWidth="1" min="10" max="10"/>
  </cols>
  <sheetData>
    <row r="1">
      <c r="A1" s="1" t="inlineStr">
        <is>
          <t>小数の列を足していくと、どの行から合わなくなるかを見る。A列に貼り、H2に小数の桁数を入れる</t>
        </is>
      </c>
    </row>
    <row r="2">
      <c r="A2" s="2" t="inlineStr">
        <is>
          <t>小数の桁数（入力値の桁）</t>
        </is>
      </c>
      <c r="H2" s="3" t="n">
        <v>1</v>
      </c>
    </row>
    <row r="3">
      <c r="A3" s="4" t="inlineStr">
        <is>
          <t>B列はふつうに足した累計（=前の行+A）。C列は行ごとにROUNDで丸めた累計。D列は2つの差を括弧でくくって出した値。Microsoft 365のExcel（バージョン16）、Windows 11で確認、2026年10月6日</t>
        </is>
      </c>
    </row>
    <row r="5">
      <c r="A5" s="5" t="inlineStr">
        <is>
          <t>値（ここに貼る）</t>
        </is>
      </c>
      <c r="B5" s="5" t="inlineStr">
        <is>
          <t>ふつうの累計</t>
        </is>
      </c>
      <c r="C5" s="5" t="inlineStr">
        <is>
          <t>丸めた累計</t>
        </is>
      </c>
      <c r="D5" s="5" t="inlineStr">
        <is>
          <t>中身の差</t>
        </is>
      </c>
      <c r="E5" s="5" t="inlineStr">
        <is>
          <t>比べる（=）</t>
        </is>
      </c>
      <c r="F5" s="5" t="inlineStr">
        <is>
          <t>判定</t>
        </is>
      </c>
      <c r="G5" s="5" t="inlineStr">
        <is>
          <t>累計を15桁で見る</t>
        </is>
      </c>
      <c r="I5" s="5" t="inlineStr">
        <is>
          <t>集計</t>
        </is>
      </c>
      <c r="J5" s="5" t="inlineStr">
        <is>
          <t>件数・行</t>
        </is>
      </c>
    </row>
    <row r="6">
      <c r="A6" s="6" t="n">
        <v>0.1</v>
      </c>
      <c r="B6" s="7">
        <f>IF(A6="","",N(0)+A6)</f>
        <v/>
      </c>
      <c r="C6" s="7">
        <f>IF(A6="","",ROUND(N(0)+A6,$H$2))</f>
        <v/>
      </c>
      <c r="D6" s="8">
        <f>IF(A6="","",(B6-C6))</f>
        <v/>
      </c>
      <c r="E6" s="9">
        <f>IF(A6="","",B6=C6)</f>
        <v/>
      </c>
      <c r="F6" s="9">
        <f>IF(A6="","",IF(E6=FALSE,"比べると合わない",IF(D6&lt;&gt;0,"中身はずれている。比べると同じ","ずれなし")))</f>
        <v/>
      </c>
      <c r="G6" s="9">
        <f>IF(A6="","",TEXT(B6,"0.00000000000000"))</f>
        <v/>
      </c>
      <c r="I6" s="10" t="inlineStr">
        <is>
          <t>値が入っている行</t>
        </is>
      </c>
      <c r="J6" s="11">
        <f>COUNT(A6:A505)</f>
        <v/>
      </c>
    </row>
    <row r="7">
      <c r="A7" s="6" t="n">
        <v>0.1</v>
      </c>
      <c r="B7" s="7">
        <f>IF(A7="","",N(B6)+A7)</f>
        <v/>
      </c>
      <c r="C7" s="7">
        <f>IF(A7="","",ROUND(N(C6)+A7,$H$2))</f>
        <v/>
      </c>
      <c r="D7" s="8">
        <f>IF(A7="","",(B7-C7))</f>
        <v/>
      </c>
      <c r="E7" s="9">
        <f>IF(A7="","",B7=C7)</f>
        <v/>
      </c>
      <c r="F7" s="9">
        <f>IF(A7="","",IF(E7=FALSE,"比べると合わない",IF(D7&lt;&gt;0,"中身はずれている。比べると同じ","ずれなし")))</f>
        <v/>
      </c>
      <c r="G7" s="9">
        <f>IF(A7="","",TEXT(B7,"0.00000000000000"))</f>
        <v/>
      </c>
      <c r="I7" s="10" t="inlineStr">
        <is>
          <t>比べると合わない</t>
        </is>
      </c>
      <c r="J7" s="11">
        <f>COUNTIF(F6:F505,I7)</f>
        <v/>
      </c>
    </row>
    <row r="8">
      <c r="A8" s="6" t="n">
        <v>0.1</v>
      </c>
      <c r="B8" s="7">
        <f>IF(A8="","",N(B7)+A8)</f>
        <v/>
      </c>
      <c r="C8" s="7">
        <f>IF(A8="","",ROUND(N(C7)+A8,$H$2))</f>
        <v/>
      </c>
      <c r="D8" s="8">
        <f>IF(A8="","",(B8-C8))</f>
        <v/>
      </c>
      <c r="E8" s="9">
        <f>IF(A8="","",B8=C8)</f>
        <v/>
      </c>
      <c r="F8" s="9">
        <f>IF(A8="","",IF(E8=FALSE,"比べると合わない",IF(D8&lt;&gt;0,"中身はずれている。比べると同じ","ずれなし")))</f>
        <v/>
      </c>
      <c r="G8" s="9">
        <f>IF(A8="","",TEXT(B8,"0.00000000000000"))</f>
        <v/>
      </c>
      <c r="I8" s="10" t="inlineStr">
        <is>
          <t>中身はずれている。比べると同じ</t>
        </is>
      </c>
      <c r="J8" s="11">
        <f>COUNTIF(F6:F505,I8)</f>
        <v/>
      </c>
    </row>
    <row r="9">
      <c r="A9" s="6" t="n">
        <v>0.1</v>
      </c>
      <c r="B9" s="7">
        <f>IF(A9="","",N(B8)+A9)</f>
        <v/>
      </c>
      <c r="C9" s="7">
        <f>IF(A9="","",ROUND(N(C8)+A9,$H$2))</f>
        <v/>
      </c>
      <c r="D9" s="8">
        <f>IF(A9="","",(B9-C9))</f>
        <v/>
      </c>
      <c r="E9" s="9">
        <f>IF(A9="","",B9=C9)</f>
        <v/>
      </c>
      <c r="F9" s="9">
        <f>IF(A9="","",IF(E9=FALSE,"比べると合わない",IF(D9&lt;&gt;0,"中身はずれている。比べると同じ","ずれなし")))</f>
        <v/>
      </c>
      <c r="G9" s="9">
        <f>IF(A9="","",TEXT(B9,"0.00000000000000"))</f>
        <v/>
      </c>
      <c r="I9" s="10" t="inlineStr">
        <is>
          <t>ずれなし</t>
        </is>
      </c>
      <c r="J9" s="11">
        <f>COUNTIF(F6:F505,I9)</f>
        <v/>
      </c>
    </row>
    <row r="10">
      <c r="A10" s="6" t="n">
        <v>0.1</v>
      </c>
      <c r="B10" s="7">
        <f>IF(A10="","",N(B9)+A10)</f>
        <v/>
      </c>
      <c r="C10" s="7">
        <f>IF(A10="","",ROUND(N(C9)+A10,$H$2))</f>
        <v/>
      </c>
      <c r="D10" s="8">
        <f>IF(A10="","",(B10-C10))</f>
        <v/>
      </c>
      <c r="E10" s="9">
        <f>IF(A10="","",B10=C10)</f>
        <v/>
      </c>
      <c r="F10" s="9">
        <f>IF(A10="","",IF(E10=FALSE,"比べると合わない",IF(D10&lt;&gt;0,"中身はずれている。比べると同じ","ずれなし")))</f>
        <v/>
      </c>
      <c r="G10" s="9">
        <f>IF(A10="","",TEXT(B10,"0.00000000000000"))</f>
        <v/>
      </c>
      <c r="I10" s="10" t="inlineStr">
        <is>
          <t>最初に合わなくなった行（値の何行目か）</t>
        </is>
      </c>
      <c r="J10" s="11">
        <f>IFERROR(MATCH("比べると合わない",F6:F505,0),"なし")</f>
        <v/>
      </c>
    </row>
    <row r="11">
      <c r="A11" s="6" t="n">
        <v>0.1</v>
      </c>
      <c r="B11" s="7">
        <f>IF(A11="","",N(B10)+A11)</f>
        <v/>
      </c>
      <c r="C11" s="7">
        <f>IF(A11="","",ROUND(N(C10)+A11,$H$2))</f>
        <v/>
      </c>
      <c r="D11" s="8">
        <f>IF(A11="","",(B11-C11))</f>
        <v/>
      </c>
      <c r="E11" s="9">
        <f>IF(A11="","",B11=C11)</f>
        <v/>
      </c>
      <c r="F11" s="9">
        <f>IF(A11="","",IF(E11=FALSE,"比べると合わない",IF(D11&lt;&gt;0,"中身はずれている。比べると同じ","ずれなし")))</f>
        <v/>
      </c>
      <c r="G11" s="9">
        <f>IF(A11="","",TEXT(B11,"0.00000000000000"))</f>
        <v/>
      </c>
      <c r="I11" s="10" t="inlineStr">
        <is>
          <t>SUMの合計</t>
        </is>
      </c>
      <c r="J11" s="12">
        <f>SUM(A6:A505)</f>
        <v/>
      </c>
    </row>
    <row r="12">
      <c r="A12" s="6" t="n">
        <v>0.1</v>
      </c>
      <c r="B12" s="7">
        <f>IF(A12="","",N(B11)+A12)</f>
        <v/>
      </c>
      <c r="C12" s="7">
        <f>IF(A12="","",ROUND(N(C11)+A12,$H$2))</f>
        <v/>
      </c>
      <c r="D12" s="8">
        <f>IF(A12="","",(B12-C12))</f>
        <v/>
      </c>
      <c r="E12" s="9">
        <f>IF(A12="","",B12=C12)</f>
        <v/>
      </c>
      <c r="F12" s="9">
        <f>IF(A12="","",IF(E12=FALSE,"比べると合わない",IF(D12&lt;&gt;0,"中身はずれている。比べると同じ","ずれなし")))</f>
        <v/>
      </c>
      <c r="G12" s="9">
        <f>IF(A12="","",TEXT(B12,"0.00000000000000"))</f>
        <v/>
      </c>
      <c r="I12" s="10" t="inlineStr">
        <is>
          <t>SUMの合計 = 丸めた合計</t>
        </is>
      </c>
      <c r="J12" s="11">
        <f>SUM(A6:A505)=ROUND(SUM(A6:A505),$H$2)</f>
        <v/>
      </c>
    </row>
    <row r="13">
      <c r="A13" s="6" t="n">
        <v>0.1</v>
      </c>
      <c r="B13" s="7">
        <f>IF(A13="","",N(B12)+A13)</f>
        <v/>
      </c>
      <c r="C13" s="7">
        <f>IF(A13="","",ROUND(N(C12)+A13,$H$2))</f>
        <v/>
      </c>
      <c r="D13" s="8">
        <f>IF(A13="","",(B13-C13))</f>
        <v/>
      </c>
      <c r="E13" s="9">
        <f>IF(A13="","",B13=C13)</f>
        <v/>
      </c>
      <c r="F13" s="9">
        <f>IF(A13="","",IF(E13=FALSE,"比べると合わない",IF(D13&lt;&gt;0,"中身はずれている。比べると同じ","ずれなし")))</f>
        <v/>
      </c>
      <c r="G13" s="9">
        <f>IF(A13="","",TEXT(B13,"0.00000000000000"))</f>
        <v/>
      </c>
    </row>
    <row r="14">
      <c r="A14" s="6" t="n">
        <v>0.1</v>
      </c>
      <c r="B14" s="7">
        <f>IF(A14="","",N(B13)+A14)</f>
        <v/>
      </c>
      <c r="C14" s="7">
        <f>IF(A14="","",ROUND(N(C13)+A14,$H$2))</f>
        <v/>
      </c>
      <c r="D14" s="8">
        <f>IF(A14="","",(B14-C14))</f>
        <v/>
      </c>
      <c r="E14" s="9">
        <f>IF(A14="","",B14=C14)</f>
        <v/>
      </c>
      <c r="F14" s="9">
        <f>IF(A14="","",IF(E14=FALSE,"比べると合わない",IF(D14&lt;&gt;0,"中身はずれている。比べると同じ","ずれなし")))</f>
        <v/>
      </c>
      <c r="G14" s="9">
        <f>IF(A14="","",TEXT(B14,"0.00000000000000"))</f>
        <v/>
      </c>
      <c r="I14" t="inlineStr">
        <is>
          <t>見本の値は、前半80行が毎日0.1時間、後半120行が0.1〜3.0時間の作業時間（乱数の種1006）</t>
        </is>
      </c>
    </row>
    <row r="15">
      <c r="A15" s="6" t="n">
        <v>0.1</v>
      </c>
      <c r="B15" s="7">
        <f>IF(A15="","",N(B14)+A15)</f>
        <v/>
      </c>
      <c r="C15" s="7">
        <f>IF(A15="","",ROUND(N(C14)+A15,$H$2))</f>
        <v/>
      </c>
      <c r="D15" s="8">
        <f>IF(A15="","",(B15-C15))</f>
        <v/>
      </c>
      <c r="E15" s="9">
        <f>IF(A15="","",B15=C15)</f>
        <v/>
      </c>
      <c r="F15" s="9">
        <f>IF(A15="","",IF(E15=FALSE,"比べると合わない",IF(D15&lt;&gt;0,"中身はずれている。比べると同じ","ずれなし")))</f>
        <v/>
      </c>
      <c r="G15" s="9">
        <f>IF(A15="","",TEXT(B15,"0.00000000000000"))</f>
        <v/>
      </c>
    </row>
    <row r="16">
      <c r="A16" s="6" t="n">
        <v>0.1</v>
      </c>
      <c r="B16" s="7">
        <f>IF(A16="","",N(B15)+A16)</f>
        <v/>
      </c>
      <c r="C16" s="7">
        <f>IF(A16="","",ROUND(N(C15)+A16,$H$2))</f>
        <v/>
      </c>
      <c r="D16" s="8">
        <f>IF(A16="","",(B16-C16))</f>
        <v/>
      </c>
      <c r="E16" s="9">
        <f>IF(A16="","",B16=C16)</f>
        <v/>
      </c>
      <c r="F16" s="9">
        <f>IF(A16="","",IF(E16=FALSE,"比べると合わない",IF(D16&lt;&gt;0,"中身はずれている。比べると同じ","ずれなし")))</f>
        <v/>
      </c>
      <c r="G16" s="9">
        <f>IF(A16="","",TEXT(B16,"0.00000000000000"))</f>
        <v/>
      </c>
    </row>
    <row r="17">
      <c r="A17" s="6" t="n">
        <v>0.1</v>
      </c>
      <c r="B17" s="7">
        <f>IF(A17="","",N(B16)+A17)</f>
        <v/>
      </c>
      <c r="C17" s="7">
        <f>IF(A17="","",ROUND(N(C16)+A17,$H$2))</f>
        <v/>
      </c>
      <c r="D17" s="8">
        <f>IF(A17="","",(B17-C17))</f>
        <v/>
      </c>
      <c r="E17" s="9">
        <f>IF(A17="","",B17=C17)</f>
        <v/>
      </c>
      <c r="F17" s="9">
        <f>IF(A17="","",IF(E17=FALSE,"比べると合わない",IF(D17&lt;&gt;0,"中身はずれている。比べると同じ","ずれなし")))</f>
        <v/>
      </c>
      <c r="G17" s="9">
        <f>IF(A17="","",TEXT(B17,"0.00000000000000"))</f>
        <v/>
      </c>
    </row>
    <row r="18">
      <c r="A18" s="6" t="n">
        <v>0.1</v>
      </c>
      <c r="B18" s="7">
        <f>IF(A18="","",N(B17)+A18)</f>
        <v/>
      </c>
      <c r="C18" s="7">
        <f>IF(A18="","",ROUND(N(C17)+A18,$H$2))</f>
        <v/>
      </c>
      <c r="D18" s="8">
        <f>IF(A18="","",(B18-C18))</f>
        <v/>
      </c>
      <c r="E18" s="9">
        <f>IF(A18="","",B18=C18)</f>
        <v/>
      </c>
      <c r="F18" s="9">
        <f>IF(A18="","",IF(E18=FALSE,"比べると合わない",IF(D18&lt;&gt;0,"中身はずれている。比べると同じ","ずれなし")))</f>
        <v/>
      </c>
      <c r="G18" s="9">
        <f>IF(A18="","",TEXT(B18,"0.00000000000000"))</f>
        <v/>
      </c>
    </row>
    <row r="19">
      <c r="A19" s="6" t="n">
        <v>0.1</v>
      </c>
      <c r="B19" s="7">
        <f>IF(A19="","",N(B18)+A19)</f>
        <v/>
      </c>
      <c r="C19" s="7">
        <f>IF(A19="","",ROUND(N(C18)+A19,$H$2))</f>
        <v/>
      </c>
      <c r="D19" s="8">
        <f>IF(A19="","",(B19-C19))</f>
        <v/>
      </c>
      <c r="E19" s="9">
        <f>IF(A19="","",B19=C19)</f>
        <v/>
      </c>
      <c r="F19" s="9">
        <f>IF(A19="","",IF(E19=FALSE,"比べると合わない",IF(D19&lt;&gt;0,"中身はずれている。比べると同じ","ずれなし")))</f>
        <v/>
      </c>
      <c r="G19" s="9">
        <f>IF(A19="","",TEXT(B19,"0.00000000000000"))</f>
        <v/>
      </c>
    </row>
    <row r="20">
      <c r="A20" s="6" t="n">
        <v>0.1</v>
      </c>
      <c r="B20" s="7">
        <f>IF(A20="","",N(B19)+A20)</f>
        <v/>
      </c>
      <c r="C20" s="7">
        <f>IF(A20="","",ROUND(N(C19)+A20,$H$2))</f>
        <v/>
      </c>
      <c r="D20" s="8">
        <f>IF(A20="","",(B20-C20))</f>
        <v/>
      </c>
      <c r="E20" s="9">
        <f>IF(A20="","",B20=C20)</f>
        <v/>
      </c>
      <c r="F20" s="9">
        <f>IF(A20="","",IF(E20=FALSE,"比べると合わない",IF(D20&lt;&gt;0,"中身はずれている。比べると同じ","ずれなし")))</f>
        <v/>
      </c>
      <c r="G20" s="9">
        <f>IF(A20="","",TEXT(B20,"0.00000000000000"))</f>
        <v/>
      </c>
    </row>
    <row r="21">
      <c r="A21" s="6" t="n">
        <v>0.1</v>
      </c>
      <c r="B21" s="7">
        <f>IF(A21="","",N(B20)+A21)</f>
        <v/>
      </c>
      <c r="C21" s="7">
        <f>IF(A21="","",ROUND(N(C20)+A21,$H$2))</f>
        <v/>
      </c>
      <c r="D21" s="8">
        <f>IF(A21="","",(B21-C21))</f>
        <v/>
      </c>
      <c r="E21" s="9">
        <f>IF(A21="","",B21=C21)</f>
        <v/>
      </c>
      <c r="F21" s="9">
        <f>IF(A21="","",IF(E21=FALSE,"比べると合わない",IF(D21&lt;&gt;0,"中身はずれている。比べると同じ","ずれなし")))</f>
        <v/>
      </c>
      <c r="G21" s="9">
        <f>IF(A21="","",TEXT(B21,"0.00000000000000"))</f>
        <v/>
      </c>
    </row>
    <row r="22">
      <c r="A22" s="6" t="n">
        <v>0.1</v>
      </c>
      <c r="B22" s="7">
        <f>IF(A22="","",N(B21)+A22)</f>
        <v/>
      </c>
      <c r="C22" s="7">
        <f>IF(A22="","",ROUND(N(C21)+A22,$H$2))</f>
        <v/>
      </c>
      <c r="D22" s="8">
        <f>IF(A22="","",(B22-C22))</f>
        <v/>
      </c>
      <c r="E22" s="9">
        <f>IF(A22="","",B22=C22)</f>
        <v/>
      </c>
      <c r="F22" s="9">
        <f>IF(A22="","",IF(E22=FALSE,"比べると合わない",IF(D22&lt;&gt;0,"中身はずれている。比べると同じ","ずれなし")))</f>
        <v/>
      </c>
      <c r="G22" s="9">
        <f>IF(A22="","",TEXT(B22,"0.00000000000000"))</f>
        <v/>
      </c>
    </row>
    <row r="23">
      <c r="A23" s="6" t="n">
        <v>0.1</v>
      </c>
      <c r="B23" s="7">
        <f>IF(A23="","",N(B22)+A23)</f>
        <v/>
      </c>
      <c r="C23" s="7">
        <f>IF(A23="","",ROUND(N(C22)+A23,$H$2))</f>
        <v/>
      </c>
      <c r="D23" s="8">
        <f>IF(A23="","",(B23-C23))</f>
        <v/>
      </c>
      <c r="E23" s="9">
        <f>IF(A23="","",B23=C23)</f>
        <v/>
      </c>
      <c r="F23" s="9">
        <f>IF(A23="","",IF(E23=FALSE,"比べると合わない",IF(D23&lt;&gt;0,"中身はずれている。比べると同じ","ずれなし")))</f>
        <v/>
      </c>
      <c r="G23" s="9">
        <f>IF(A23="","",TEXT(B23,"0.00000000000000"))</f>
        <v/>
      </c>
    </row>
    <row r="24">
      <c r="A24" s="6" t="n">
        <v>0.1</v>
      </c>
      <c r="B24" s="7">
        <f>IF(A24="","",N(B23)+A24)</f>
        <v/>
      </c>
      <c r="C24" s="7">
        <f>IF(A24="","",ROUND(N(C23)+A24,$H$2))</f>
        <v/>
      </c>
      <c r="D24" s="8">
        <f>IF(A24="","",(B24-C24))</f>
        <v/>
      </c>
      <c r="E24" s="9">
        <f>IF(A24="","",B24=C24)</f>
        <v/>
      </c>
      <c r="F24" s="9">
        <f>IF(A24="","",IF(E24=FALSE,"比べると合わない",IF(D24&lt;&gt;0,"中身はずれている。比べると同じ","ずれなし")))</f>
        <v/>
      </c>
      <c r="G24" s="9">
        <f>IF(A24="","",TEXT(B24,"0.00000000000000"))</f>
        <v/>
      </c>
    </row>
    <row r="25">
      <c r="A25" s="6" t="n">
        <v>0.1</v>
      </c>
      <c r="B25" s="7">
        <f>IF(A25="","",N(B24)+A25)</f>
        <v/>
      </c>
      <c r="C25" s="7">
        <f>IF(A25="","",ROUND(N(C24)+A25,$H$2))</f>
        <v/>
      </c>
      <c r="D25" s="8">
        <f>IF(A25="","",(B25-C25))</f>
        <v/>
      </c>
      <c r="E25" s="9">
        <f>IF(A25="","",B25=C25)</f>
        <v/>
      </c>
      <c r="F25" s="9">
        <f>IF(A25="","",IF(E25=FALSE,"比べると合わない",IF(D25&lt;&gt;0,"中身はずれている。比べると同じ","ずれなし")))</f>
        <v/>
      </c>
      <c r="G25" s="9">
        <f>IF(A25="","",TEXT(B25,"0.00000000000000"))</f>
        <v/>
      </c>
    </row>
    <row r="26">
      <c r="A26" s="6" t="n">
        <v>0.1</v>
      </c>
      <c r="B26" s="7">
        <f>IF(A26="","",N(B25)+A26)</f>
        <v/>
      </c>
      <c r="C26" s="7">
        <f>IF(A26="","",ROUND(N(C25)+A26,$H$2))</f>
        <v/>
      </c>
      <c r="D26" s="8">
        <f>IF(A26="","",(B26-C26))</f>
        <v/>
      </c>
      <c r="E26" s="9">
        <f>IF(A26="","",B26=C26)</f>
        <v/>
      </c>
      <c r="F26" s="9">
        <f>IF(A26="","",IF(E26=FALSE,"比べると合わない",IF(D26&lt;&gt;0,"中身はずれている。比べると同じ","ずれなし")))</f>
        <v/>
      </c>
      <c r="G26" s="9">
        <f>IF(A26="","",TEXT(B26,"0.00000000000000"))</f>
        <v/>
      </c>
    </row>
    <row r="27">
      <c r="A27" s="6" t="n">
        <v>0.1</v>
      </c>
      <c r="B27" s="7">
        <f>IF(A27="","",N(B26)+A27)</f>
        <v/>
      </c>
      <c r="C27" s="7">
        <f>IF(A27="","",ROUND(N(C26)+A27,$H$2))</f>
        <v/>
      </c>
      <c r="D27" s="8">
        <f>IF(A27="","",(B27-C27))</f>
        <v/>
      </c>
      <c r="E27" s="9">
        <f>IF(A27="","",B27=C27)</f>
        <v/>
      </c>
      <c r="F27" s="9">
        <f>IF(A27="","",IF(E27=FALSE,"比べると合わない",IF(D27&lt;&gt;0,"中身はずれている。比べると同じ","ずれなし")))</f>
        <v/>
      </c>
      <c r="G27" s="9">
        <f>IF(A27="","",TEXT(B27,"0.00000000000000"))</f>
        <v/>
      </c>
    </row>
    <row r="28">
      <c r="A28" s="6" t="n">
        <v>0.1</v>
      </c>
      <c r="B28" s="7">
        <f>IF(A28="","",N(B27)+A28)</f>
        <v/>
      </c>
      <c r="C28" s="7">
        <f>IF(A28="","",ROUND(N(C27)+A28,$H$2))</f>
        <v/>
      </c>
      <c r="D28" s="8">
        <f>IF(A28="","",(B28-C28))</f>
        <v/>
      </c>
      <c r="E28" s="9">
        <f>IF(A28="","",B28=C28)</f>
        <v/>
      </c>
      <c r="F28" s="9">
        <f>IF(A28="","",IF(E28=FALSE,"比べると合わない",IF(D28&lt;&gt;0,"中身はずれている。比べると同じ","ずれなし")))</f>
        <v/>
      </c>
      <c r="G28" s="9">
        <f>IF(A28="","",TEXT(B28,"0.00000000000000"))</f>
        <v/>
      </c>
    </row>
    <row r="29">
      <c r="A29" s="6" t="n">
        <v>0.1</v>
      </c>
      <c r="B29" s="7">
        <f>IF(A29="","",N(B28)+A29)</f>
        <v/>
      </c>
      <c r="C29" s="7">
        <f>IF(A29="","",ROUND(N(C28)+A29,$H$2))</f>
        <v/>
      </c>
      <c r="D29" s="8">
        <f>IF(A29="","",(B29-C29))</f>
        <v/>
      </c>
      <c r="E29" s="9">
        <f>IF(A29="","",B29=C29)</f>
        <v/>
      </c>
      <c r="F29" s="9">
        <f>IF(A29="","",IF(E29=FALSE,"比べると合わない",IF(D29&lt;&gt;0,"中身はずれている。比べると同じ","ずれなし")))</f>
        <v/>
      </c>
      <c r="G29" s="9">
        <f>IF(A29="","",TEXT(B29,"0.00000000000000"))</f>
        <v/>
      </c>
    </row>
    <row r="30">
      <c r="A30" s="6" t="n">
        <v>0.1</v>
      </c>
      <c r="B30" s="7">
        <f>IF(A30="","",N(B29)+A30)</f>
        <v/>
      </c>
      <c r="C30" s="7">
        <f>IF(A30="","",ROUND(N(C29)+A30,$H$2))</f>
        <v/>
      </c>
      <c r="D30" s="8">
        <f>IF(A30="","",(B30-C30))</f>
        <v/>
      </c>
      <c r="E30" s="9">
        <f>IF(A30="","",B30=C30)</f>
        <v/>
      </c>
      <c r="F30" s="9">
        <f>IF(A30="","",IF(E30=FALSE,"比べると合わない",IF(D30&lt;&gt;0,"中身はずれている。比べると同じ","ずれなし")))</f>
        <v/>
      </c>
      <c r="G30" s="9">
        <f>IF(A30="","",TEXT(B30,"0.00000000000000"))</f>
        <v/>
      </c>
    </row>
    <row r="31">
      <c r="A31" s="6" t="n">
        <v>0.1</v>
      </c>
      <c r="B31" s="7">
        <f>IF(A31="","",N(B30)+A31)</f>
        <v/>
      </c>
      <c r="C31" s="7">
        <f>IF(A31="","",ROUND(N(C30)+A31,$H$2))</f>
        <v/>
      </c>
      <c r="D31" s="8">
        <f>IF(A31="","",(B31-C31))</f>
        <v/>
      </c>
      <c r="E31" s="9">
        <f>IF(A31="","",B31=C31)</f>
        <v/>
      </c>
      <c r="F31" s="9">
        <f>IF(A31="","",IF(E31=FALSE,"比べると合わない",IF(D31&lt;&gt;0,"中身はずれている。比べると同じ","ずれなし")))</f>
        <v/>
      </c>
      <c r="G31" s="9">
        <f>IF(A31="","",TEXT(B31,"0.00000000000000"))</f>
        <v/>
      </c>
    </row>
    <row r="32">
      <c r="A32" s="6" t="n">
        <v>0.1</v>
      </c>
      <c r="B32" s="7">
        <f>IF(A32="","",N(B31)+A32)</f>
        <v/>
      </c>
      <c r="C32" s="7">
        <f>IF(A32="","",ROUND(N(C31)+A32,$H$2))</f>
        <v/>
      </c>
      <c r="D32" s="8">
        <f>IF(A32="","",(B32-C32))</f>
        <v/>
      </c>
      <c r="E32" s="9">
        <f>IF(A32="","",B32=C32)</f>
        <v/>
      </c>
      <c r="F32" s="9">
        <f>IF(A32="","",IF(E32=FALSE,"比べると合わない",IF(D32&lt;&gt;0,"中身はずれている。比べると同じ","ずれなし")))</f>
        <v/>
      </c>
      <c r="G32" s="9">
        <f>IF(A32="","",TEXT(B32,"0.00000000000000"))</f>
        <v/>
      </c>
    </row>
    <row r="33">
      <c r="A33" s="6" t="n">
        <v>0.1</v>
      </c>
      <c r="B33" s="7">
        <f>IF(A33="","",N(B32)+A33)</f>
        <v/>
      </c>
      <c r="C33" s="7">
        <f>IF(A33="","",ROUND(N(C32)+A33,$H$2))</f>
        <v/>
      </c>
      <c r="D33" s="8">
        <f>IF(A33="","",(B33-C33))</f>
        <v/>
      </c>
      <c r="E33" s="9">
        <f>IF(A33="","",B33=C33)</f>
        <v/>
      </c>
      <c r="F33" s="9">
        <f>IF(A33="","",IF(E33=FALSE,"比べると合わない",IF(D33&lt;&gt;0,"中身はずれている。比べると同じ","ずれなし")))</f>
        <v/>
      </c>
      <c r="G33" s="9">
        <f>IF(A33="","",TEXT(B33,"0.00000000000000"))</f>
        <v/>
      </c>
    </row>
    <row r="34">
      <c r="A34" s="6" t="n">
        <v>0.1</v>
      </c>
      <c r="B34" s="7">
        <f>IF(A34="","",N(B33)+A34)</f>
        <v/>
      </c>
      <c r="C34" s="7">
        <f>IF(A34="","",ROUND(N(C33)+A34,$H$2))</f>
        <v/>
      </c>
      <c r="D34" s="8">
        <f>IF(A34="","",(B34-C34))</f>
        <v/>
      </c>
      <c r="E34" s="9">
        <f>IF(A34="","",B34=C34)</f>
        <v/>
      </c>
      <c r="F34" s="9">
        <f>IF(A34="","",IF(E34=FALSE,"比べると合わない",IF(D34&lt;&gt;0,"中身はずれている。比べると同じ","ずれなし")))</f>
        <v/>
      </c>
      <c r="G34" s="9">
        <f>IF(A34="","",TEXT(B34,"0.00000000000000"))</f>
        <v/>
      </c>
    </row>
    <row r="35">
      <c r="A35" s="6" t="n">
        <v>0.1</v>
      </c>
      <c r="B35" s="7">
        <f>IF(A35="","",N(B34)+A35)</f>
        <v/>
      </c>
      <c r="C35" s="7">
        <f>IF(A35="","",ROUND(N(C34)+A35,$H$2))</f>
        <v/>
      </c>
      <c r="D35" s="8">
        <f>IF(A35="","",(B35-C35))</f>
        <v/>
      </c>
      <c r="E35" s="9">
        <f>IF(A35="","",B35=C35)</f>
        <v/>
      </c>
      <c r="F35" s="9">
        <f>IF(A35="","",IF(E35=FALSE,"比べると合わない",IF(D35&lt;&gt;0,"中身はずれている。比べると同じ","ずれなし")))</f>
        <v/>
      </c>
      <c r="G35" s="9">
        <f>IF(A35="","",TEXT(B35,"0.00000000000000"))</f>
        <v/>
      </c>
    </row>
    <row r="36">
      <c r="A36" s="6" t="n">
        <v>0.1</v>
      </c>
      <c r="B36" s="7">
        <f>IF(A36="","",N(B35)+A36)</f>
        <v/>
      </c>
      <c r="C36" s="7">
        <f>IF(A36="","",ROUND(N(C35)+A36,$H$2))</f>
        <v/>
      </c>
      <c r="D36" s="8">
        <f>IF(A36="","",(B36-C36))</f>
        <v/>
      </c>
      <c r="E36" s="9">
        <f>IF(A36="","",B36=C36)</f>
        <v/>
      </c>
      <c r="F36" s="9">
        <f>IF(A36="","",IF(E36=FALSE,"比べると合わない",IF(D36&lt;&gt;0,"中身はずれている。比べると同じ","ずれなし")))</f>
        <v/>
      </c>
      <c r="G36" s="9">
        <f>IF(A36="","",TEXT(B36,"0.00000000000000"))</f>
        <v/>
      </c>
    </row>
    <row r="37">
      <c r="A37" s="6" t="n">
        <v>0.1</v>
      </c>
      <c r="B37" s="7">
        <f>IF(A37="","",N(B36)+A37)</f>
        <v/>
      </c>
      <c r="C37" s="7">
        <f>IF(A37="","",ROUND(N(C36)+A37,$H$2))</f>
        <v/>
      </c>
      <c r="D37" s="8">
        <f>IF(A37="","",(B37-C37))</f>
        <v/>
      </c>
      <c r="E37" s="9">
        <f>IF(A37="","",B37=C37)</f>
        <v/>
      </c>
      <c r="F37" s="9">
        <f>IF(A37="","",IF(E37=FALSE,"比べると合わない",IF(D37&lt;&gt;0,"中身はずれている。比べると同じ","ずれなし")))</f>
        <v/>
      </c>
      <c r="G37" s="9">
        <f>IF(A37="","",TEXT(B37,"0.00000000000000"))</f>
        <v/>
      </c>
    </row>
    <row r="38">
      <c r="A38" s="6" t="n">
        <v>0.1</v>
      </c>
      <c r="B38" s="7">
        <f>IF(A38="","",N(B37)+A38)</f>
        <v/>
      </c>
      <c r="C38" s="7">
        <f>IF(A38="","",ROUND(N(C37)+A38,$H$2))</f>
        <v/>
      </c>
      <c r="D38" s="8">
        <f>IF(A38="","",(B38-C38))</f>
        <v/>
      </c>
      <c r="E38" s="9">
        <f>IF(A38="","",B38=C38)</f>
        <v/>
      </c>
      <c r="F38" s="9">
        <f>IF(A38="","",IF(E38=FALSE,"比べると合わない",IF(D38&lt;&gt;0,"中身はずれている。比べると同じ","ずれなし")))</f>
        <v/>
      </c>
      <c r="G38" s="9">
        <f>IF(A38="","",TEXT(B38,"0.00000000000000"))</f>
        <v/>
      </c>
    </row>
    <row r="39">
      <c r="A39" s="6" t="n">
        <v>0.1</v>
      </c>
      <c r="B39" s="7">
        <f>IF(A39="","",N(B38)+A39)</f>
        <v/>
      </c>
      <c r="C39" s="7">
        <f>IF(A39="","",ROUND(N(C38)+A39,$H$2))</f>
        <v/>
      </c>
      <c r="D39" s="8">
        <f>IF(A39="","",(B39-C39))</f>
        <v/>
      </c>
      <c r="E39" s="9">
        <f>IF(A39="","",B39=C39)</f>
        <v/>
      </c>
      <c r="F39" s="9">
        <f>IF(A39="","",IF(E39=FALSE,"比べると合わない",IF(D39&lt;&gt;0,"中身はずれている。比べると同じ","ずれなし")))</f>
        <v/>
      </c>
      <c r="G39" s="9">
        <f>IF(A39="","",TEXT(B39,"0.00000000000000"))</f>
        <v/>
      </c>
    </row>
    <row r="40">
      <c r="A40" s="6" t="n">
        <v>0.1</v>
      </c>
      <c r="B40" s="7">
        <f>IF(A40="","",N(B39)+A40)</f>
        <v/>
      </c>
      <c r="C40" s="7">
        <f>IF(A40="","",ROUND(N(C39)+A40,$H$2))</f>
        <v/>
      </c>
      <c r="D40" s="8">
        <f>IF(A40="","",(B40-C40))</f>
        <v/>
      </c>
      <c r="E40" s="9">
        <f>IF(A40="","",B40=C40)</f>
        <v/>
      </c>
      <c r="F40" s="9">
        <f>IF(A40="","",IF(E40=FALSE,"比べると合わない",IF(D40&lt;&gt;0,"中身はずれている。比べると同じ","ずれなし")))</f>
        <v/>
      </c>
      <c r="G40" s="9">
        <f>IF(A40="","",TEXT(B40,"0.00000000000000"))</f>
        <v/>
      </c>
    </row>
    <row r="41">
      <c r="A41" s="6" t="n">
        <v>0.1</v>
      </c>
      <c r="B41" s="7">
        <f>IF(A41="","",N(B40)+A41)</f>
        <v/>
      </c>
      <c r="C41" s="7">
        <f>IF(A41="","",ROUND(N(C40)+A41,$H$2))</f>
        <v/>
      </c>
      <c r="D41" s="8">
        <f>IF(A41="","",(B41-C41))</f>
        <v/>
      </c>
      <c r="E41" s="9">
        <f>IF(A41="","",B41=C41)</f>
        <v/>
      </c>
      <c r="F41" s="9">
        <f>IF(A41="","",IF(E41=FALSE,"比べると合わない",IF(D41&lt;&gt;0,"中身はずれている。比べると同じ","ずれなし")))</f>
        <v/>
      </c>
      <c r="G41" s="9">
        <f>IF(A41="","",TEXT(B41,"0.00000000000000"))</f>
        <v/>
      </c>
    </row>
    <row r="42">
      <c r="A42" s="6" t="n">
        <v>0.1</v>
      </c>
      <c r="B42" s="7">
        <f>IF(A42="","",N(B41)+A42)</f>
        <v/>
      </c>
      <c r="C42" s="7">
        <f>IF(A42="","",ROUND(N(C41)+A42,$H$2))</f>
        <v/>
      </c>
      <c r="D42" s="8">
        <f>IF(A42="","",(B42-C42))</f>
        <v/>
      </c>
      <c r="E42" s="9">
        <f>IF(A42="","",B42=C42)</f>
        <v/>
      </c>
      <c r="F42" s="9">
        <f>IF(A42="","",IF(E42=FALSE,"比べると合わない",IF(D42&lt;&gt;0,"中身はずれている。比べると同じ","ずれなし")))</f>
        <v/>
      </c>
      <c r="G42" s="9">
        <f>IF(A42="","",TEXT(B42,"0.00000000000000"))</f>
        <v/>
      </c>
    </row>
    <row r="43">
      <c r="A43" s="6" t="n">
        <v>0.1</v>
      </c>
      <c r="B43" s="7">
        <f>IF(A43="","",N(B42)+A43)</f>
        <v/>
      </c>
      <c r="C43" s="7">
        <f>IF(A43="","",ROUND(N(C42)+A43,$H$2))</f>
        <v/>
      </c>
      <c r="D43" s="8">
        <f>IF(A43="","",(B43-C43))</f>
        <v/>
      </c>
      <c r="E43" s="9">
        <f>IF(A43="","",B43=C43)</f>
        <v/>
      </c>
      <c r="F43" s="9">
        <f>IF(A43="","",IF(E43=FALSE,"比べると合わない",IF(D43&lt;&gt;0,"中身はずれている。比べると同じ","ずれなし")))</f>
        <v/>
      </c>
      <c r="G43" s="9">
        <f>IF(A43="","",TEXT(B43,"0.00000000000000"))</f>
        <v/>
      </c>
    </row>
    <row r="44">
      <c r="A44" s="6" t="n">
        <v>0.1</v>
      </c>
      <c r="B44" s="7">
        <f>IF(A44="","",N(B43)+A44)</f>
        <v/>
      </c>
      <c r="C44" s="7">
        <f>IF(A44="","",ROUND(N(C43)+A44,$H$2))</f>
        <v/>
      </c>
      <c r="D44" s="8">
        <f>IF(A44="","",(B44-C44))</f>
        <v/>
      </c>
      <c r="E44" s="9">
        <f>IF(A44="","",B44=C44)</f>
        <v/>
      </c>
      <c r="F44" s="9">
        <f>IF(A44="","",IF(E44=FALSE,"比べると合わない",IF(D44&lt;&gt;0,"中身はずれている。比べると同じ","ずれなし")))</f>
        <v/>
      </c>
      <c r="G44" s="9">
        <f>IF(A44="","",TEXT(B44,"0.00000000000000"))</f>
        <v/>
      </c>
    </row>
    <row r="45">
      <c r="A45" s="6" t="n">
        <v>0.1</v>
      </c>
      <c r="B45" s="7">
        <f>IF(A45="","",N(B44)+A45)</f>
        <v/>
      </c>
      <c r="C45" s="7">
        <f>IF(A45="","",ROUND(N(C44)+A45,$H$2))</f>
        <v/>
      </c>
      <c r="D45" s="8">
        <f>IF(A45="","",(B45-C45))</f>
        <v/>
      </c>
      <c r="E45" s="9">
        <f>IF(A45="","",B45=C45)</f>
        <v/>
      </c>
      <c r="F45" s="9">
        <f>IF(A45="","",IF(E45=FALSE,"比べると合わない",IF(D45&lt;&gt;0,"中身はずれている。比べると同じ","ずれなし")))</f>
        <v/>
      </c>
      <c r="G45" s="9">
        <f>IF(A45="","",TEXT(B45,"0.00000000000000"))</f>
        <v/>
      </c>
    </row>
    <row r="46">
      <c r="A46" s="6" t="n">
        <v>0.1</v>
      </c>
      <c r="B46" s="7">
        <f>IF(A46="","",N(B45)+A46)</f>
        <v/>
      </c>
      <c r="C46" s="7">
        <f>IF(A46="","",ROUND(N(C45)+A46,$H$2))</f>
        <v/>
      </c>
      <c r="D46" s="8">
        <f>IF(A46="","",(B46-C46))</f>
        <v/>
      </c>
      <c r="E46" s="9">
        <f>IF(A46="","",B46=C46)</f>
        <v/>
      </c>
      <c r="F46" s="9">
        <f>IF(A46="","",IF(E46=FALSE,"比べると合わない",IF(D46&lt;&gt;0,"中身はずれている。比べると同じ","ずれなし")))</f>
        <v/>
      </c>
      <c r="G46" s="9">
        <f>IF(A46="","",TEXT(B46,"0.00000000000000"))</f>
        <v/>
      </c>
    </row>
    <row r="47">
      <c r="A47" s="6" t="n">
        <v>0.1</v>
      </c>
      <c r="B47" s="7">
        <f>IF(A47="","",N(B46)+A47)</f>
        <v/>
      </c>
      <c r="C47" s="7">
        <f>IF(A47="","",ROUND(N(C46)+A47,$H$2))</f>
        <v/>
      </c>
      <c r="D47" s="8">
        <f>IF(A47="","",(B47-C47))</f>
        <v/>
      </c>
      <c r="E47" s="9">
        <f>IF(A47="","",B47=C47)</f>
        <v/>
      </c>
      <c r="F47" s="9">
        <f>IF(A47="","",IF(E47=FALSE,"比べると合わない",IF(D47&lt;&gt;0,"中身はずれている。比べると同じ","ずれなし")))</f>
        <v/>
      </c>
      <c r="G47" s="9">
        <f>IF(A47="","",TEXT(B47,"0.00000000000000"))</f>
        <v/>
      </c>
    </row>
    <row r="48">
      <c r="A48" s="6" t="n">
        <v>0.1</v>
      </c>
      <c r="B48" s="7">
        <f>IF(A48="","",N(B47)+A48)</f>
        <v/>
      </c>
      <c r="C48" s="7">
        <f>IF(A48="","",ROUND(N(C47)+A48,$H$2))</f>
        <v/>
      </c>
      <c r="D48" s="8">
        <f>IF(A48="","",(B48-C48))</f>
        <v/>
      </c>
      <c r="E48" s="9">
        <f>IF(A48="","",B48=C48)</f>
        <v/>
      </c>
      <c r="F48" s="9">
        <f>IF(A48="","",IF(E48=FALSE,"比べると合わない",IF(D48&lt;&gt;0,"中身はずれている。比べると同じ","ずれなし")))</f>
        <v/>
      </c>
      <c r="G48" s="9">
        <f>IF(A48="","",TEXT(B48,"0.00000000000000"))</f>
        <v/>
      </c>
    </row>
    <row r="49">
      <c r="A49" s="6" t="n">
        <v>0.1</v>
      </c>
      <c r="B49" s="7">
        <f>IF(A49="","",N(B48)+A49)</f>
        <v/>
      </c>
      <c r="C49" s="7">
        <f>IF(A49="","",ROUND(N(C48)+A49,$H$2))</f>
        <v/>
      </c>
      <c r="D49" s="8">
        <f>IF(A49="","",(B49-C49))</f>
        <v/>
      </c>
      <c r="E49" s="9">
        <f>IF(A49="","",B49=C49)</f>
        <v/>
      </c>
      <c r="F49" s="9">
        <f>IF(A49="","",IF(E49=FALSE,"比べると合わない",IF(D49&lt;&gt;0,"中身はずれている。比べると同じ","ずれなし")))</f>
        <v/>
      </c>
      <c r="G49" s="9">
        <f>IF(A49="","",TEXT(B49,"0.00000000000000"))</f>
        <v/>
      </c>
    </row>
    <row r="50">
      <c r="A50" s="6" t="n">
        <v>0.1</v>
      </c>
      <c r="B50" s="7">
        <f>IF(A50="","",N(B49)+A50)</f>
        <v/>
      </c>
      <c r="C50" s="7">
        <f>IF(A50="","",ROUND(N(C49)+A50,$H$2))</f>
        <v/>
      </c>
      <c r="D50" s="8">
        <f>IF(A50="","",(B50-C50))</f>
        <v/>
      </c>
      <c r="E50" s="9">
        <f>IF(A50="","",B50=C50)</f>
        <v/>
      </c>
      <c r="F50" s="9">
        <f>IF(A50="","",IF(E50=FALSE,"比べると合わない",IF(D50&lt;&gt;0,"中身はずれている。比べると同じ","ずれなし")))</f>
        <v/>
      </c>
      <c r="G50" s="9">
        <f>IF(A50="","",TEXT(B50,"0.00000000000000"))</f>
        <v/>
      </c>
    </row>
    <row r="51">
      <c r="A51" s="6" t="n">
        <v>0.1</v>
      </c>
      <c r="B51" s="7">
        <f>IF(A51="","",N(B50)+A51)</f>
        <v/>
      </c>
      <c r="C51" s="7">
        <f>IF(A51="","",ROUND(N(C50)+A51,$H$2))</f>
        <v/>
      </c>
      <c r="D51" s="8">
        <f>IF(A51="","",(B51-C51))</f>
        <v/>
      </c>
      <c r="E51" s="9">
        <f>IF(A51="","",B51=C51)</f>
        <v/>
      </c>
      <c r="F51" s="9">
        <f>IF(A51="","",IF(E51=FALSE,"比べると合わない",IF(D51&lt;&gt;0,"中身はずれている。比べると同じ","ずれなし")))</f>
        <v/>
      </c>
      <c r="G51" s="9">
        <f>IF(A51="","",TEXT(B51,"0.00000000000000"))</f>
        <v/>
      </c>
    </row>
    <row r="52">
      <c r="A52" s="6" t="n">
        <v>0.1</v>
      </c>
      <c r="B52" s="7">
        <f>IF(A52="","",N(B51)+A52)</f>
        <v/>
      </c>
      <c r="C52" s="7">
        <f>IF(A52="","",ROUND(N(C51)+A52,$H$2))</f>
        <v/>
      </c>
      <c r="D52" s="8">
        <f>IF(A52="","",(B52-C52))</f>
        <v/>
      </c>
      <c r="E52" s="9">
        <f>IF(A52="","",B52=C52)</f>
        <v/>
      </c>
      <c r="F52" s="9">
        <f>IF(A52="","",IF(E52=FALSE,"比べると合わない",IF(D52&lt;&gt;0,"中身はずれている。比べると同じ","ずれなし")))</f>
        <v/>
      </c>
      <c r="G52" s="9">
        <f>IF(A52="","",TEXT(B52,"0.00000000000000"))</f>
        <v/>
      </c>
    </row>
    <row r="53">
      <c r="A53" s="6" t="n">
        <v>0.1</v>
      </c>
      <c r="B53" s="7">
        <f>IF(A53="","",N(B52)+A53)</f>
        <v/>
      </c>
      <c r="C53" s="7">
        <f>IF(A53="","",ROUND(N(C52)+A53,$H$2))</f>
        <v/>
      </c>
      <c r="D53" s="8">
        <f>IF(A53="","",(B53-C53))</f>
        <v/>
      </c>
      <c r="E53" s="9">
        <f>IF(A53="","",B53=C53)</f>
        <v/>
      </c>
      <c r="F53" s="9">
        <f>IF(A53="","",IF(E53=FALSE,"比べると合わない",IF(D53&lt;&gt;0,"中身はずれている。比べると同じ","ずれなし")))</f>
        <v/>
      </c>
      <c r="G53" s="9">
        <f>IF(A53="","",TEXT(B53,"0.00000000000000"))</f>
        <v/>
      </c>
    </row>
    <row r="54">
      <c r="A54" s="6" t="n">
        <v>0.1</v>
      </c>
      <c r="B54" s="7">
        <f>IF(A54="","",N(B53)+A54)</f>
        <v/>
      </c>
      <c r="C54" s="7">
        <f>IF(A54="","",ROUND(N(C53)+A54,$H$2))</f>
        <v/>
      </c>
      <c r="D54" s="8">
        <f>IF(A54="","",(B54-C54))</f>
        <v/>
      </c>
      <c r="E54" s="9">
        <f>IF(A54="","",B54=C54)</f>
        <v/>
      </c>
      <c r="F54" s="9">
        <f>IF(A54="","",IF(E54=FALSE,"比べると合わない",IF(D54&lt;&gt;0,"中身はずれている。比べると同じ","ずれなし")))</f>
        <v/>
      </c>
      <c r="G54" s="9">
        <f>IF(A54="","",TEXT(B54,"0.00000000000000"))</f>
        <v/>
      </c>
    </row>
    <row r="55">
      <c r="A55" s="6" t="n">
        <v>0.1</v>
      </c>
      <c r="B55" s="7">
        <f>IF(A55="","",N(B54)+A55)</f>
        <v/>
      </c>
      <c r="C55" s="7">
        <f>IF(A55="","",ROUND(N(C54)+A55,$H$2))</f>
        <v/>
      </c>
      <c r="D55" s="8">
        <f>IF(A55="","",(B55-C55))</f>
        <v/>
      </c>
      <c r="E55" s="9">
        <f>IF(A55="","",B55=C55)</f>
        <v/>
      </c>
      <c r="F55" s="9">
        <f>IF(A55="","",IF(E55=FALSE,"比べると合わない",IF(D55&lt;&gt;0,"中身はずれている。比べると同じ","ずれなし")))</f>
        <v/>
      </c>
      <c r="G55" s="9">
        <f>IF(A55="","",TEXT(B55,"0.00000000000000"))</f>
        <v/>
      </c>
    </row>
    <row r="56">
      <c r="A56" s="6" t="n">
        <v>0.1</v>
      </c>
      <c r="B56" s="7">
        <f>IF(A56="","",N(B55)+A56)</f>
        <v/>
      </c>
      <c r="C56" s="7">
        <f>IF(A56="","",ROUND(N(C55)+A56,$H$2))</f>
        <v/>
      </c>
      <c r="D56" s="8">
        <f>IF(A56="","",(B56-C56))</f>
        <v/>
      </c>
      <c r="E56" s="9">
        <f>IF(A56="","",B56=C56)</f>
        <v/>
      </c>
      <c r="F56" s="9">
        <f>IF(A56="","",IF(E56=FALSE,"比べると合わない",IF(D56&lt;&gt;0,"中身はずれている。比べると同じ","ずれなし")))</f>
        <v/>
      </c>
      <c r="G56" s="9">
        <f>IF(A56="","",TEXT(B56,"0.00000000000000"))</f>
        <v/>
      </c>
    </row>
    <row r="57">
      <c r="A57" s="6" t="n">
        <v>0.1</v>
      </c>
      <c r="B57" s="7">
        <f>IF(A57="","",N(B56)+A57)</f>
        <v/>
      </c>
      <c r="C57" s="7">
        <f>IF(A57="","",ROUND(N(C56)+A57,$H$2))</f>
        <v/>
      </c>
      <c r="D57" s="8">
        <f>IF(A57="","",(B57-C57))</f>
        <v/>
      </c>
      <c r="E57" s="9">
        <f>IF(A57="","",B57=C57)</f>
        <v/>
      </c>
      <c r="F57" s="9">
        <f>IF(A57="","",IF(E57=FALSE,"比べると合わない",IF(D57&lt;&gt;0,"中身はずれている。比べると同じ","ずれなし")))</f>
        <v/>
      </c>
      <c r="G57" s="9">
        <f>IF(A57="","",TEXT(B57,"0.00000000000000"))</f>
        <v/>
      </c>
    </row>
    <row r="58">
      <c r="A58" s="6" t="n">
        <v>0.1</v>
      </c>
      <c r="B58" s="7">
        <f>IF(A58="","",N(B57)+A58)</f>
        <v/>
      </c>
      <c r="C58" s="7">
        <f>IF(A58="","",ROUND(N(C57)+A58,$H$2))</f>
        <v/>
      </c>
      <c r="D58" s="8">
        <f>IF(A58="","",(B58-C58))</f>
        <v/>
      </c>
      <c r="E58" s="9">
        <f>IF(A58="","",B58=C58)</f>
        <v/>
      </c>
      <c r="F58" s="9">
        <f>IF(A58="","",IF(E58=FALSE,"比べると合わない",IF(D58&lt;&gt;0,"中身はずれている。比べると同じ","ずれなし")))</f>
        <v/>
      </c>
      <c r="G58" s="9">
        <f>IF(A58="","",TEXT(B58,"0.00000000000000"))</f>
        <v/>
      </c>
    </row>
    <row r="59">
      <c r="A59" s="6" t="n">
        <v>0.1</v>
      </c>
      <c r="B59" s="7">
        <f>IF(A59="","",N(B58)+A59)</f>
        <v/>
      </c>
      <c r="C59" s="7">
        <f>IF(A59="","",ROUND(N(C58)+A59,$H$2))</f>
        <v/>
      </c>
      <c r="D59" s="8">
        <f>IF(A59="","",(B59-C59))</f>
        <v/>
      </c>
      <c r="E59" s="9">
        <f>IF(A59="","",B59=C59)</f>
        <v/>
      </c>
      <c r="F59" s="9">
        <f>IF(A59="","",IF(E59=FALSE,"比べると合わない",IF(D59&lt;&gt;0,"中身はずれている。比べると同じ","ずれなし")))</f>
        <v/>
      </c>
      <c r="G59" s="9">
        <f>IF(A59="","",TEXT(B59,"0.00000000000000"))</f>
        <v/>
      </c>
    </row>
    <row r="60">
      <c r="A60" s="6" t="n">
        <v>0.1</v>
      </c>
      <c r="B60" s="7">
        <f>IF(A60="","",N(B59)+A60)</f>
        <v/>
      </c>
      <c r="C60" s="7">
        <f>IF(A60="","",ROUND(N(C59)+A60,$H$2))</f>
        <v/>
      </c>
      <c r="D60" s="8">
        <f>IF(A60="","",(B60-C60))</f>
        <v/>
      </c>
      <c r="E60" s="9">
        <f>IF(A60="","",B60=C60)</f>
        <v/>
      </c>
      <c r="F60" s="9">
        <f>IF(A60="","",IF(E60=FALSE,"比べると合わない",IF(D60&lt;&gt;0,"中身はずれている。比べると同じ","ずれなし")))</f>
        <v/>
      </c>
      <c r="G60" s="9">
        <f>IF(A60="","",TEXT(B60,"0.00000000000000"))</f>
        <v/>
      </c>
    </row>
    <row r="61">
      <c r="A61" s="6" t="n">
        <v>0.1</v>
      </c>
      <c r="B61" s="7">
        <f>IF(A61="","",N(B60)+A61)</f>
        <v/>
      </c>
      <c r="C61" s="7">
        <f>IF(A61="","",ROUND(N(C60)+A61,$H$2))</f>
        <v/>
      </c>
      <c r="D61" s="8">
        <f>IF(A61="","",(B61-C61))</f>
        <v/>
      </c>
      <c r="E61" s="9">
        <f>IF(A61="","",B61=C61)</f>
        <v/>
      </c>
      <c r="F61" s="9">
        <f>IF(A61="","",IF(E61=FALSE,"比べると合わない",IF(D61&lt;&gt;0,"中身はずれている。比べると同じ","ずれなし")))</f>
        <v/>
      </c>
      <c r="G61" s="9">
        <f>IF(A61="","",TEXT(B61,"0.00000000000000"))</f>
        <v/>
      </c>
    </row>
    <row r="62">
      <c r="A62" s="6" t="n">
        <v>0.1</v>
      </c>
      <c r="B62" s="7">
        <f>IF(A62="","",N(B61)+A62)</f>
        <v/>
      </c>
      <c r="C62" s="7">
        <f>IF(A62="","",ROUND(N(C61)+A62,$H$2))</f>
        <v/>
      </c>
      <c r="D62" s="8">
        <f>IF(A62="","",(B62-C62))</f>
        <v/>
      </c>
      <c r="E62" s="9">
        <f>IF(A62="","",B62=C62)</f>
        <v/>
      </c>
      <c r="F62" s="9">
        <f>IF(A62="","",IF(E62=FALSE,"比べると合わない",IF(D62&lt;&gt;0,"中身はずれている。比べると同じ","ずれなし")))</f>
        <v/>
      </c>
      <c r="G62" s="9">
        <f>IF(A62="","",TEXT(B62,"0.00000000000000"))</f>
        <v/>
      </c>
    </row>
    <row r="63">
      <c r="A63" s="6" t="n">
        <v>0.1</v>
      </c>
      <c r="B63" s="7">
        <f>IF(A63="","",N(B62)+A63)</f>
        <v/>
      </c>
      <c r="C63" s="7">
        <f>IF(A63="","",ROUND(N(C62)+A63,$H$2))</f>
        <v/>
      </c>
      <c r="D63" s="8">
        <f>IF(A63="","",(B63-C63))</f>
        <v/>
      </c>
      <c r="E63" s="9">
        <f>IF(A63="","",B63=C63)</f>
        <v/>
      </c>
      <c r="F63" s="9">
        <f>IF(A63="","",IF(E63=FALSE,"比べると合わない",IF(D63&lt;&gt;0,"中身はずれている。比べると同じ","ずれなし")))</f>
        <v/>
      </c>
      <c r="G63" s="9">
        <f>IF(A63="","",TEXT(B63,"0.00000000000000"))</f>
        <v/>
      </c>
    </row>
    <row r="64">
      <c r="A64" s="6" t="n">
        <v>0.1</v>
      </c>
      <c r="B64" s="7">
        <f>IF(A64="","",N(B63)+A64)</f>
        <v/>
      </c>
      <c r="C64" s="7">
        <f>IF(A64="","",ROUND(N(C63)+A64,$H$2))</f>
        <v/>
      </c>
      <c r="D64" s="8">
        <f>IF(A64="","",(B64-C64))</f>
        <v/>
      </c>
      <c r="E64" s="9">
        <f>IF(A64="","",B64=C64)</f>
        <v/>
      </c>
      <c r="F64" s="9">
        <f>IF(A64="","",IF(E64=FALSE,"比べると合わない",IF(D64&lt;&gt;0,"中身はずれている。比べると同じ","ずれなし")))</f>
        <v/>
      </c>
      <c r="G64" s="9">
        <f>IF(A64="","",TEXT(B64,"0.00000000000000"))</f>
        <v/>
      </c>
    </row>
    <row r="65">
      <c r="A65" s="6" t="n">
        <v>0.1</v>
      </c>
      <c r="B65" s="7">
        <f>IF(A65="","",N(B64)+A65)</f>
        <v/>
      </c>
      <c r="C65" s="7">
        <f>IF(A65="","",ROUND(N(C64)+A65,$H$2))</f>
        <v/>
      </c>
      <c r="D65" s="8">
        <f>IF(A65="","",(B65-C65))</f>
        <v/>
      </c>
      <c r="E65" s="9">
        <f>IF(A65="","",B65=C65)</f>
        <v/>
      </c>
      <c r="F65" s="9">
        <f>IF(A65="","",IF(E65=FALSE,"比べると合わない",IF(D65&lt;&gt;0,"中身はずれている。比べると同じ","ずれなし")))</f>
        <v/>
      </c>
      <c r="G65" s="9">
        <f>IF(A65="","",TEXT(B65,"0.00000000000000"))</f>
        <v/>
      </c>
    </row>
    <row r="66">
      <c r="A66" s="6" t="n">
        <v>0.1</v>
      </c>
      <c r="B66" s="7">
        <f>IF(A66="","",N(B65)+A66)</f>
        <v/>
      </c>
      <c r="C66" s="7">
        <f>IF(A66="","",ROUND(N(C65)+A66,$H$2))</f>
        <v/>
      </c>
      <c r="D66" s="8">
        <f>IF(A66="","",(B66-C66))</f>
        <v/>
      </c>
      <c r="E66" s="9">
        <f>IF(A66="","",B66=C66)</f>
        <v/>
      </c>
      <c r="F66" s="9">
        <f>IF(A66="","",IF(E66=FALSE,"比べると合わない",IF(D66&lt;&gt;0,"中身はずれている。比べると同じ","ずれなし")))</f>
        <v/>
      </c>
      <c r="G66" s="9">
        <f>IF(A66="","",TEXT(B66,"0.00000000000000"))</f>
        <v/>
      </c>
    </row>
    <row r="67">
      <c r="A67" s="6" t="n">
        <v>0.1</v>
      </c>
      <c r="B67" s="7">
        <f>IF(A67="","",N(B66)+A67)</f>
        <v/>
      </c>
      <c r="C67" s="7">
        <f>IF(A67="","",ROUND(N(C66)+A67,$H$2))</f>
        <v/>
      </c>
      <c r="D67" s="8">
        <f>IF(A67="","",(B67-C67))</f>
        <v/>
      </c>
      <c r="E67" s="9">
        <f>IF(A67="","",B67=C67)</f>
        <v/>
      </c>
      <c r="F67" s="9">
        <f>IF(A67="","",IF(E67=FALSE,"比べると合わない",IF(D67&lt;&gt;0,"中身はずれている。比べると同じ","ずれなし")))</f>
        <v/>
      </c>
      <c r="G67" s="9">
        <f>IF(A67="","",TEXT(B67,"0.00000000000000"))</f>
        <v/>
      </c>
    </row>
    <row r="68">
      <c r="A68" s="6" t="n">
        <v>0.1</v>
      </c>
      <c r="B68" s="7">
        <f>IF(A68="","",N(B67)+A68)</f>
        <v/>
      </c>
      <c r="C68" s="7">
        <f>IF(A68="","",ROUND(N(C67)+A68,$H$2))</f>
        <v/>
      </c>
      <c r="D68" s="8">
        <f>IF(A68="","",(B68-C68))</f>
        <v/>
      </c>
      <c r="E68" s="9">
        <f>IF(A68="","",B68=C68)</f>
        <v/>
      </c>
      <c r="F68" s="9">
        <f>IF(A68="","",IF(E68=FALSE,"比べると合わない",IF(D68&lt;&gt;0,"中身はずれている。比べると同じ","ずれなし")))</f>
        <v/>
      </c>
      <c r="G68" s="9">
        <f>IF(A68="","",TEXT(B68,"0.00000000000000"))</f>
        <v/>
      </c>
    </row>
    <row r="69">
      <c r="A69" s="6" t="n">
        <v>0.1</v>
      </c>
      <c r="B69" s="7">
        <f>IF(A69="","",N(B68)+A69)</f>
        <v/>
      </c>
      <c r="C69" s="7">
        <f>IF(A69="","",ROUND(N(C68)+A69,$H$2))</f>
        <v/>
      </c>
      <c r="D69" s="8">
        <f>IF(A69="","",(B69-C69))</f>
        <v/>
      </c>
      <c r="E69" s="9">
        <f>IF(A69="","",B69=C69)</f>
        <v/>
      </c>
      <c r="F69" s="9">
        <f>IF(A69="","",IF(E69=FALSE,"比べると合わない",IF(D69&lt;&gt;0,"中身はずれている。比べると同じ","ずれなし")))</f>
        <v/>
      </c>
      <c r="G69" s="9">
        <f>IF(A69="","",TEXT(B69,"0.00000000000000"))</f>
        <v/>
      </c>
    </row>
    <row r="70">
      <c r="A70" s="6" t="n">
        <v>0.1</v>
      </c>
      <c r="B70" s="7">
        <f>IF(A70="","",N(B69)+A70)</f>
        <v/>
      </c>
      <c r="C70" s="7">
        <f>IF(A70="","",ROUND(N(C69)+A70,$H$2))</f>
        <v/>
      </c>
      <c r="D70" s="8">
        <f>IF(A70="","",(B70-C70))</f>
        <v/>
      </c>
      <c r="E70" s="9">
        <f>IF(A70="","",B70=C70)</f>
        <v/>
      </c>
      <c r="F70" s="9">
        <f>IF(A70="","",IF(E70=FALSE,"比べると合わない",IF(D70&lt;&gt;0,"中身はずれている。比べると同じ","ずれなし")))</f>
        <v/>
      </c>
      <c r="G70" s="9">
        <f>IF(A70="","",TEXT(B70,"0.00000000000000"))</f>
        <v/>
      </c>
    </row>
    <row r="71">
      <c r="A71" s="6" t="n">
        <v>0.1</v>
      </c>
      <c r="B71" s="7">
        <f>IF(A71="","",N(B70)+A71)</f>
        <v/>
      </c>
      <c r="C71" s="7">
        <f>IF(A71="","",ROUND(N(C70)+A71,$H$2))</f>
        <v/>
      </c>
      <c r="D71" s="8">
        <f>IF(A71="","",(B71-C71))</f>
        <v/>
      </c>
      <c r="E71" s="9">
        <f>IF(A71="","",B71=C71)</f>
        <v/>
      </c>
      <c r="F71" s="9">
        <f>IF(A71="","",IF(E71=FALSE,"比べると合わない",IF(D71&lt;&gt;0,"中身はずれている。比べると同じ","ずれなし")))</f>
        <v/>
      </c>
      <c r="G71" s="9">
        <f>IF(A71="","",TEXT(B71,"0.00000000000000"))</f>
        <v/>
      </c>
    </row>
    <row r="72">
      <c r="A72" s="6" t="n">
        <v>0.1</v>
      </c>
      <c r="B72" s="7">
        <f>IF(A72="","",N(B71)+A72)</f>
        <v/>
      </c>
      <c r="C72" s="7">
        <f>IF(A72="","",ROUND(N(C71)+A72,$H$2))</f>
        <v/>
      </c>
      <c r="D72" s="8">
        <f>IF(A72="","",(B72-C72))</f>
        <v/>
      </c>
      <c r="E72" s="9">
        <f>IF(A72="","",B72=C72)</f>
        <v/>
      </c>
      <c r="F72" s="9">
        <f>IF(A72="","",IF(E72=FALSE,"比べると合わない",IF(D72&lt;&gt;0,"中身はずれている。比べると同じ","ずれなし")))</f>
        <v/>
      </c>
      <c r="G72" s="9">
        <f>IF(A72="","",TEXT(B72,"0.00000000000000"))</f>
        <v/>
      </c>
    </row>
    <row r="73">
      <c r="A73" s="6" t="n">
        <v>0.1</v>
      </c>
      <c r="B73" s="7">
        <f>IF(A73="","",N(B72)+A73)</f>
        <v/>
      </c>
      <c r="C73" s="7">
        <f>IF(A73="","",ROUND(N(C72)+A73,$H$2))</f>
        <v/>
      </c>
      <c r="D73" s="8">
        <f>IF(A73="","",(B73-C73))</f>
        <v/>
      </c>
      <c r="E73" s="9">
        <f>IF(A73="","",B73=C73)</f>
        <v/>
      </c>
      <c r="F73" s="9">
        <f>IF(A73="","",IF(E73=FALSE,"比べると合わない",IF(D73&lt;&gt;0,"中身はずれている。比べると同じ","ずれなし")))</f>
        <v/>
      </c>
      <c r="G73" s="9">
        <f>IF(A73="","",TEXT(B73,"0.00000000000000"))</f>
        <v/>
      </c>
    </row>
    <row r="74">
      <c r="A74" s="6" t="n">
        <v>0.1</v>
      </c>
      <c r="B74" s="7">
        <f>IF(A74="","",N(B73)+A74)</f>
        <v/>
      </c>
      <c r="C74" s="7">
        <f>IF(A74="","",ROUND(N(C73)+A74,$H$2))</f>
        <v/>
      </c>
      <c r="D74" s="8">
        <f>IF(A74="","",(B74-C74))</f>
        <v/>
      </c>
      <c r="E74" s="9">
        <f>IF(A74="","",B74=C74)</f>
        <v/>
      </c>
      <c r="F74" s="9">
        <f>IF(A74="","",IF(E74=FALSE,"比べると合わない",IF(D74&lt;&gt;0,"中身はずれている。比べると同じ","ずれなし")))</f>
        <v/>
      </c>
      <c r="G74" s="9">
        <f>IF(A74="","",TEXT(B74,"0.00000000000000"))</f>
        <v/>
      </c>
    </row>
    <row r="75">
      <c r="A75" s="6" t="n">
        <v>0.1</v>
      </c>
      <c r="B75" s="7">
        <f>IF(A75="","",N(B74)+A75)</f>
        <v/>
      </c>
      <c r="C75" s="7">
        <f>IF(A75="","",ROUND(N(C74)+A75,$H$2))</f>
        <v/>
      </c>
      <c r="D75" s="8">
        <f>IF(A75="","",(B75-C75))</f>
        <v/>
      </c>
      <c r="E75" s="9">
        <f>IF(A75="","",B75=C75)</f>
        <v/>
      </c>
      <c r="F75" s="9">
        <f>IF(A75="","",IF(E75=FALSE,"比べると合わない",IF(D75&lt;&gt;0,"中身はずれている。比べると同じ","ずれなし")))</f>
        <v/>
      </c>
      <c r="G75" s="9">
        <f>IF(A75="","",TEXT(B75,"0.00000000000000"))</f>
        <v/>
      </c>
    </row>
    <row r="76">
      <c r="A76" s="6" t="n">
        <v>0.1</v>
      </c>
      <c r="B76" s="7">
        <f>IF(A76="","",N(B75)+A76)</f>
        <v/>
      </c>
      <c r="C76" s="7">
        <f>IF(A76="","",ROUND(N(C75)+A76,$H$2))</f>
        <v/>
      </c>
      <c r="D76" s="8">
        <f>IF(A76="","",(B76-C76))</f>
        <v/>
      </c>
      <c r="E76" s="9">
        <f>IF(A76="","",B76=C76)</f>
        <v/>
      </c>
      <c r="F76" s="9">
        <f>IF(A76="","",IF(E76=FALSE,"比べると合わない",IF(D76&lt;&gt;0,"中身はずれている。比べると同じ","ずれなし")))</f>
        <v/>
      </c>
      <c r="G76" s="9">
        <f>IF(A76="","",TEXT(B76,"0.00000000000000"))</f>
        <v/>
      </c>
    </row>
    <row r="77">
      <c r="A77" s="6" t="n">
        <v>0.1</v>
      </c>
      <c r="B77" s="7">
        <f>IF(A77="","",N(B76)+A77)</f>
        <v/>
      </c>
      <c r="C77" s="7">
        <f>IF(A77="","",ROUND(N(C76)+A77,$H$2))</f>
        <v/>
      </c>
      <c r="D77" s="8">
        <f>IF(A77="","",(B77-C77))</f>
        <v/>
      </c>
      <c r="E77" s="9">
        <f>IF(A77="","",B77=C77)</f>
        <v/>
      </c>
      <c r="F77" s="9">
        <f>IF(A77="","",IF(E77=FALSE,"比べると合わない",IF(D77&lt;&gt;0,"中身はずれている。比べると同じ","ずれなし")))</f>
        <v/>
      </c>
      <c r="G77" s="9">
        <f>IF(A77="","",TEXT(B77,"0.00000000000000"))</f>
        <v/>
      </c>
    </row>
    <row r="78">
      <c r="A78" s="6" t="n">
        <v>0.1</v>
      </c>
      <c r="B78" s="7">
        <f>IF(A78="","",N(B77)+A78)</f>
        <v/>
      </c>
      <c r="C78" s="7">
        <f>IF(A78="","",ROUND(N(C77)+A78,$H$2))</f>
        <v/>
      </c>
      <c r="D78" s="8">
        <f>IF(A78="","",(B78-C78))</f>
        <v/>
      </c>
      <c r="E78" s="9">
        <f>IF(A78="","",B78=C78)</f>
        <v/>
      </c>
      <c r="F78" s="9">
        <f>IF(A78="","",IF(E78=FALSE,"比べると合わない",IF(D78&lt;&gt;0,"中身はずれている。比べると同じ","ずれなし")))</f>
        <v/>
      </c>
      <c r="G78" s="9">
        <f>IF(A78="","",TEXT(B78,"0.00000000000000"))</f>
        <v/>
      </c>
    </row>
    <row r="79">
      <c r="A79" s="6" t="n">
        <v>0.1</v>
      </c>
      <c r="B79" s="7">
        <f>IF(A79="","",N(B78)+A79)</f>
        <v/>
      </c>
      <c r="C79" s="7">
        <f>IF(A79="","",ROUND(N(C78)+A79,$H$2))</f>
        <v/>
      </c>
      <c r="D79" s="8">
        <f>IF(A79="","",(B79-C79))</f>
        <v/>
      </c>
      <c r="E79" s="9">
        <f>IF(A79="","",B79=C79)</f>
        <v/>
      </c>
      <c r="F79" s="9">
        <f>IF(A79="","",IF(E79=FALSE,"比べると合わない",IF(D79&lt;&gt;0,"中身はずれている。比べると同じ","ずれなし")))</f>
        <v/>
      </c>
      <c r="G79" s="9">
        <f>IF(A79="","",TEXT(B79,"0.00000000000000"))</f>
        <v/>
      </c>
    </row>
    <row r="80">
      <c r="A80" s="6" t="n">
        <v>0.1</v>
      </c>
      <c r="B80" s="7">
        <f>IF(A80="","",N(B79)+A80)</f>
        <v/>
      </c>
      <c r="C80" s="7">
        <f>IF(A80="","",ROUND(N(C79)+A80,$H$2))</f>
        <v/>
      </c>
      <c r="D80" s="8">
        <f>IF(A80="","",(B80-C80))</f>
        <v/>
      </c>
      <c r="E80" s="9">
        <f>IF(A80="","",B80=C80)</f>
        <v/>
      </c>
      <c r="F80" s="9">
        <f>IF(A80="","",IF(E80=FALSE,"比べると合わない",IF(D80&lt;&gt;0,"中身はずれている。比べると同じ","ずれなし")))</f>
        <v/>
      </c>
      <c r="G80" s="9">
        <f>IF(A80="","",TEXT(B80,"0.00000000000000"))</f>
        <v/>
      </c>
    </row>
    <row r="81">
      <c r="A81" s="6" t="n">
        <v>0.1</v>
      </c>
      <c r="B81" s="7">
        <f>IF(A81="","",N(B80)+A81)</f>
        <v/>
      </c>
      <c r="C81" s="7">
        <f>IF(A81="","",ROUND(N(C80)+A81,$H$2))</f>
        <v/>
      </c>
      <c r="D81" s="8">
        <f>IF(A81="","",(B81-C81))</f>
        <v/>
      </c>
      <c r="E81" s="9">
        <f>IF(A81="","",B81=C81)</f>
        <v/>
      </c>
      <c r="F81" s="9">
        <f>IF(A81="","",IF(E81=FALSE,"比べると合わない",IF(D81&lt;&gt;0,"中身はずれている。比べると同じ","ずれなし")))</f>
        <v/>
      </c>
      <c r="G81" s="9">
        <f>IF(A81="","",TEXT(B81,"0.00000000000000"))</f>
        <v/>
      </c>
    </row>
    <row r="82">
      <c r="A82" s="6" t="n">
        <v>0.1</v>
      </c>
      <c r="B82" s="7">
        <f>IF(A82="","",N(B81)+A82)</f>
        <v/>
      </c>
      <c r="C82" s="7">
        <f>IF(A82="","",ROUND(N(C81)+A82,$H$2))</f>
        <v/>
      </c>
      <c r="D82" s="8">
        <f>IF(A82="","",(B82-C82))</f>
        <v/>
      </c>
      <c r="E82" s="9">
        <f>IF(A82="","",B82=C82)</f>
        <v/>
      </c>
      <c r="F82" s="9">
        <f>IF(A82="","",IF(E82=FALSE,"比べると合わない",IF(D82&lt;&gt;0,"中身はずれている。比べると同じ","ずれなし")))</f>
        <v/>
      </c>
      <c r="G82" s="9">
        <f>IF(A82="","",TEXT(B82,"0.00000000000000"))</f>
        <v/>
      </c>
    </row>
    <row r="83">
      <c r="A83" s="6" t="n">
        <v>0.1</v>
      </c>
      <c r="B83" s="7">
        <f>IF(A83="","",N(B82)+A83)</f>
        <v/>
      </c>
      <c r="C83" s="7">
        <f>IF(A83="","",ROUND(N(C82)+A83,$H$2))</f>
        <v/>
      </c>
      <c r="D83" s="8">
        <f>IF(A83="","",(B83-C83))</f>
        <v/>
      </c>
      <c r="E83" s="9">
        <f>IF(A83="","",B83=C83)</f>
        <v/>
      </c>
      <c r="F83" s="9">
        <f>IF(A83="","",IF(E83=FALSE,"比べると合わない",IF(D83&lt;&gt;0,"中身はずれている。比べると同じ","ずれなし")))</f>
        <v/>
      </c>
      <c r="G83" s="9">
        <f>IF(A83="","",TEXT(B83,"0.00000000000000"))</f>
        <v/>
      </c>
    </row>
    <row r="84">
      <c r="A84" s="6" t="n">
        <v>0.1</v>
      </c>
      <c r="B84" s="7">
        <f>IF(A84="","",N(B83)+A84)</f>
        <v/>
      </c>
      <c r="C84" s="7">
        <f>IF(A84="","",ROUND(N(C83)+A84,$H$2))</f>
        <v/>
      </c>
      <c r="D84" s="8">
        <f>IF(A84="","",(B84-C84))</f>
        <v/>
      </c>
      <c r="E84" s="9">
        <f>IF(A84="","",B84=C84)</f>
        <v/>
      </c>
      <c r="F84" s="9">
        <f>IF(A84="","",IF(E84=FALSE,"比べると合わない",IF(D84&lt;&gt;0,"中身はずれている。比べると同じ","ずれなし")))</f>
        <v/>
      </c>
      <c r="G84" s="9">
        <f>IF(A84="","",TEXT(B84,"0.00000000000000"))</f>
        <v/>
      </c>
    </row>
    <row r="85">
      <c r="A85" s="6" t="n">
        <v>0.1</v>
      </c>
      <c r="B85" s="7">
        <f>IF(A85="","",N(B84)+A85)</f>
        <v/>
      </c>
      <c r="C85" s="7">
        <f>IF(A85="","",ROUND(N(C84)+A85,$H$2))</f>
        <v/>
      </c>
      <c r="D85" s="8">
        <f>IF(A85="","",(B85-C85))</f>
        <v/>
      </c>
      <c r="E85" s="9">
        <f>IF(A85="","",B85=C85)</f>
        <v/>
      </c>
      <c r="F85" s="9">
        <f>IF(A85="","",IF(E85=FALSE,"比べると合わない",IF(D85&lt;&gt;0,"中身はずれている。比べると同じ","ずれなし")))</f>
        <v/>
      </c>
      <c r="G85" s="9">
        <f>IF(A85="","",TEXT(B85,"0.00000000000000"))</f>
        <v/>
      </c>
    </row>
    <row r="86">
      <c r="A86" s="6" t="n">
        <v>1.2</v>
      </c>
      <c r="B86" s="7">
        <f>IF(A86="","",N(B85)+A86)</f>
        <v/>
      </c>
      <c r="C86" s="7">
        <f>IF(A86="","",ROUND(N(C85)+A86,$H$2))</f>
        <v/>
      </c>
      <c r="D86" s="8">
        <f>IF(A86="","",(B86-C86))</f>
        <v/>
      </c>
      <c r="E86" s="9">
        <f>IF(A86="","",B86=C86)</f>
        <v/>
      </c>
      <c r="F86" s="9">
        <f>IF(A86="","",IF(E86=FALSE,"比べると合わない",IF(D86&lt;&gt;0,"中身はずれている。比べると同じ","ずれなし")))</f>
        <v/>
      </c>
      <c r="G86" s="9">
        <f>IF(A86="","",TEXT(B86,"0.00000000000000"))</f>
        <v/>
      </c>
    </row>
    <row r="87">
      <c r="A87" s="6" t="n">
        <v>0.2</v>
      </c>
      <c r="B87" s="7">
        <f>IF(A87="","",N(B86)+A87)</f>
        <v/>
      </c>
      <c r="C87" s="7">
        <f>IF(A87="","",ROUND(N(C86)+A87,$H$2))</f>
        <v/>
      </c>
      <c r="D87" s="8">
        <f>IF(A87="","",(B87-C87))</f>
        <v/>
      </c>
      <c r="E87" s="9">
        <f>IF(A87="","",B87=C87)</f>
        <v/>
      </c>
      <c r="F87" s="9">
        <f>IF(A87="","",IF(E87=FALSE,"比べると合わない",IF(D87&lt;&gt;0,"中身はずれている。比べると同じ","ずれなし")))</f>
        <v/>
      </c>
      <c r="G87" s="9">
        <f>IF(A87="","",TEXT(B87,"0.00000000000000"))</f>
        <v/>
      </c>
    </row>
    <row r="88">
      <c r="A88" s="6" t="n">
        <v>0.8</v>
      </c>
      <c r="B88" s="7">
        <f>IF(A88="","",N(B87)+A88)</f>
        <v/>
      </c>
      <c r="C88" s="7">
        <f>IF(A88="","",ROUND(N(C87)+A88,$H$2))</f>
        <v/>
      </c>
      <c r="D88" s="8">
        <f>IF(A88="","",(B88-C88))</f>
        <v/>
      </c>
      <c r="E88" s="9">
        <f>IF(A88="","",B88=C88)</f>
        <v/>
      </c>
      <c r="F88" s="9">
        <f>IF(A88="","",IF(E88=FALSE,"比べると合わない",IF(D88&lt;&gt;0,"中身はずれている。比べると同じ","ずれなし")))</f>
        <v/>
      </c>
      <c r="G88" s="9">
        <f>IF(A88="","",TEXT(B88,"0.00000000000000"))</f>
        <v/>
      </c>
    </row>
    <row r="89">
      <c r="A89" s="6" t="n">
        <v>1.5</v>
      </c>
      <c r="B89" s="7">
        <f>IF(A89="","",N(B88)+A89)</f>
        <v/>
      </c>
      <c r="C89" s="7">
        <f>IF(A89="","",ROUND(N(C88)+A89,$H$2))</f>
        <v/>
      </c>
      <c r="D89" s="8">
        <f>IF(A89="","",(B89-C89))</f>
        <v/>
      </c>
      <c r="E89" s="9">
        <f>IF(A89="","",B89=C89)</f>
        <v/>
      </c>
      <c r="F89" s="9">
        <f>IF(A89="","",IF(E89=FALSE,"比べると合わない",IF(D89&lt;&gt;0,"中身はずれている。比べると同じ","ずれなし")))</f>
        <v/>
      </c>
      <c r="G89" s="9">
        <f>IF(A89="","",TEXT(B89,"0.00000000000000"))</f>
        <v/>
      </c>
    </row>
    <row r="90">
      <c r="A90" s="6" t="n">
        <v>0.1</v>
      </c>
      <c r="B90" s="7">
        <f>IF(A90="","",N(B89)+A90)</f>
        <v/>
      </c>
      <c r="C90" s="7">
        <f>IF(A90="","",ROUND(N(C89)+A90,$H$2))</f>
        <v/>
      </c>
      <c r="D90" s="8">
        <f>IF(A90="","",(B90-C90))</f>
        <v/>
      </c>
      <c r="E90" s="9">
        <f>IF(A90="","",B90=C90)</f>
        <v/>
      </c>
      <c r="F90" s="9">
        <f>IF(A90="","",IF(E90=FALSE,"比べると合わない",IF(D90&lt;&gt;0,"中身はずれている。比べると同じ","ずれなし")))</f>
        <v/>
      </c>
      <c r="G90" s="9">
        <f>IF(A90="","",TEXT(B90,"0.00000000000000"))</f>
        <v/>
      </c>
    </row>
    <row r="91">
      <c r="A91" s="6" t="n">
        <v>0.7</v>
      </c>
      <c r="B91" s="7">
        <f>IF(A91="","",N(B90)+A91)</f>
        <v/>
      </c>
      <c r="C91" s="7">
        <f>IF(A91="","",ROUND(N(C90)+A91,$H$2))</f>
        <v/>
      </c>
      <c r="D91" s="8">
        <f>IF(A91="","",(B91-C91))</f>
        <v/>
      </c>
      <c r="E91" s="9">
        <f>IF(A91="","",B91=C91)</f>
        <v/>
      </c>
      <c r="F91" s="9">
        <f>IF(A91="","",IF(E91=FALSE,"比べると合わない",IF(D91&lt;&gt;0,"中身はずれている。比べると同じ","ずれなし")))</f>
        <v/>
      </c>
      <c r="G91" s="9">
        <f>IF(A91="","",TEXT(B91,"0.00000000000000"))</f>
        <v/>
      </c>
    </row>
    <row r="92">
      <c r="A92" s="6" t="n">
        <v>3</v>
      </c>
      <c r="B92" s="7">
        <f>IF(A92="","",N(B91)+A92)</f>
        <v/>
      </c>
      <c r="C92" s="7">
        <f>IF(A92="","",ROUND(N(C91)+A92,$H$2))</f>
        <v/>
      </c>
      <c r="D92" s="8">
        <f>IF(A92="","",(B92-C92))</f>
        <v/>
      </c>
      <c r="E92" s="9">
        <f>IF(A92="","",B92=C92)</f>
        <v/>
      </c>
      <c r="F92" s="9">
        <f>IF(A92="","",IF(E92=FALSE,"比べると合わない",IF(D92&lt;&gt;0,"中身はずれている。比べると同じ","ずれなし")))</f>
        <v/>
      </c>
      <c r="G92" s="9">
        <f>IF(A92="","",TEXT(B92,"0.00000000000000"))</f>
        <v/>
      </c>
    </row>
    <row r="93">
      <c r="A93" s="6" t="n">
        <v>1.9</v>
      </c>
      <c r="B93" s="7">
        <f>IF(A93="","",N(B92)+A93)</f>
        <v/>
      </c>
      <c r="C93" s="7">
        <f>IF(A93="","",ROUND(N(C92)+A93,$H$2))</f>
        <v/>
      </c>
      <c r="D93" s="8">
        <f>IF(A93="","",(B93-C93))</f>
        <v/>
      </c>
      <c r="E93" s="9">
        <f>IF(A93="","",B93=C93)</f>
        <v/>
      </c>
      <c r="F93" s="9">
        <f>IF(A93="","",IF(E93=FALSE,"比べると合わない",IF(D93&lt;&gt;0,"中身はずれている。比べると同じ","ずれなし")))</f>
        <v/>
      </c>
      <c r="G93" s="9">
        <f>IF(A93="","",TEXT(B93,"0.00000000000000"))</f>
        <v/>
      </c>
    </row>
    <row r="94">
      <c r="A94" s="6" t="n">
        <v>1.1</v>
      </c>
      <c r="B94" s="7">
        <f>IF(A94="","",N(B93)+A94)</f>
        <v/>
      </c>
      <c r="C94" s="7">
        <f>IF(A94="","",ROUND(N(C93)+A94,$H$2))</f>
        <v/>
      </c>
      <c r="D94" s="8">
        <f>IF(A94="","",(B94-C94))</f>
        <v/>
      </c>
      <c r="E94" s="9">
        <f>IF(A94="","",B94=C94)</f>
        <v/>
      </c>
      <c r="F94" s="9">
        <f>IF(A94="","",IF(E94=FALSE,"比べると合わない",IF(D94&lt;&gt;0,"中身はずれている。比べると同じ","ずれなし")))</f>
        <v/>
      </c>
      <c r="G94" s="9">
        <f>IF(A94="","",TEXT(B94,"0.00000000000000"))</f>
        <v/>
      </c>
    </row>
    <row r="95">
      <c r="A95" s="6" t="n">
        <v>2.2</v>
      </c>
      <c r="B95" s="7">
        <f>IF(A95="","",N(B94)+A95)</f>
        <v/>
      </c>
      <c r="C95" s="7">
        <f>IF(A95="","",ROUND(N(C94)+A95,$H$2))</f>
        <v/>
      </c>
      <c r="D95" s="8">
        <f>IF(A95="","",(B95-C95))</f>
        <v/>
      </c>
      <c r="E95" s="9">
        <f>IF(A95="","",B95=C95)</f>
        <v/>
      </c>
      <c r="F95" s="9">
        <f>IF(A95="","",IF(E95=FALSE,"比べると合わない",IF(D95&lt;&gt;0,"中身はずれている。比べると同じ","ずれなし")))</f>
        <v/>
      </c>
      <c r="G95" s="9">
        <f>IF(A95="","",TEXT(B95,"0.00000000000000"))</f>
        <v/>
      </c>
    </row>
    <row r="96">
      <c r="A96" s="6" t="n">
        <v>0.1</v>
      </c>
      <c r="B96" s="7">
        <f>IF(A96="","",N(B95)+A96)</f>
        <v/>
      </c>
      <c r="C96" s="7">
        <f>IF(A96="","",ROUND(N(C95)+A96,$H$2))</f>
        <v/>
      </c>
      <c r="D96" s="8">
        <f>IF(A96="","",(B96-C96))</f>
        <v/>
      </c>
      <c r="E96" s="9">
        <f>IF(A96="","",B96=C96)</f>
        <v/>
      </c>
      <c r="F96" s="9">
        <f>IF(A96="","",IF(E96=FALSE,"比べると合わない",IF(D96&lt;&gt;0,"中身はずれている。比べると同じ","ずれなし")))</f>
        <v/>
      </c>
      <c r="G96" s="9">
        <f>IF(A96="","",TEXT(B96,"0.00000000000000"))</f>
        <v/>
      </c>
    </row>
    <row r="97">
      <c r="A97" s="6" t="n">
        <v>2.5</v>
      </c>
      <c r="B97" s="7">
        <f>IF(A97="","",N(B96)+A97)</f>
        <v/>
      </c>
      <c r="C97" s="7">
        <f>IF(A97="","",ROUND(N(C96)+A97,$H$2))</f>
        <v/>
      </c>
      <c r="D97" s="8">
        <f>IF(A97="","",(B97-C97))</f>
        <v/>
      </c>
      <c r="E97" s="9">
        <f>IF(A97="","",B97=C97)</f>
        <v/>
      </c>
      <c r="F97" s="9">
        <f>IF(A97="","",IF(E97=FALSE,"比べると合わない",IF(D97&lt;&gt;0,"中身はずれている。比べると同じ","ずれなし")))</f>
        <v/>
      </c>
      <c r="G97" s="9">
        <f>IF(A97="","",TEXT(B97,"0.00000000000000"))</f>
        <v/>
      </c>
    </row>
    <row r="98">
      <c r="A98" s="6" t="n">
        <v>0.7</v>
      </c>
      <c r="B98" s="7">
        <f>IF(A98="","",N(B97)+A98)</f>
        <v/>
      </c>
      <c r="C98" s="7">
        <f>IF(A98="","",ROUND(N(C97)+A98,$H$2))</f>
        <v/>
      </c>
      <c r="D98" s="8">
        <f>IF(A98="","",(B98-C98))</f>
        <v/>
      </c>
      <c r="E98" s="9">
        <f>IF(A98="","",B98=C98)</f>
        <v/>
      </c>
      <c r="F98" s="9">
        <f>IF(A98="","",IF(E98=FALSE,"比べると合わない",IF(D98&lt;&gt;0,"中身はずれている。比べると同じ","ずれなし")))</f>
        <v/>
      </c>
      <c r="G98" s="9">
        <f>IF(A98="","",TEXT(B98,"0.00000000000000"))</f>
        <v/>
      </c>
    </row>
    <row r="99">
      <c r="A99" s="6" t="n">
        <v>2.9</v>
      </c>
      <c r="B99" s="7">
        <f>IF(A99="","",N(B98)+A99)</f>
        <v/>
      </c>
      <c r="C99" s="7">
        <f>IF(A99="","",ROUND(N(C98)+A99,$H$2))</f>
        <v/>
      </c>
      <c r="D99" s="8">
        <f>IF(A99="","",(B99-C99))</f>
        <v/>
      </c>
      <c r="E99" s="9">
        <f>IF(A99="","",B99=C99)</f>
        <v/>
      </c>
      <c r="F99" s="9">
        <f>IF(A99="","",IF(E99=FALSE,"比べると合わない",IF(D99&lt;&gt;0,"中身はずれている。比べると同じ","ずれなし")))</f>
        <v/>
      </c>
      <c r="G99" s="9">
        <f>IF(A99="","",TEXT(B99,"0.00000000000000"))</f>
        <v/>
      </c>
    </row>
    <row r="100">
      <c r="A100" s="6" t="n">
        <v>1.7</v>
      </c>
      <c r="B100" s="7">
        <f>IF(A100="","",N(B99)+A100)</f>
        <v/>
      </c>
      <c r="C100" s="7">
        <f>IF(A100="","",ROUND(N(C99)+A100,$H$2))</f>
        <v/>
      </c>
      <c r="D100" s="8">
        <f>IF(A100="","",(B100-C100))</f>
        <v/>
      </c>
      <c r="E100" s="9">
        <f>IF(A100="","",B100=C100)</f>
        <v/>
      </c>
      <c r="F100" s="9">
        <f>IF(A100="","",IF(E100=FALSE,"比べると合わない",IF(D100&lt;&gt;0,"中身はずれている。比べると同じ","ずれなし")))</f>
        <v/>
      </c>
      <c r="G100" s="9">
        <f>IF(A100="","",TEXT(B100,"0.00000000000000"))</f>
        <v/>
      </c>
    </row>
    <row r="101">
      <c r="A101" s="6" t="n">
        <v>2.9</v>
      </c>
      <c r="B101" s="7">
        <f>IF(A101="","",N(B100)+A101)</f>
        <v/>
      </c>
      <c r="C101" s="7">
        <f>IF(A101="","",ROUND(N(C100)+A101,$H$2))</f>
        <v/>
      </c>
      <c r="D101" s="8">
        <f>IF(A101="","",(B101-C101))</f>
        <v/>
      </c>
      <c r="E101" s="9">
        <f>IF(A101="","",B101=C101)</f>
        <v/>
      </c>
      <c r="F101" s="9">
        <f>IF(A101="","",IF(E101=FALSE,"比べると合わない",IF(D101&lt;&gt;0,"中身はずれている。比べると同じ","ずれなし")))</f>
        <v/>
      </c>
      <c r="G101" s="9">
        <f>IF(A101="","",TEXT(B101,"0.00000000000000"))</f>
        <v/>
      </c>
    </row>
    <row r="102">
      <c r="A102" s="6" t="n">
        <v>2.5</v>
      </c>
      <c r="B102" s="7">
        <f>IF(A102="","",N(B101)+A102)</f>
        <v/>
      </c>
      <c r="C102" s="7">
        <f>IF(A102="","",ROUND(N(C101)+A102,$H$2))</f>
        <v/>
      </c>
      <c r="D102" s="8">
        <f>IF(A102="","",(B102-C102))</f>
        <v/>
      </c>
      <c r="E102" s="9">
        <f>IF(A102="","",B102=C102)</f>
        <v/>
      </c>
      <c r="F102" s="9">
        <f>IF(A102="","",IF(E102=FALSE,"比べると合わない",IF(D102&lt;&gt;0,"中身はずれている。比べると同じ","ずれなし")))</f>
        <v/>
      </c>
      <c r="G102" s="9">
        <f>IF(A102="","",TEXT(B102,"0.00000000000000"))</f>
        <v/>
      </c>
    </row>
    <row r="103">
      <c r="A103" s="6" t="n">
        <v>1</v>
      </c>
      <c r="B103" s="7">
        <f>IF(A103="","",N(B102)+A103)</f>
        <v/>
      </c>
      <c r="C103" s="7">
        <f>IF(A103="","",ROUND(N(C102)+A103,$H$2))</f>
        <v/>
      </c>
      <c r="D103" s="8">
        <f>IF(A103="","",(B103-C103))</f>
        <v/>
      </c>
      <c r="E103" s="9">
        <f>IF(A103="","",B103=C103)</f>
        <v/>
      </c>
      <c r="F103" s="9">
        <f>IF(A103="","",IF(E103=FALSE,"比べると合わない",IF(D103&lt;&gt;0,"中身はずれている。比べると同じ","ずれなし")))</f>
        <v/>
      </c>
      <c r="G103" s="9">
        <f>IF(A103="","",TEXT(B103,"0.00000000000000"))</f>
        <v/>
      </c>
    </row>
    <row r="104">
      <c r="A104" s="6" t="n">
        <v>2.1</v>
      </c>
      <c r="B104" s="7">
        <f>IF(A104="","",N(B103)+A104)</f>
        <v/>
      </c>
      <c r="C104" s="7">
        <f>IF(A104="","",ROUND(N(C103)+A104,$H$2))</f>
        <v/>
      </c>
      <c r="D104" s="8">
        <f>IF(A104="","",(B104-C104))</f>
        <v/>
      </c>
      <c r="E104" s="9">
        <f>IF(A104="","",B104=C104)</f>
        <v/>
      </c>
      <c r="F104" s="9">
        <f>IF(A104="","",IF(E104=FALSE,"比べると合わない",IF(D104&lt;&gt;0,"中身はずれている。比べると同じ","ずれなし")))</f>
        <v/>
      </c>
      <c r="G104" s="9">
        <f>IF(A104="","",TEXT(B104,"0.00000000000000"))</f>
        <v/>
      </c>
    </row>
    <row r="105">
      <c r="A105" s="6" t="n">
        <v>0.5</v>
      </c>
      <c r="B105" s="7">
        <f>IF(A105="","",N(B104)+A105)</f>
        <v/>
      </c>
      <c r="C105" s="7">
        <f>IF(A105="","",ROUND(N(C104)+A105,$H$2))</f>
        <v/>
      </c>
      <c r="D105" s="8">
        <f>IF(A105="","",(B105-C105))</f>
        <v/>
      </c>
      <c r="E105" s="9">
        <f>IF(A105="","",B105=C105)</f>
        <v/>
      </c>
      <c r="F105" s="9">
        <f>IF(A105="","",IF(E105=FALSE,"比べると合わない",IF(D105&lt;&gt;0,"中身はずれている。比べると同じ","ずれなし")))</f>
        <v/>
      </c>
      <c r="G105" s="9">
        <f>IF(A105="","",TEXT(B105,"0.00000000000000"))</f>
        <v/>
      </c>
    </row>
    <row r="106">
      <c r="A106" s="6" t="n">
        <v>1.9</v>
      </c>
      <c r="B106" s="7">
        <f>IF(A106="","",N(B105)+A106)</f>
        <v/>
      </c>
      <c r="C106" s="7">
        <f>IF(A106="","",ROUND(N(C105)+A106,$H$2))</f>
        <v/>
      </c>
      <c r="D106" s="8">
        <f>IF(A106="","",(B106-C106))</f>
        <v/>
      </c>
      <c r="E106" s="9">
        <f>IF(A106="","",B106=C106)</f>
        <v/>
      </c>
      <c r="F106" s="9">
        <f>IF(A106="","",IF(E106=FALSE,"比べると合わない",IF(D106&lt;&gt;0,"中身はずれている。比べると同じ","ずれなし")))</f>
        <v/>
      </c>
      <c r="G106" s="9">
        <f>IF(A106="","",TEXT(B106,"0.00000000000000"))</f>
        <v/>
      </c>
    </row>
    <row r="107">
      <c r="A107" s="6" t="n">
        <v>0.3</v>
      </c>
      <c r="B107" s="7">
        <f>IF(A107="","",N(B106)+A107)</f>
        <v/>
      </c>
      <c r="C107" s="7">
        <f>IF(A107="","",ROUND(N(C106)+A107,$H$2))</f>
        <v/>
      </c>
      <c r="D107" s="8">
        <f>IF(A107="","",(B107-C107))</f>
        <v/>
      </c>
      <c r="E107" s="9">
        <f>IF(A107="","",B107=C107)</f>
        <v/>
      </c>
      <c r="F107" s="9">
        <f>IF(A107="","",IF(E107=FALSE,"比べると合わない",IF(D107&lt;&gt;0,"中身はずれている。比べると同じ","ずれなし")))</f>
        <v/>
      </c>
      <c r="G107" s="9">
        <f>IF(A107="","",TEXT(B107,"0.00000000000000"))</f>
        <v/>
      </c>
    </row>
    <row r="108">
      <c r="A108" s="6" t="n">
        <v>1.3</v>
      </c>
      <c r="B108" s="7">
        <f>IF(A108="","",N(B107)+A108)</f>
        <v/>
      </c>
      <c r="C108" s="7">
        <f>IF(A108="","",ROUND(N(C107)+A108,$H$2))</f>
        <v/>
      </c>
      <c r="D108" s="8">
        <f>IF(A108="","",(B108-C108))</f>
        <v/>
      </c>
      <c r="E108" s="9">
        <f>IF(A108="","",B108=C108)</f>
        <v/>
      </c>
      <c r="F108" s="9">
        <f>IF(A108="","",IF(E108=FALSE,"比べると合わない",IF(D108&lt;&gt;0,"中身はずれている。比べると同じ","ずれなし")))</f>
        <v/>
      </c>
      <c r="G108" s="9">
        <f>IF(A108="","",TEXT(B108,"0.00000000000000"))</f>
        <v/>
      </c>
    </row>
    <row r="109">
      <c r="A109" s="6" t="n">
        <v>2.8</v>
      </c>
      <c r="B109" s="7">
        <f>IF(A109="","",N(B108)+A109)</f>
        <v/>
      </c>
      <c r="C109" s="7">
        <f>IF(A109="","",ROUND(N(C108)+A109,$H$2))</f>
        <v/>
      </c>
      <c r="D109" s="8">
        <f>IF(A109="","",(B109-C109))</f>
        <v/>
      </c>
      <c r="E109" s="9">
        <f>IF(A109="","",B109=C109)</f>
        <v/>
      </c>
      <c r="F109" s="9">
        <f>IF(A109="","",IF(E109=FALSE,"比べると合わない",IF(D109&lt;&gt;0,"中身はずれている。比べると同じ","ずれなし")))</f>
        <v/>
      </c>
      <c r="G109" s="9">
        <f>IF(A109="","",TEXT(B109,"0.00000000000000"))</f>
        <v/>
      </c>
    </row>
    <row r="110">
      <c r="A110" s="6" t="n">
        <v>0.1</v>
      </c>
      <c r="B110" s="7">
        <f>IF(A110="","",N(B109)+A110)</f>
        <v/>
      </c>
      <c r="C110" s="7">
        <f>IF(A110="","",ROUND(N(C109)+A110,$H$2))</f>
        <v/>
      </c>
      <c r="D110" s="8">
        <f>IF(A110="","",(B110-C110))</f>
        <v/>
      </c>
      <c r="E110" s="9">
        <f>IF(A110="","",B110=C110)</f>
        <v/>
      </c>
      <c r="F110" s="9">
        <f>IF(A110="","",IF(E110=FALSE,"比べると合わない",IF(D110&lt;&gt;0,"中身はずれている。比べると同じ","ずれなし")))</f>
        <v/>
      </c>
      <c r="G110" s="9">
        <f>IF(A110="","",TEXT(B110,"0.00000000000000"))</f>
        <v/>
      </c>
    </row>
    <row r="111">
      <c r="A111" s="6" t="n">
        <v>1</v>
      </c>
      <c r="B111" s="7">
        <f>IF(A111="","",N(B110)+A111)</f>
        <v/>
      </c>
      <c r="C111" s="7">
        <f>IF(A111="","",ROUND(N(C110)+A111,$H$2))</f>
        <v/>
      </c>
      <c r="D111" s="8">
        <f>IF(A111="","",(B111-C111))</f>
        <v/>
      </c>
      <c r="E111" s="9">
        <f>IF(A111="","",B111=C111)</f>
        <v/>
      </c>
      <c r="F111" s="9">
        <f>IF(A111="","",IF(E111=FALSE,"比べると合わない",IF(D111&lt;&gt;0,"中身はずれている。比べると同じ","ずれなし")))</f>
        <v/>
      </c>
      <c r="G111" s="9">
        <f>IF(A111="","",TEXT(B111,"0.00000000000000"))</f>
        <v/>
      </c>
    </row>
    <row r="112">
      <c r="A112" s="6" t="n">
        <v>0.1</v>
      </c>
      <c r="B112" s="7">
        <f>IF(A112="","",N(B111)+A112)</f>
        <v/>
      </c>
      <c r="C112" s="7">
        <f>IF(A112="","",ROUND(N(C111)+A112,$H$2))</f>
        <v/>
      </c>
      <c r="D112" s="8">
        <f>IF(A112="","",(B112-C112))</f>
        <v/>
      </c>
      <c r="E112" s="9">
        <f>IF(A112="","",B112=C112)</f>
        <v/>
      </c>
      <c r="F112" s="9">
        <f>IF(A112="","",IF(E112=FALSE,"比べると合わない",IF(D112&lt;&gt;0,"中身はずれている。比べると同じ","ずれなし")))</f>
        <v/>
      </c>
      <c r="G112" s="9">
        <f>IF(A112="","",TEXT(B112,"0.00000000000000"))</f>
        <v/>
      </c>
    </row>
    <row r="113">
      <c r="A113" s="6" t="n">
        <v>0.9</v>
      </c>
      <c r="B113" s="7">
        <f>IF(A113="","",N(B112)+A113)</f>
        <v/>
      </c>
      <c r="C113" s="7">
        <f>IF(A113="","",ROUND(N(C112)+A113,$H$2))</f>
        <v/>
      </c>
      <c r="D113" s="8">
        <f>IF(A113="","",(B113-C113))</f>
        <v/>
      </c>
      <c r="E113" s="9">
        <f>IF(A113="","",B113=C113)</f>
        <v/>
      </c>
      <c r="F113" s="9">
        <f>IF(A113="","",IF(E113=FALSE,"比べると合わない",IF(D113&lt;&gt;0,"中身はずれている。比べると同じ","ずれなし")))</f>
        <v/>
      </c>
      <c r="G113" s="9">
        <f>IF(A113="","",TEXT(B113,"0.00000000000000"))</f>
        <v/>
      </c>
    </row>
    <row r="114">
      <c r="A114" s="6" t="n">
        <v>0.2</v>
      </c>
      <c r="B114" s="7">
        <f>IF(A114="","",N(B113)+A114)</f>
        <v/>
      </c>
      <c r="C114" s="7">
        <f>IF(A114="","",ROUND(N(C113)+A114,$H$2))</f>
        <v/>
      </c>
      <c r="D114" s="8">
        <f>IF(A114="","",(B114-C114))</f>
        <v/>
      </c>
      <c r="E114" s="9">
        <f>IF(A114="","",B114=C114)</f>
        <v/>
      </c>
      <c r="F114" s="9">
        <f>IF(A114="","",IF(E114=FALSE,"比べると合わない",IF(D114&lt;&gt;0,"中身はずれている。比べると同じ","ずれなし")))</f>
        <v/>
      </c>
      <c r="G114" s="9">
        <f>IF(A114="","",TEXT(B114,"0.00000000000000"))</f>
        <v/>
      </c>
    </row>
    <row r="115">
      <c r="A115" s="6" t="n">
        <v>1</v>
      </c>
      <c r="B115" s="7">
        <f>IF(A115="","",N(B114)+A115)</f>
        <v/>
      </c>
      <c r="C115" s="7">
        <f>IF(A115="","",ROUND(N(C114)+A115,$H$2))</f>
        <v/>
      </c>
      <c r="D115" s="8">
        <f>IF(A115="","",(B115-C115))</f>
        <v/>
      </c>
      <c r="E115" s="9">
        <f>IF(A115="","",B115=C115)</f>
        <v/>
      </c>
      <c r="F115" s="9">
        <f>IF(A115="","",IF(E115=FALSE,"比べると合わない",IF(D115&lt;&gt;0,"中身はずれている。比べると同じ","ずれなし")))</f>
        <v/>
      </c>
      <c r="G115" s="9">
        <f>IF(A115="","",TEXT(B115,"0.00000000000000"))</f>
        <v/>
      </c>
    </row>
    <row r="116">
      <c r="A116" s="6" t="n">
        <v>2.4</v>
      </c>
      <c r="B116" s="7">
        <f>IF(A116="","",N(B115)+A116)</f>
        <v/>
      </c>
      <c r="C116" s="7">
        <f>IF(A116="","",ROUND(N(C115)+A116,$H$2))</f>
        <v/>
      </c>
      <c r="D116" s="8">
        <f>IF(A116="","",(B116-C116))</f>
        <v/>
      </c>
      <c r="E116" s="9">
        <f>IF(A116="","",B116=C116)</f>
        <v/>
      </c>
      <c r="F116" s="9">
        <f>IF(A116="","",IF(E116=FALSE,"比べると合わない",IF(D116&lt;&gt;0,"中身はずれている。比べると同じ","ずれなし")))</f>
        <v/>
      </c>
      <c r="G116" s="9">
        <f>IF(A116="","",TEXT(B116,"0.00000000000000"))</f>
        <v/>
      </c>
    </row>
    <row r="117">
      <c r="A117" s="6" t="n">
        <v>2.5</v>
      </c>
      <c r="B117" s="7">
        <f>IF(A117="","",N(B116)+A117)</f>
        <v/>
      </c>
      <c r="C117" s="7">
        <f>IF(A117="","",ROUND(N(C116)+A117,$H$2))</f>
        <v/>
      </c>
      <c r="D117" s="8">
        <f>IF(A117="","",(B117-C117))</f>
        <v/>
      </c>
      <c r="E117" s="9">
        <f>IF(A117="","",B117=C117)</f>
        <v/>
      </c>
      <c r="F117" s="9">
        <f>IF(A117="","",IF(E117=FALSE,"比べると合わない",IF(D117&lt;&gt;0,"中身はずれている。比べると同じ","ずれなし")))</f>
        <v/>
      </c>
      <c r="G117" s="9">
        <f>IF(A117="","",TEXT(B117,"0.00000000000000"))</f>
        <v/>
      </c>
    </row>
    <row r="118">
      <c r="A118" s="6" t="n">
        <v>2.5</v>
      </c>
      <c r="B118" s="7">
        <f>IF(A118="","",N(B117)+A118)</f>
        <v/>
      </c>
      <c r="C118" s="7">
        <f>IF(A118="","",ROUND(N(C117)+A118,$H$2))</f>
        <v/>
      </c>
      <c r="D118" s="8">
        <f>IF(A118="","",(B118-C118))</f>
        <v/>
      </c>
      <c r="E118" s="9">
        <f>IF(A118="","",B118=C118)</f>
        <v/>
      </c>
      <c r="F118" s="9">
        <f>IF(A118="","",IF(E118=FALSE,"比べると合わない",IF(D118&lt;&gt;0,"中身はずれている。比べると同じ","ずれなし")))</f>
        <v/>
      </c>
      <c r="G118" s="9">
        <f>IF(A118="","",TEXT(B118,"0.00000000000000"))</f>
        <v/>
      </c>
    </row>
    <row r="119">
      <c r="A119" s="6" t="n">
        <v>2.4</v>
      </c>
      <c r="B119" s="7">
        <f>IF(A119="","",N(B118)+A119)</f>
        <v/>
      </c>
      <c r="C119" s="7">
        <f>IF(A119="","",ROUND(N(C118)+A119,$H$2))</f>
        <v/>
      </c>
      <c r="D119" s="8">
        <f>IF(A119="","",(B119-C119))</f>
        <v/>
      </c>
      <c r="E119" s="9">
        <f>IF(A119="","",B119=C119)</f>
        <v/>
      </c>
      <c r="F119" s="9">
        <f>IF(A119="","",IF(E119=FALSE,"比べると合わない",IF(D119&lt;&gt;0,"中身はずれている。比べると同じ","ずれなし")))</f>
        <v/>
      </c>
      <c r="G119" s="9">
        <f>IF(A119="","",TEXT(B119,"0.00000000000000"))</f>
        <v/>
      </c>
    </row>
    <row r="120">
      <c r="A120" s="6" t="n">
        <v>0.1</v>
      </c>
      <c r="B120" s="7">
        <f>IF(A120="","",N(B119)+A120)</f>
        <v/>
      </c>
      <c r="C120" s="7">
        <f>IF(A120="","",ROUND(N(C119)+A120,$H$2))</f>
        <v/>
      </c>
      <c r="D120" s="8">
        <f>IF(A120="","",(B120-C120))</f>
        <v/>
      </c>
      <c r="E120" s="9">
        <f>IF(A120="","",B120=C120)</f>
        <v/>
      </c>
      <c r="F120" s="9">
        <f>IF(A120="","",IF(E120=FALSE,"比べると合わない",IF(D120&lt;&gt;0,"中身はずれている。比べると同じ","ずれなし")))</f>
        <v/>
      </c>
      <c r="G120" s="9">
        <f>IF(A120="","",TEXT(B120,"0.00000000000000"))</f>
        <v/>
      </c>
    </row>
    <row r="121">
      <c r="A121" s="6" t="n">
        <v>0.2</v>
      </c>
      <c r="B121" s="7">
        <f>IF(A121="","",N(B120)+A121)</f>
        <v/>
      </c>
      <c r="C121" s="7">
        <f>IF(A121="","",ROUND(N(C120)+A121,$H$2))</f>
        <v/>
      </c>
      <c r="D121" s="8">
        <f>IF(A121="","",(B121-C121))</f>
        <v/>
      </c>
      <c r="E121" s="9">
        <f>IF(A121="","",B121=C121)</f>
        <v/>
      </c>
      <c r="F121" s="9">
        <f>IF(A121="","",IF(E121=FALSE,"比べると合わない",IF(D121&lt;&gt;0,"中身はずれている。比べると同じ","ずれなし")))</f>
        <v/>
      </c>
      <c r="G121" s="9">
        <f>IF(A121="","",TEXT(B121,"0.00000000000000"))</f>
        <v/>
      </c>
    </row>
    <row r="122">
      <c r="A122" s="6" t="n">
        <v>0.9</v>
      </c>
      <c r="B122" s="7">
        <f>IF(A122="","",N(B121)+A122)</f>
        <v/>
      </c>
      <c r="C122" s="7">
        <f>IF(A122="","",ROUND(N(C121)+A122,$H$2))</f>
        <v/>
      </c>
      <c r="D122" s="8">
        <f>IF(A122="","",(B122-C122))</f>
        <v/>
      </c>
      <c r="E122" s="9">
        <f>IF(A122="","",B122=C122)</f>
        <v/>
      </c>
      <c r="F122" s="9">
        <f>IF(A122="","",IF(E122=FALSE,"比べると合わない",IF(D122&lt;&gt;0,"中身はずれている。比べると同じ","ずれなし")))</f>
        <v/>
      </c>
      <c r="G122" s="9">
        <f>IF(A122="","",TEXT(B122,"0.00000000000000"))</f>
        <v/>
      </c>
    </row>
    <row r="123">
      <c r="A123" s="6" t="n">
        <v>2.6</v>
      </c>
      <c r="B123" s="7">
        <f>IF(A123="","",N(B122)+A123)</f>
        <v/>
      </c>
      <c r="C123" s="7">
        <f>IF(A123="","",ROUND(N(C122)+A123,$H$2))</f>
        <v/>
      </c>
      <c r="D123" s="8">
        <f>IF(A123="","",(B123-C123))</f>
        <v/>
      </c>
      <c r="E123" s="9">
        <f>IF(A123="","",B123=C123)</f>
        <v/>
      </c>
      <c r="F123" s="9">
        <f>IF(A123="","",IF(E123=FALSE,"比べると合わない",IF(D123&lt;&gt;0,"中身はずれている。比べると同じ","ずれなし")))</f>
        <v/>
      </c>
      <c r="G123" s="9">
        <f>IF(A123="","",TEXT(B123,"0.00000000000000"))</f>
        <v/>
      </c>
    </row>
    <row r="124">
      <c r="A124" s="6" t="n">
        <v>1</v>
      </c>
      <c r="B124" s="7">
        <f>IF(A124="","",N(B123)+A124)</f>
        <v/>
      </c>
      <c r="C124" s="7">
        <f>IF(A124="","",ROUND(N(C123)+A124,$H$2))</f>
        <v/>
      </c>
      <c r="D124" s="8">
        <f>IF(A124="","",(B124-C124))</f>
        <v/>
      </c>
      <c r="E124" s="9">
        <f>IF(A124="","",B124=C124)</f>
        <v/>
      </c>
      <c r="F124" s="9">
        <f>IF(A124="","",IF(E124=FALSE,"比べると合わない",IF(D124&lt;&gt;0,"中身はずれている。比べると同じ","ずれなし")))</f>
        <v/>
      </c>
      <c r="G124" s="9">
        <f>IF(A124="","",TEXT(B124,"0.00000000000000"))</f>
        <v/>
      </c>
    </row>
    <row r="125">
      <c r="A125" s="6" t="n">
        <v>3</v>
      </c>
      <c r="B125" s="7">
        <f>IF(A125="","",N(B124)+A125)</f>
        <v/>
      </c>
      <c r="C125" s="7">
        <f>IF(A125="","",ROUND(N(C124)+A125,$H$2))</f>
        <v/>
      </c>
      <c r="D125" s="8">
        <f>IF(A125="","",(B125-C125))</f>
        <v/>
      </c>
      <c r="E125" s="9">
        <f>IF(A125="","",B125=C125)</f>
        <v/>
      </c>
      <c r="F125" s="9">
        <f>IF(A125="","",IF(E125=FALSE,"比べると合わない",IF(D125&lt;&gt;0,"中身はずれている。比べると同じ","ずれなし")))</f>
        <v/>
      </c>
      <c r="G125" s="9">
        <f>IF(A125="","",TEXT(B125,"0.00000000000000"))</f>
        <v/>
      </c>
    </row>
    <row r="126">
      <c r="A126" s="6" t="n">
        <v>2.8</v>
      </c>
      <c r="B126" s="7">
        <f>IF(A126="","",N(B125)+A126)</f>
        <v/>
      </c>
      <c r="C126" s="7">
        <f>IF(A126="","",ROUND(N(C125)+A126,$H$2))</f>
        <v/>
      </c>
      <c r="D126" s="8">
        <f>IF(A126="","",(B126-C126))</f>
        <v/>
      </c>
      <c r="E126" s="9">
        <f>IF(A126="","",B126=C126)</f>
        <v/>
      </c>
      <c r="F126" s="9">
        <f>IF(A126="","",IF(E126=FALSE,"比べると合わない",IF(D126&lt;&gt;0,"中身はずれている。比べると同じ","ずれなし")))</f>
        <v/>
      </c>
      <c r="G126" s="9">
        <f>IF(A126="","",TEXT(B126,"0.00000000000000"))</f>
        <v/>
      </c>
    </row>
    <row r="127">
      <c r="A127" s="6" t="n">
        <v>0.3</v>
      </c>
      <c r="B127" s="7">
        <f>IF(A127="","",N(B126)+A127)</f>
        <v/>
      </c>
      <c r="C127" s="7">
        <f>IF(A127="","",ROUND(N(C126)+A127,$H$2))</f>
        <v/>
      </c>
      <c r="D127" s="8">
        <f>IF(A127="","",(B127-C127))</f>
        <v/>
      </c>
      <c r="E127" s="9">
        <f>IF(A127="","",B127=C127)</f>
        <v/>
      </c>
      <c r="F127" s="9">
        <f>IF(A127="","",IF(E127=FALSE,"比べると合わない",IF(D127&lt;&gt;0,"中身はずれている。比べると同じ","ずれなし")))</f>
        <v/>
      </c>
      <c r="G127" s="9">
        <f>IF(A127="","",TEXT(B127,"0.00000000000000"))</f>
        <v/>
      </c>
    </row>
    <row r="128">
      <c r="A128" s="6" t="n">
        <v>0.3</v>
      </c>
      <c r="B128" s="7">
        <f>IF(A128="","",N(B127)+A128)</f>
        <v/>
      </c>
      <c r="C128" s="7">
        <f>IF(A128="","",ROUND(N(C127)+A128,$H$2))</f>
        <v/>
      </c>
      <c r="D128" s="8">
        <f>IF(A128="","",(B128-C128))</f>
        <v/>
      </c>
      <c r="E128" s="9">
        <f>IF(A128="","",B128=C128)</f>
        <v/>
      </c>
      <c r="F128" s="9">
        <f>IF(A128="","",IF(E128=FALSE,"比べると合わない",IF(D128&lt;&gt;0,"中身はずれている。比べると同じ","ずれなし")))</f>
        <v/>
      </c>
      <c r="G128" s="9">
        <f>IF(A128="","",TEXT(B128,"0.00000000000000"))</f>
        <v/>
      </c>
    </row>
    <row r="129">
      <c r="A129" s="6" t="n">
        <v>2</v>
      </c>
      <c r="B129" s="7">
        <f>IF(A129="","",N(B128)+A129)</f>
        <v/>
      </c>
      <c r="C129" s="7">
        <f>IF(A129="","",ROUND(N(C128)+A129,$H$2))</f>
        <v/>
      </c>
      <c r="D129" s="8">
        <f>IF(A129="","",(B129-C129))</f>
        <v/>
      </c>
      <c r="E129" s="9">
        <f>IF(A129="","",B129=C129)</f>
        <v/>
      </c>
      <c r="F129" s="9">
        <f>IF(A129="","",IF(E129=FALSE,"比べると合わない",IF(D129&lt;&gt;0,"中身はずれている。比べると同じ","ずれなし")))</f>
        <v/>
      </c>
      <c r="G129" s="9">
        <f>IF(A129="","",TEXT(B129,"0.00000000000000"))</f>
        <v/>
      </c>
    </row>
    <row r="130">
      <c r="A130" s="6" t="n">
        <v>1.3</v>
      </c>
      <c r="B130" s="7">
        <f>IF(A130="","",N(B129)+A130)</f>
        <v/>
      </c>
      <c r="C130" s="7">
        <f>IF(A130="","",ROUND(N(C129)+A130,$H$2))</f>
        <v/>
      </c>
      <c r="D130" s="8">
        <f>IF(A130="","",(B130-C130))</f>
        <v/>
      </c>
      <c r="E130" s="9">
        <f>IF(A130="","",B130=C130)</f>
        <v/>
      </c>
      <c r="F130" s="9">
        <f>IF(A130="","",IF(E130=FALSE,"比べると合わない",IF(D130&lt;&gt;0,"中身はずれている。比べると同じ","ずれなし")))</f>
        <v/>
      </c>
      <c r="G130" s="9">
        <f>IF(A130="","",TEXT(B130,"0.00000000000000"))</f>
        <v/>
      </c>
    </row>
    <row r="131">
      <c r="A131" s="6" t="n">
        <v>2.9</v>
      </c>
      <c r="B131" s="7">
        <f>IF(A131="","",N(B130)+A131)</f>
        <v/>
      </c>
      <c r="C131" s="7">
        <f>IF(A131="","",ROUND(N(C130)+A131,$H$2))</f>
        <v/>
      </c>
      <c r="D131" s="8">
        <f>IF(A131="","",(B131-C131))</f>
        <v/>
      </c>
      <c r="E131" s="9">
        <f>IF(A131="","",B131=C131)</f>
        <v/>
      </c>
      <c r="F131" s="9">
        <f>IF(A131="","",IF(E131=FALSE,"比べると合わない",IF(D131&lt;&gt;0,"中身はずれている。比べると同じ","ずれなし")))</f>
        <v/>
      </c>
      <c r="G131" s="9">
        <f>IF(A131="","",TEXT(B131,"0.00000000000000"))</f>
        <v/>
      </c>
    </row>
    <row r="132">
      <c r="A132" s="6" t="n">
        <v>0.1</v>
      </c>
      <c r="B132" s="7">
        <f>IF(A132="","",N(B131)+A132)</f>
        <v/>
      </c>
      <c r="C132" s="7">
        <f>IF(A132="","",ROUND(N(C131)+A132,$H$2))</f>
        <v/>
      </c>
      <c r="D132" s="8">
        <f>IF(A132="","",(B132-C132))</f>
        <v/>
      </c>
      <c r="E132" s="9">
        <f>IF(A132="","",B132=C132)</f>
        <v/>
      </c>
      <c r="F132" s="9">
        <f>IF(A132="","",IF(E132=FALSE,"比べると合わない",IF(D132&lt;&gt;0,"中身はずれている。比べると同じ","ずれなし")))</f>
        <v/>
      </c>
      <c r="G132" s="9">
        <f>IF(A132="","",TEXT(B132,"0.00000000000000"))</f>
        <v/>
      </c>
    </row>
    <row r="133">
      <c r="A133" s="6" t="n">
        <v>2.6</v>
      </c>
      <c r="B133" s="7">
        <f>IF(A133="","",N(B132)+A133)</f>
        <v/>
      </c>
      <c r="C133" s="7">
        <f>IF(A133="","",ROUND(N(C132)+A133,$H$2))</f>
        <v/>
      </c>
      <c r="D133" s="8">
        <f>IF(A133="","",(B133-C133))</f>
        <v/>
      </c>
      <c r="E133" s="9">
        <f>IF(A133="","",B133=C133)</f>
        <v/>
      </c>
      <c r="F133" s="9">
        <f>IF(A133="","",IF(E133=FALSE,"比べると合わない",IF(D133&lt;&gt;0,"中身はずれている。比べると同じ","ずれなし")))</f>
        <v/>
      </c>
      <c r="G133" s="9">
        <f>IF(A133="","",TEXT(B133,"0.00000000000000"))</f>
        <v/>
      </c>
    </row>
    <row r="134">
      <c r="A134" s="6" t="n">
        <v>1.5</v>
      </c>
      <c r="B134" s="7">
        <f>IF(A134="","",N(B133)+A134)</f>
        <v/>
      </c>
      <c r="C134" s="7">
        <f>IF(A134="","",ROUND(N(C133)+A134,$H$2))</f>
        <v/>
      </c>
      <c r="D134" s="8">
        <f>IF(A134="","",(B134-C134))</f>
        <v/>
      </c>
      <c r="E134" s="9">
        <f>IF(A134="","",B134=C134)</f>
        <v/>
      </c>
      <c r="F134" s="9">
        <f>IF(A134="","",IF(E134=FALSE,"比べると合わない",IF(D134&lt;&gt;0,"中身はずれている。比べると同じ","ずれなし")))</f>
        <v/>
      </c>
      <c r="G134" s="9">
        <f>IF(A134="","",TEXT(B134,"0.00000000000000"))</f>
        <v/>
      </c>
    </row>
    <row r="135">
      <c r="A135" s="6" t="n">
        <v>1.3</v>
      </c>
      <c r="B135" s="7">
        <f>IF(A135="","",N(B134)+A135)</f>
        <v/>
      </c>
      <c r="C135" s="7">
        <f>IF(A135="","",ROUND(N(C134)+A135,$H$2))</f>
        <v/>
      </c>
      <c r="D135" s="8">
        <f>IF(A135="","",(B135-C135))</f>
        <v/>
      </c>
      <c r="E135" s="9">
        <f>IF(A135="","",B135=C135)</f>
        <v/>
      </c>
      <c r="F135" s="9">
        <f>IF(A135="","",IF(E135=FALSE,"比べると合わない",IF(D135&lt;&gt;0,"中身はずれている。比べると同じ","ずれなし")))</f>
        <v/>
      </c>
      <c r="G135" s="9">
        <f>IF(A135="","",TEXT(B135,"0.00000000000000"))</f>
        <v/>
      </c>
    </row>
    <row r="136">
      <c r="A136" s="6" t="n">
        <v>1.6</v>
      </c>
      <c r="B136" s="7">
        <f>IF(A136="","",N(B135)+A136)</f>
        <v/>
      </c>
      <c r="C136" s="7">
        <f>IF(A136="","",ROUND(N(C135)+A136,$H$2))</f>
        <v/>
      </c>
      <c r="D136" s="8">
        <f>IF(A136="","",(B136-C136))</f>
        <v/>
      </c>
      <c r="E136" s="9">
        <f>IF(A136="","",B136=C136)</f>
        <v/>
      </c>
      <c r="F136" s="9">
        <f>IF(A136="","",IF(E136=FALSE,"比べると合わない",IF(D136&lt;&gt;0,"中身はずれている。比べると同じ","ずれなし")))</f>
        <v/>
      </c>
      <c r="G136" s="9">
        <f>IF(A136="","",TEXT(B136,"0.00000000000000"))</f>
        <v/>
      </c>
    </row>
    <row r="137">
      <c r="A137" s="6" t="n">
        <v>1.2</v>
      </c>
      <c r="B137" s="7">
        <f>IF(A137="","",N(B136)+A137)</f>
        <v/>
      </c>
      <c r="C137" s="7">
        <f>IF(A137="","",ROUND(N(C136)+A137,$H$2))</f>
        <v/>
      </c>
      <c r="D137" s="8">
        <f>IF(A137="","",(B137-C137))</f>
        <v/>
      </c>
      <c r="E137" s="9">
        <f>IF(A137="","",B137=C137)</f>
        <v/>
      </c>
      <c r="F137" s="9">
        <f>IF(A137="","",IF(E137=FALSE,"比べると合わない",IF(D137&lt;&gt;0,"中身はずれている。比べると同じ","ずれなし")))</f>
        <v/>
      </c>
      <c r="G137" s="9">
        <f>IF(A137="","",TEXT(B137,"0.00000000000000"))</f>
        <v/>
      </c>
    </row>
    <row r="138">
      <c r="A138" s="6" t="n">
        <v>1.1</v>
      </c>
      <c r="B138" s="7">
        <f>IF(A138="","",N(B137)+A138)</f>
        <v/>
      </c>
      <c r="C138" s="7">
        <f>IF(A138="","",ROUND(N(C137)+A138,$H$2))</f>
        <v/>
      </c>
      <c r="D138" s="8">
        <f>IF(A138="","",(B138-C138))</f>
        <v/>
      </c>
      <c r="E138" s="9">
        <f>IF(A138="","",B138=C138)</f>
        <v/>
      </c>
      <c r="F138" s="9">
        <f>IF(A138="","",IF(E138=FALSE,"比べると合わない",IF(D138&lt;&gt;0,"中身はずれている。比べると同じ","ずれなし")))</f>
        <v/>
      </c>
      <c r="G138" s="9">
        <f>IF(A138="","",TEXT(B138,"0.00000000000000"))</f>
        <v/>
      </c>
    </row>
    <row r="139">
      <c r="A139" s="6" t="n">
        <v>1.3</v>
      </c>
      <c r="B139" s="7">
        <f>IF(A139="","",N(B138)+A139)</f>
        <v/>
      </c>
      <c r="C139" s="7">
        <f>IF(A139="","",ROUND(N(C138)+A139,$H$2))</f>
        <v/>
      </c>
      <c r="D139" s="8">
        <f>IF(A139="","",(B139-C139))</f>
        <v/>
      </c>
      <c r="E139" s="9">
        <f>IF(A139="","",B139=C139)</f>
        <v/>
      </c>
      <c r="F139" s="9">
        <f>IF(A139="","",IF(E139=FALSE,"比べると合わない",IF(D139&lt;&gt;0,"中身はずれている。比べると同じ","ずれなし")))</f>
        <v/>
      </c>
      <c r="G139" s="9">
        <f>IF(A139="","",TEXT(B139,"0.00000000000000"))</f>
        <v/>
      </c>
    </row>
    <row r="140">
      <c r="A140" s="6" t="n">
        <v>0.4</v>
      </c>
      <c r="B140" s="7">
        <f>IF(A140="","",N(B139)+A140)</f>
        <v/>
      </c>
      <c r="C140" s="7">
        <f>IF(A140="","",ROUND(N(C139)+A140,$H$2))</f>
        <v/>
      </c>
      <c r="D140" s="8">
        <f>IF(A140="","",(B140-C140))</f>
        <v/>
      </c>
      <c r="E140" s="9">
        <f>IF(A140="","",B140=C140)</f>
        <v/>
      </c>
      <c r="F140" s="9">
        <f>IF(A140="","",IF(E140=FALSE,"比べると合わない",IF(D140&lt;&gt;0,"中身はずれている。比べると同じ","ずれなし")))</f>
        <v/>
      </c>
      <c r="G140" s="9">
        <f>IF(A140="","",TEXT(B140,"0.00000000000000"))</f>
        <v/>
      </c>
    </row>
    <row r="141">
      <c r="A141" s="6" t="n">
        <v>1.7</v>
      </c>
      <c r="B141" s="7">
        <f>IF(A141="","",N(B140)+A141)</f>
        <v/>
      </c>
      <c r="C141" s="7">
        <f>IF(A141="","",ROUND(N(C140)+A141,$H$2))</f>
        <v/>
      </c>
      <c r="D141" s="8">
        <f>IF(A141="","",(B141-C141))</f>
        <v/>
      </c>
      <c r="E141" s="9">
        <f>IF(A141="","",B141=C141)</f>
        <v/>
      </c>
      <c r="F141" s="9">
        <f>IF(A141="","",IF(E141=FALSE,"比べると合わない",IF(D141&lt;&gt;0,"中身はずれている。比べると同じ","ずれなし")))</f>
        <v/>
      </c>
      <c r="G141" s="9">
        <f>IF(A141="","",TEXT(B141,"0.00000000000000"))</f>
        <v/>
      </c>
    </row>
    <row r="142">
      <c r="A142" s="6" t="n">
        <v>2.5</v>
      </c>
      <c r="B142" s="7">
        <f>IF(A142="","",N(B141)+A142)</f>
        <v/>
      </c>
      <c r="C142" s="7">
        <f>IF(A142="","",ROUND(N(C141)+A142,$H$2))</f>
        <v/>
      </c>
      <c r="D142" s="8">
        <f>IF(A142="","",(B142-C142))</f>
        <v/>
      </c>
      <c r="E142" s="9">
        <f>IF(A142="","",B142=C142)</f>
        <v/>
      </c>
      <c r="F142" s="9">
        <f>IF(A142="","",IF(E142=FALSE,"比べると合わない",IF(D142&lt;&gt;0,"中身はずれている。比べると同じ","ずれなし")))</f>
        <v/>
      </c>
      <c r="G142" s="9">
        <f>IF(A142="","",TEXT(B142,"0.00000000000000"))</f>
        <v/>
      </c>
    </row>
    <row r="143">
      <c r="A143" s="6" t="n">
        <v>1.4</v>
      </c>
      <c r="B143" s="7">
        <f>IF(A143="","",N(B142)+A143)</f>
        <v/>
      </c>
      <c r="C143" s="7">
        <f>IF(A143="","",ROUND(N(C142)+A143,$H$2))</f>
        <v/>
      </c>
      <c r="D143" s="8">
        <f>IF(A143="","",(B143-C143))</f>
        <v/>
      </c>
      <c r="E143" s="9">
        <f>IF(A143="","",B143=C143)</f>
        <v/>
      </c>
      <c r="F143" s="9">
        <f>IF(A143="","",IF(E143=FALSE,"比べると合わない",IF(D143&lt;&gt;0,"中身はずれている。比べると同じ","ずれなし")))</f>
        <v/>
      </c>
      <c r="G143" s="9">
        <f>IF(A143="","",TEXT(B143,"0.00000000000000"))</f>
        <v/>
      </c>
    </row>
    <row r="144">
      <c r="A144" s="6" t="n">
        <v>2.9</v>
      </c>
      <c r="B144" s="7">
        <f>IF(A144="","",N(B143)+A144)</f>
        <v/>
      </c>
      <c r="C144" s="7">
        <f>IF(A144="","",ROUND(N(C143)+A144,$H$2))</f>
        <v/>
      </c>
      <c r="D144" s="8">
        <f>IF(A144="","",(B144-C144))</f>
        <v/>
      </c>
      <c r="E144" s="9">
        <f>IF(A144="","",B144=C144)</f>
        <v/>
      </c>
      <c r="F144" s="9">
        <f>IF(A144="","",IF(E144=FALSE,"比べると合わない",IF(D144&lt;&gt;0,"中身はずれている。比べると同じ","ずれなし")))</f>
        <v/>
      </c>
      <c r="G144" s="9">
        <f>IF(A144="","",TEXT(B144,"0.00000000000000"))</f>
        <v/>
      </c>
    </row>
    <row r="145">
      <c r="A145" s="6" t="n">
        <v>2.1</v>
      </c>
      <c r="B145" s="7">
        <f>IF(A145="","",N(B144)+A145)</f>
        <v/>
      </c>
      <c r="C145" s="7">
        <f>IF(A145="","",ROUND(N(C144)+A145,$H$2))</f>
        <v/>
      </c>
      <c r="D145" s="8">
        <f>IF(A145="","",(B145-C145))</f>
        <v/>
      </c>
      <c r="E145" s="9">
        <f>IF(A145="","",B145=C145)</f>
        <v/>
      </c>
      <c r="F145" s="9">
        <f>IF(A145="","",IF(E145=FALSE,"比べると合わない",IF(D145&lt;&gt;0,"中身はずれている。比べると同じ","ずれなし")))</f>
        <v/>
      </c>
      <c r="G145" s="9">
        <f>IF(A145="","",TEXT(B145,"0.00000000000000"))</f>
        <v/>
      </c>
    </row>
    <row r="146">
      <c r="A146" s="6" t="n">
        <v>1.9</v>
      </c>
      <c r="B146" s="7">
        <f>IF(A146="","",N(B145)+A146)</f>
        <v/>
      </c>
      <c r="C146" s="7">
        <f>IF(A146="","",ROUND(N(C145)+A146,$H$2))</f>
        <v/>
      </c>
      <c r="D146" s="8">
        <f>IF(A146="","",(B146-C146))</f>
        <v/>
      </c>
      <c r="E146" s="9">
        <f>IF(A146="","",B146=C146)</f>
        <v/>
      </c>
      <c r="F146" s="9">
        <f>IF(A146="","",IF(E146=FALSE,"比べると合わない",IF(D146&lt;&gt;0,"中身はずれている。比べると同じ","ずれなし")))</f>
        <v/>
      </c>
      <c r="G146" s="9">
        <f>IF(A146="","",TEXT(B146,"0.00000000000000"))</f>
        <v/>
      </c>
    </row>
    <row r="147">
      <c r="A147" s="6" t="n">
        <v>2.1</v>
      </c>
      <c r="B147" s="7">
        <f>IF(A147="","",N(B146)+A147)</f>
        <v/>
      </c>
      <c r="C147" s="7">
        <f>IF(A147="","",ROUND(N(C146)+A147,$H$2))</f>
        <v/>
      </c>
      <c r="D147" s="8">
        <f>IF(A147="","",(B147-C147))</f>
        <v/>
      </c>
      <c r="E147" s="9">
        <f>IF(A147="","",B147=C147)</f>
        <v/>
      </c>
      <c r="F147" s="9">
        <f>IF(A147="","",IF(E147=FALSE,"比べると合わない",IF(D147&lt;&gt;0,"中身はずれている。比べると同じ","ずれなし")))</f>
        <v/>
      </c>
      <c r="G147" s="9">
        <f>IF(A147="","",TEXT(B147,"0.00000000000000"))</f>
        <v/>
      </c>
    </row>
    <row r="148">
      <c r="A148" s="6" t="n">
        <v>0.6</v>
      </c>
      <c r="B148" s="7">
        <f>IF(A148="","",N(B147)+A148)</f>
        <v/>
      </c>
      <c r="C148" s="7">
        <f>IF(A148="","",ROUND(N(C147)+A148,$H$2))</f>
        <v/>
      </c>
      <c r="D148" s="8">
        <f>IF(A148="","",(B148-C148))</f>
        <v/>
      </c>
      <c r="E148" s="9">
        <f>IF(A148="","",B148=C148)</f>
        <v/>
      </c>
      <c r="F148" s="9">
        <f>IF(A148="","",IF(E148=FALSE,"比べると合わない",IF(D148&lt;&gt;0,"中身はずれている。比べると同じ","ずれなし")))</f>
        <v/>
      </c>
      <c r="G148" s="9">
        <f>IF(A148="","",TEXT(B148,"0.00000000000000"))</f>
        <v/>
      </c>
    </row>
    <row r="149">
      <c r="A149" s="6" t="n">
        <v>2.3</v>
      </c>
      <c r="B149" s="7">
        <f>IF(A149="","",N(B148)+A149)</f>
        <v/>
      </c>
      <c r="C149" s="7">
        <f>IF(A149="","",ROUND(N(C148)+A149,$H$2))</f>
        <v/>
      </c>
      <c r="D149" s="8">
        <f>IF(A149="","",(B149-C149))</f>
        <v/>
      </c>
      <c r="E149" s="9">
        <f>IF(A149="","",B149=C149)</f>
        <v/>
      </c>
      <c r="F149" s="9">
        <f>IF(A149="","",IF(E149=FALSE,"比べると合わない",IF(D149&lt;&gt;0,"中身はずれている。比べると同じ","ずれなし")))</f>
        <v/>
      </c>
      <c r="G149" s="9">
        <f>IF(A149="","",TEXT(B149,"0.00000000000000"))</f>
        <v/>
      </c>
    </row>
    <row r="150">
      <c r="A150" s="6" t="n">
        <v>2.3</v>
      </c>
      <c r="B150" s="7">
        <f>IF(A150="","",N(B149)+A150)</f>
        <v/>
      </c>
      <c r="C150" s="7">
        <f>IF(A150="","",ROUND(N(C149)+A150,$H$2))</f>
        <v/>
      </c>
      <c r="D150" s="8">
        <f>IF(A150="","",(B150-C150))</f>
        <v/>
      </c>
      <c r="E150" s="9">
        <f>IF(A150="","",B150=C150)</f>
        <v/>
      </c>
      <c r="F150" s="9">
        <f>IF(A150="","",IF(E150=FALSE,"比べると合わない",IF(D150&lt;&gt;0,"中身はずれている。比べると同じ","ずれなし")))</f>
        <v/>
      </c>
      <c r="G150" s="9">
        <f>IF(A150="","",TEXT(B150,"0.00000000000000"))</f>
        <v/>
      </c>
    </row>
    <row r="151">
      <c r="A151" s="6" t="n">
        <v>1.5</v>
      </c>
      <c r="B151" s="7">
        <f>IF(A151="","",N(B150)+A151)</f>
        <v/>
      </c>
      <c r="C151" s="7">
        <f>IF(A151="","",ROUND(N(C150)+A151,$H$2))</f>
        <v/>
      </c>
      <c r="D151" s="8">
        <f>IF(A151="","",(B151-C151))</f>
        <v/>
      </c>
      <c r="E151" s="9">
        <f>IF(A151="","",B151=C151)</f>
        <v/>
      </c>
      <c r="F151" s="9">
        <f>IF(A151="","",IF(E151=FALSE,"比べると合わない",IF(D151&lt;&gt;0,"中身はずれている。比べると同じ","ずれなし")))</f>
        <v/>
      </c>
      <c r="G151" s="9">
        <f>IF(A151="","",TEXT(B151,"0.00000000000000"))</f>
        <v/>
      </c>
    </row>
    <row r="152">
      <c r="A152" s="6" t="n">
        <v>0.9</v>
      </c>
      <c r="B152" s="7">
        <f>IF(A152="","",N(B151)+A152)</f>
        <v/>
      </c>
      <c r="C152" s="7">
        <f>IF(A152="","",ROUND(N(C151)+A152,$H$2))</f>
        <v/>
      </c>
      <c r="D152" s="8">
        <f>IF(A152="","",(B152-C152))</f>
        <v/>
      </c>
      <c r="E152" s="9">
        <f>IF(A152="","",B152=C152)</f>
        <v/>
      </c>
      <c r="F152" s="9">
        <f>IF(A152="","",IF(E152=FALSE,"比べると合わない",IF(D152&lt;&gt;0,"中身はずれている。比べると同じ","ずれなし")))</f>
        <v/>
      </c>
      <c r="G152" s="9">
        <f>IF(A152="","",TEXT(B152,"0.00000000000000"))</f>
        <v/>
      </c>
    </row>
    <row r="153">
      <c r="A153" s="6" t="n">
        <v>1.8</v>
      </c>
      <c r="B153" s="7">
        <f>IF(A153="","",N(B152)+A153)</f>
        <v/>
      </c>
      <c r="C153" s="7">
        <f>IF(A153="","",ROUND(N(C152)+A153,$H$2))</f>
        <v/>
      </c>
      <c r="D153" s="8">
        <f>IF(A153="","",(B153-C153))</f>
        <v/>
      </c>
      <c r="E153" s="9">
        <f>IF(A153="","",B153=C153)</f>
        <v/>
      </c>
      <c r="F153" s="9">
        <f>IF(A153="","",IF(E153=FALSE,"比べると合わない",IF(D153&lt;&gt;0,"中身はずれている。比べると同じ","ずれなし")))</f>
        <v/>
      </c>
      <c r="G153" s="9">
        <f>IF(A153="","",TEXT(B153,"0.00000000000000"))</f>
        <v/>
      </c>
    </row>
    <row r="154">
      <c r="A154" s="6" t="n">
        <v>2</v>
      </c>
      <c r="B154" s="7">
        <f>IF(A154="","",N(B153)+A154)</f>
        <v/>
      </c>
      <c r="C154" s="7">
        <f>IF(A154="","",ROUND(N(C153)+A154,$H$2))</f>
        <v/>
      </c>
      <c r="D154" s="8">
        <f>IF(A154="","",(B154-C154))</f>
        <v/>
      </c>
      <c r="E154" s="9">
        <f>IF(A154="","",B154=C154)</f>
        <v/>
      </c>
      <c r="F154" s="9">
        <f>IF(A154="","",IF(E154=FALSE,"比べると合わない",IF(D154&lt;&gt;0,"中身はずれている。比べると同じ","ずれなし")))</f>
        <v/>
      </c>
      <c r="G154" s="9">
        <f>IF(A154="","",TEXT(B154,"0.00000000000000"))</f>
        <v/>
      </c>
    </row>
    <row r="155">
      <c r="A155" s="6" t="n">
        <v>1.7</v>
      </c>
      <c r="B155" s="7">
        <f>IF(A155="","",N(B154)+A155)</f>
        <v/>
      </c>
      <c r="C155" s="7">
        <f>IF(A155="","",ROUND(N(C154)+A155,$H$2))</f>
        <v/>
      </c>
      <c r="D155" s="8">
        <f>IF(A155="","",(B155-C155))</f>
        <v/>
      </c>
      <c r="E155" s="9">
        <f>IF(A155="","",B155=C155)</f>
        <v/>
      </c>
      <c r="F155" s="9">
        <f>IF(A155="","",IF(E155=FALSE,"比べると合わない",IF(D155&lt;&gt;0,"中身はずれている。比べると同じ","ずれなし")))</f>
        <v/>
      </c>
      <c r="G155" s="9">
        <f>IF(A155="","",TEXT(B155,"0.00000000000000"))</f>
        <v/>
      </c>
    </row>
    <row r="156">
      <c r="A156" s="6" t="n">
        <v>1.4</v>
      </c>
      <c r="B156" s="7">
        <f>IF(A156="","",N(B155)+A156)</f>
        <v/>
      </c>
      <c r="C156" s="7">
        <f>IF(A156="","",ROUND(N(C155)+A156,$H$2))</f>
        <v/>
      </c>
      <c r="D156" s="8">
        <f>IF(A156="","",(B156-C156))</f>
        <v/>
      </c>
      <c r="E156" s="9">
        <f>IF(A156="","",B156=C156)</f>
        <v/>
      </c>
      <c r="F156" s="9">
        <f>IF(A156="","",IF(E156=FALSE,"比べると合わない",IF(D156&lt;&gt;0,"中身はずれている。比べると同じ","ずれなし")))</f>
        <v/>
      </c>
      <c r="G156" s="9">
        <f>IF(A156="","",TEXT(B156,"0.00000000000000"))</f>
        <v/>
      </c>
    </row>
    <row r="157">
      <c r="A157" s="6" t="n">
        <v>0.4</v>
      </c>
      <c r="B157" s="7">
        <f>IF(A157="","",N(B156)+A157)</f>
        <v/>
      </c>
      <c r="C157" s="7">
        <f>IF(A157="","",ROUND(N(C156)+A157,$H$2))</f>
        <v/>
      </c>
      <c r="D157" s="8">
        <f>IF(A157="","",(B157-C157))</f>
        <v/>
      </c>
      <c r="E157" s="9">
        <f>IF(A157="","",B157=C157)</f>
        <v/>
      </c>
      <c r="F157" s="9">
        <f>IF(A157="","",IF(E157=FALSE,"比べると合わない",IF(D157&lt;&gt;0,"中身はずれている。比べると同じ","ずれなし")))</f>
        <v/>
      </c>
      <c r="G157" s="9">
        <f>IF(A157="","",TEXT(B157,"0.00000000000000"))</f>
        <v/>
      </c>
    </row>
    <row r="158">
      <c r="A158" s="6" t="n">
        <v>2.7</v>
      </c>
      <c r="B158" s="7">
        <f>IF(A158="","",N(B157)+A158)</f>
        <v/>
      </c>
      <c r="C158" s="7">
        <f>IF(A158="","",ROUND(N(C157)+A158,$H$2))</f>
        <v/>
      </c>
      <c r="D158" s="8">
        <f>IF(A158="","",(B158-C158))</f>
        <v/>
      </c>
      <c r="E158" s="9">
        <f>IF(A158="","",B158=C158)</f>
        <v/>
      </c>
      <c r="F158" s="9">
        <f>IF(A158="","",IF(E158=FALSE,"比べると合わない",IF(D158&lt;&gt;0,"中身はずれている。比べると同じ","ずれなし")))</f>
        <v/>
      </c>
      <c r="G158" s="9">
        <f>IF(A158="","",TEXT(B158,"0.00000000000000"))</f>
        <v/>
      </c>
    </row>
    <row r="159">
      <c r="A159" s="6" t="n">
        <v>0.7</v>
      </c>
      <c r="B159" s="7">
        <f>IF(A159="","",N(B158)+A159)</f>
        <v/>
      </c>
      <c r="C159" s="7">
        <f>IF(A159="","",ROUND(N(C158)+A159,$H$2))</f>
        <v/>
      </c>
      <c r="D159" s="8">
        <f>IF(A159="","",(B159-C159))</f>
        <v/>
      </c>
      <c r="E159" s="9">
        <f>IF(A159="","",B159=C159)</f>
        <v/>
      </c>
      <c r="F159" s="9">
        <f>IF(A159="","",IF(E159=FALSE,"比べると合わない",IF(D159&lt;&gt;0,"中身はずれている。比べると同じ","ずれなし")))</f>
        <v/>
      </c>
      <c r="G159" s="9">
        <f>IF(A159="","",TEXT(B159,"0.00000000000000"))</f>
        <v/>
      </c>
    </row>
    <row r="160">
      <c r="A160" s="6" t="n">
        <v>1.9</v>
      </c>
      <c r="B160" s="7">
        <f>IF(A160="","",N(B159)+A160)</f>
        <v/>
      </c>
      <c r="C160" s="7">
        <f>IF(A160="","",ROUND(N(C159)+A160,$H$2))</f>
        <v/>
      </c>
      <c r="D160" s="8">
        <f>IF(A160="","",(B160-C160))</f>
        <v/>
      </c>
      <c r="E160" s="9">
        <f>IF(A160="","",B160=C160)</f>
        <v/>
      </c>
      <c r="F160" s="9">
        <f>IF(A160="","",IF(E160=FALSE,"比べると合わない",IF(D160&lt;&gt;0,"中身はずれている。比べると同じ","ずれなし")))</f>
        <v/>
      </c>
      <c r="G160" s="9">
        <f>IF(A160="","",TEXT(B160,"0.00000000000000"))</f>
        <v/>
      </c>
    </row>
    <row r="161">
      <c r="A161" s="6" t="n">
        <v>0.3</v>
      </c>
      <c r="B161" s="7">
        <f>IF(A161="","",N(B160)+A161)</f>
        <v/>
      </c>
      <c r="C161" s="7">
        <f>IF(A161="","",ROUND(N(C160)+A161,$H$2))</f>
        <v/>
      </c>
      <c r="D161" s="8">
        <f>IF(A161="","",(B161-C161))</f>
        <v/>
      </c>
      <c r="E161" s="9">
        <f>IF(A161="","",B161=C161)</f>
        <v/>
      </c>
      <c r="F161" s="9">
        <f>IF(A161="","",IF(E161=FALSE,"比べると合わない",IF(D161&lt;&gt;0,"中身はずれている。比べると同じ","ずれなし")))</f>
        <v/>
      </c>
      <c r="G161" s="9">
        <f>IF(A161="","",TEXT(B161,"0.00000000000000"))</f>
        <v/>
      </c>
    </row>
    <row r="162">
      <c r="A162" s="6" t="n">
        <v>1.7</v>
      </c>
      <c r="B162" s="7">
        <f>IF(A162="","",N(B161)+A162)</f>
        <v/>
      </c>
      <c r="C162" s="7">
        <f>IF(A162="","",ROUND(N(C161)+A162,$H$2))</f>
        <v/>
      </c>
      <c r="D162" s="8">
        <f>IF(A162="","",(B162-C162))</f>
        <v/>
      </c>
      <c r="E162" s="9">
        <f>IF(A162="","",B162=C162)</f>
        <v/>
      </c>
      <c r="F162" s="9">
        <f>IF(A162="","",IF(E162=FALSE,"比べると合わない",IF(D162&lt;&gt;0,"中身はずれている。比べると同じ","ずれなし")))</f>
        <v/>
      </c>
      <c r="G162" s="9">
        <f>IF(A162="","",TEXT(B162,"0.00000000000000"))</f>
        <v/>
      </c>
    </row>
    <row r="163">
      <c r="A163" s="6" t="n">
        <v>2.9</v>
      </c>
      <c r="B163" s="7">
        <f>IF(A163="","",N(B162)+A163)</f>
        <v/>
      </c>
      <c r="C163" s="7">
        <f>IF(A163="","",ROUND(N(C162)+A163,$H$2))</f>
        <v/>
      </c>
      <c r="D163" s="8">
        <f>IF(A163="","",(B163-C163))</f>
        <v/>
      </c>
      <c r="E163" s="9">
        <f>IF(A163="","",B163=C163)</f>
        <v/>
      </c>
      <c r="F163" s="9">
        <f>IF(A163="","",IF(E163=FALSE,"比べると合わない",IF(D163&lt;&gt;0,"中身はずれている。比べると同じ","ずれなし")))</f>
        <v/>
      </c>
      <c r="G163" s="9">
        <f>IF(A163="","",TEXT(B163,"0.00000000000000"))</f>
        <v/>
      </c>
    </row>
    <row r="164">
      <c r="A164" s="6" t="n">
        <v>2.6</v>
      </c>
      <c r="B164" s="7">
        <f>IF(A164="","",N(B163)+A164)</f>
        <v/>
      </c>
      <c r="C164" s="7">
        <f>IF(A164="","",ROUND(N(C163)+A164,$H$2))</f>
        <v/>
      </c>
      <c r="D164" s="8">
        <f>IF(A164="","",(B164-C164))</f>
        <v/>
      </c>
      <c r="E164" s="9">
        <f>IF(A164="","",B164=C164)</f>
        <v/>
      </c>
      <c r="F164" s="9">
        <f>IF(A164="","",IF(E164=FALSE,"比べると合わない",IF(D164&lt;&gt;0,"中身はずれている。比べると同じ","ずれなし")))</f>
        <v/>
      </c>
      <c r="G164" s="9">
        <f>IF(A164="","",TEXT(B164,"0.00000000000000"))</f>
        <v/>
      </c>
    </row>
    <row r="165">
      <c r="A165" s="6" t="n">
        <v>1.3</v>
      </c>
      <c r="B165" s="7">
        <f>IF(A165="","",N(B164)+A165)</f>
        <v/>
      </c>
      <c r="C165" s="7">
        <f>IF(A165="","",ROUND(N(C164)+A165,$H$2))</f>
        <v/>
      </c>
      <c r="D165" s="8">
        <f>IF(A165="","",(B165-C165))</f>
        <v/>
      </c>
      <c r="E165" s="9">
        <f>IF(A165="","",B165=C165)</f>
        <v/>
      </c>
      <c r="F165" s="9">
        <f>IF(A165="","",IF(E165=FALSE,"比べると合わない",IF(D165&lt;&gt;0,"中身はずれている。比べると同じ","ずれなし")))</f>
        <v/>
      </c>
      <c r="G165" s="9">
        <f>IF(A165="","",TEXT(B165,"0.00000000000000"))</f>
        <v/>
      </c>
    </row>
    <row r="166">
      <c r="A166" s="6" t="n">
        <v>0.7</v>
      </c>
      <c r="B166" s="7">
        <f>IF(A166="","",N(B165)+A166)</f>
        <v/>
      </c>
      <c r="C166" s="7">
        <f>IF(A166="","",ROUND(N(C165)+A166,$H$2))</f>
        <v/>
      </c>
      <c r="D166" s="8">
        <f>IF(A166="","",(B166-C166))</f>
        <v/>
      </c>
      <c r="E166" s="9">
        <f>IF(A166="","",B166=C166)</f>
        <v/>
      </c>
      <c r="F166" s="9">
        <f>IF(A166="","",IF(E166=FALSE,"比べると合わない",IF(D166&lt;&gt;0,"中身はずれている。比べると同じ","ずれなし")))</f>
        <v/>
      </c>
      <c r="G166" s="9">
        <f>IF(A166="","",TEXT(B166,"0.00000000000000"))</f>
        <v/>
      </c>
    </row>
    <row r="167">
      <c r="A167" s="6" t="n">
        <v>0.6</v>
      </c>
      <c r="B167" s="7">
        <f>IF(A167="","",N(B166)+A167)</f>
        <v/>
      </c>
      <c r="C167" s="7">
        <f>IF(A167="","",ROUND(N(C166)+A167,$H$2))</f>
        <v/>
      </c>
      <c r="D167" s="8">
        <f>IF(A167="","",(B167-C167))</f>
        <v/>
      </c>
      <c r="E167" s="9">
        <f>IF(A167="","",B167=C167)</f>
        <v/>
      </c>
      <c r="F167" s="9">
        <f>IF(A167="","",IF(E167=FALSE,"比べると合わない",IF(D167&lt;&gt;0,"中身はずれている。比べると同じ","ずれなし")))</f>
        <v/>
      </c>
      <c r="G167" s="9">
        <f>IF(A167="","",TEXT(B167,"0.00000000000000"))</f>
        <v/>
      </c>
    </row>
    <row r="168">
      <c r="A168" s="6" t="n">
        <v>0.5</v>
      </c>
      <c r="B168" s="7">
        <f>IF(A168="","",N(B167)+A168)</f>
        <v/>
      </c>
      <c r="C168" s="7">
        <f>IF(A168="","",ROUND(N(C167)+A168,$H$2))</f>
        <v/>
      </c>
      <c r="D168" s="8">
        <f>IF(A168="","",(B168-C168))</f>
        <v/>
      </c>
      <c r="E168" s="9">
        <f>IF(A168="","",B168=C168)</f>
        <v/>
      </c>
      <c r="F168" s="9">
        <f>IF(A168="","",IF(E168=FALSE,"比べると合わない",IF(D168&lt;&gt;0,"中身はずれている。比べると同じ","ずれなし")))</f>
        <v/>
      </c>
      <c r="G168" s="9">
        <f>IF(A168="","",TEXT(B168,"0.00000000000000"))</f>
        <v/>
      </c>
    </row>
    <row r="169">
      <c r="A169" s="6" t="n">
        <v>1.2</v>
      </c>
      <c r="B169" s="7">
        <f>IF(A169="","",N(B168)+A169)</f>
        <v/>
      </c>
      <c r="C169" s="7">
        <f>IF(A169="","",ROUND(N(C168)+A169,$H$2))</f>
        <v/>
      </c>
      <c r="D169" s="8">
        <f>IF(A169="","",(B169-C169))</f>
        <v/>
      </c>
      <c r="E169" s="9">
        <f>IF(A169="","",B169=C169)</f>
        <v/>
      </c>
      <c r="F169" s="9">
        <f>IF(A169="","",IF(E169=FALSE,"比べると合わない",IF(D169&lt;&gt;0,"中身はずれている。比べると同じ","ずれなし")))</f>
        <v/>
      </c>
      <c r="G169" s="9">
        <f>IF(A169="","",TEXT(B169,"0.00000000000000"))</f>
        <v/>
      </c>
    </row>
    <row r="170">
      <c r="A170" s="6" t="n">
        <v>0.3</v>
      </c>
      <c r="B170" s="7">
        <f>IF(A170="","",N(B169)+A170)</f>
        <v/>
      </c>
      <c r="C170" s="7">
        <f>IF(A170="","",ROUND(N(C169)+A170,$H$2))</f>
        <v/>
      </c>
      <c r="D170" s="8">
        <f>IF(A170="","",(B170-C170))</f>
        <v/>
      </c>
      <c r="E170" s="9">
        <f>IF(A170="","",B170=C170)</f>
        <v/>
      </c>
      <c r="F170" s="9">
        <f>IF(A170="","",IF(E170=FALSE,"比べると合わない",IF(D170&lt;&gt;0,"中身はずれている。比べると同じ","ずれなし")))</f>
        <v/>
      </c>
      <c r="G170" s="9">
        <f>IF(A170="","",TEXT(B170,"0.00000000000000"))</f>
        <v/>
      </c>
    </row>
    <row r="171">
      <c r="A171" s="6" t="n">
        <v>2.3</v>
      </c>
      <c r="B171" s="7">
        <f>IF(A171="","",N(B170)+A171)</f>
        <v/>
      </c>
      <c r="C171" s="7">
        <f>IF(A171="","",ROUND(N(C170)+A171,$H$2))</f>
        <v/>
      </c>
      <c r="D171" s="8">
        <f>IF(A171="","",(B171-C171))</f>
        <v/>
      </c>
      <c r="E171" s="9">
        <f>IF(A171="","",B171=C171)</f>
        <v/>
      </c>
      <c r="F171" s="9">
        <f>IF(A171="","",IF(E171=FALSE,"比べると合わない",IF(D171&lt;&gt;0,"中身はずれている。比べると同じ","ずれなし")))</f>
        <v/>
      </c>
      <c r="G171" s="9">
        <f>IF(A171="","",TEXT(B171,"0.00000000000000"))</f>
        <v/>
      </c>
    </row>
    <row r="172">
      <c r="A172" s="6" t="n">
        <v>2.7</v>
      </c>
      <c r="B172" s="7">
        <f>IF(A172="","",N(B171)+A172)</f>
        <v/>
      </c>
      <c r="C172" s="7">
        <f>IF(A172="","",ROUND(N(C171)+A172,$H$2))</f>
        <v/>
      </c>
      <c r="D172" s="8">
        <f>IF(A172="","",(B172-C172))</f>
        <v/>
      </c>
      <c r="E172" s="9">
        <f>IF(A172="","",B172=C172)</f>
        <v/>
      </c>
      <c r="F172" s="9">
        <f>IF(A172="","",IF(E172=FALSE,"比べると合わない",IF(D172&lt;&gt;0,"中身はずれている。比べると同じ","ずれなし")))</f>
        <v/>
      </c>
      <c r="G172" s="9">
        <f>IF(A172="","",TEXT(B172,"0.00000000000000"))</f>
        <v/>
      </c>
    </row>
    <row r="173">
      <c r="A173" s="6" t="n">
        <v>2.7</v>
      </c>
      <c r="B173" s="7">
        <f>IF(A173="","",N(B172)+A173)</f>
        <v/>
      </c>
      <c r="C173" s="7">
        <f>IF(A173="","",ROUND(N(C172)+A173,$H$2))</f>
        <v/>
      </c>
      <c r="D173" s="8">
        <f>IF(A173="","",(B173-C173))</f>
        <v/>
      </c>
      <c r="E173" s="9">
        <f>IF(A173="","",B173=C173)</f>
        <v/>
      </c>
      <c r="F173" s="9">
        <f>IF(A173="","",IF(E173=FALSE,"比べると合わない",IF(D173&lt;&gt;0,"中身はずれている。比べると同じ","ずれなし")))</f>
        <v/>
      </c>
      <c r="G173" s="9">
        <f>IF(A173="","",TEXT(B173,"0.00000000000000"))</f>
        <v/>
      </c>
    </row>
    <row r="174">
      <c r="A174" s="6" t="n">
        <v>0.1</v>
      </c>
      <c r="B174" s="7">
        <f>IF(A174="","",N(B173)+A174)</f>
        <v/>
      </c>
      <c r="C174" s="7">
        <f>IF(A174="","",ROUND(N(C173)+A174,$H$2))</f>
        <v/>
      </c>
      <c r="D174" s="8">
        <f>IF(A174="","",(B174-C174))</f>
        <v/>
      </c>
      <c r="E174" s="9">
        <f>IF(A174="","",B174=C174)</f>
        <v/>
      </c>
      <c r="F174" s="9">
        <f>IF(A174="","",IF(E174=FALSE,"比べると合わない",IF(D174&lt;&gt;0,"中身はずれている。比べると同じ","ずれなし")))</f>
        <v/>
      </c>
      <c r="G174" s="9">
        <f>IF(A174="","",TEXT(B174,"0.00000000000000"))</f>
        <v/>
      </c>
    </row>
    <row r="175">
      <c r="A175" s="6" t="n">
        <v>0.3</v>
      </c>
      <c r="B175" s="7">
        <f>IF(A175="","",N(B174)+A175)</f>
        <v/>
      </c>
      <c r="C175" s="7">
        <f>IF(A175="","",ROUND(N(C174)+A175,$H$2))</f>
        <v/>
      </c>
      <c r="D175" s="8">
        <f>IF(A175="","",(B175-C175))</f>
        <v/>
      </c>
      <c r="E175" s="9">
        <f>IF(A175="","",B175=C175)</f>
        <v/>
      </c>
      <c r="F175" s="9">
        <f>IF(A175="","",IF(E175=FALSE,"比べると合わない",IF(D175&lt;&gt;0,"中身はずれている。比べると同じ","ずれなし")))</f>
        <v/>
      </c>
      <c r="G175" s="9">
        <f>IF(A175="","",TEXT(B175,"0.00000000000000"))</f>
        <v/>
      </c>
    </row>
    <row r="176">
      <c r="A176" s="6" t="n">
        <v>1.7</v>
      </c>
      <c r="B176" s="7">
        <f>IF(A176="","",N(B175)+A176)</f>
        <v/>
      </c>
      <c r="C176" s="7">
        <f>IF(A176="","",ROUND(N(C175)+A176,$H$2))</f>
        <v/>
      </c>
      <c r="D176" s="8">
        <f>IF(A176="","",(B176-C176))</f>
        <v/>
      </c>
      <c r="E176" s="9">
        <f>IF(A176="","",B176=C176)</f>
        <v/>
      </c>
      <c r="F176" s="9">
        <f>IF(A176="","",IF(E176=FALSE,"比べると合わない",IF(D176&lt;&gt;0,"中身はずれている。比べると同じ","ずれなし")))</f>
        <v/>
      </c>
      <c r="G176" s="9">
        <f>IF(A176="","",TEXT(B176,"0.00000000000000"))</f>
        <v/>
      </c>
    </row>
    <row r="177">
      <c r="A177" s="6" t="n">
        <v>0.2</v>
      </c>
      <c r="B177" s="7">
        <f>IF(A177="","",N(B176)+A177)</f>
        <v/>
      </c>
      <c r="C177" s="7">
        <f>IF(A177="","",ROUND(N(C176)+A177,$H$2))</f>
        <v/>
      </c>
      <c r="D177" s="8">
        <f>IF(A177="","",(B177-C177))</f>
        <v/>
      </c>
      <c r="E177" s="9">
        <f>IF(A177="","",B177=C177)</f>
        <v/>
      </c>
      <c r="F177" s="9">
        <f>IF(A177="","",IF(E177=FALSE,"比べると合わない",IF(D177&lt;&gt;0,"中身はずれている。比べると同じ","ずれなし")))</f>
        <v/>
      </c>
      <c r="G177" s="9">
        <f>IF(A177="","",TEXT(B177,"0.00000000000000"))</f>
        <v/>
      </c>
    </row>
    <row r="178">
      <c r="A178" s="6" t="n">
        <v>1.7</v>
      </c>
      <c r="B178" s="7">
        <f>IF(A178="","",N(B177)+A178)</f>
        <v/>
      </c>
      <c r="C178" s="7">
        <f>IF(A178="","",ROUND(N(C177)+A178,$H$2))</f>
        <v/>
      </c>
      <c r="D178" s="8">
        <f>IF(A178="","",(B178-C178))</f>
        <v/>
      </c>
      <c r="E178" s="9">
        <f>IF(A178="","",B178=C178)</f>
        <v/>
      </c>
      <c r="F178" s="9">
        <f>IF(A178="","",IF(E178=FALSE,"比べると合わない",IF(D178&lt;&gt;0,"中身はずれている。比べると同じ","ずれなし")))</f>
        <v/>
      </c>
      <c r="G178" s="9">
        <f>IF(A178="","",TEXT(B178,"0.00000000000000"))</f>
        <v/>
      </c>
    </row>
    <row r="179">
      <c r="A179" s="6" t="n">
        <v>1.6</v>
      </c>
      <c r="B179" s="7">
        <f>IF(A179="","",N(B178)+A179)</f>
        <v/>
      </c>
      <c r="C179" s="7">
        <f>IF(A179="","",ROUND(N(C178)+A179,$H$2))</f>
        <v/>
      </c>
      <c r="D179" s="8">
        <f>IF(A179="","",(B179-C179))</f>
        <v/>
      </c>
      <c r="E179" s="9">
        <f>IF(A179="","",B179=C179)</f>
        <v/>
      </c>
      <c r="F179" s="9">
        <f>IF(A179="","",IF(E179=FALSE,"比べると合わない",IF(D179&lt;&gt;0,"中身はずれている。比べると同じ","ずれなし")))</f>
        <v/>
      </c>
      <c r="G179" s="9">
        <f>IF(A179="","",TEXT(B179,"0.00000000000000"))</f>
        <v/>
      </c>
    </row>
    <row r="180">
      <c r="A180" s="6" t="n">
        <v>3</v>
      </c>
      <c r="B180" s="7">
        <f>IF(A180="","",N(B179)+A180)</f>
        <v/>
      </c>
      <c r="C180" s="7">
        <f>IF(A180="","",ROUND(N(C179)+A180,$H$2))</f>
        <v/>
      </c>
      <c r="D180" s="8">
        <f>IF(A180="","",(B180-C180))</f>
        <v/>
      </c>
      <c r="E180" s="9">
        <f>IF(A180="","",B180=C180)</f>
        <v/>
      </c>
      <c r="F180" s="9">
        <f>IF(A180="","",IF(E180=FALSE,"比べると合わない",IF(D180&lt;&gt;0,"中身はずれている。比べると同じ","ずれなし")))</f>
        <v/>
      </c>
      <c r="G180" s="9">
        <f>IF(A180="","",TEXT(B180,"0.00000000000000"))</f>
        <v/>
      </c>
    </row>
    <row r="181">
      <c r="A181" s="6" t="n">
        <v>2.5</v>
      </c>
      <c r="B181" s="7">
        <f>IF(A181="","",N(B180)+A181)</f>
        <v/>
      </c>
      <c r="C181" s="7">
        <f>IF(A181="","",ROUND(N(C180)+A181,$H$2))</f>
        <v/>
      </c>
      <c r="D181" s="8">
        <f>IF(A181="","",(B181-C181))</f>
        <v/>
      </c>
      <c r="E181" s="9">
        <f>IF(A181="","",B181=C181)</f>
        <v/>
      </c>
      <c r="F181" s="9">
        <f>IF(A181="","",IF(E181=FALSE,"比べると合わない",IF(D181&lt;&gt;0,"中身はずれている。比べると同じ","ずれなし")))</f>
        <v/>
      </c>
      <c r="G181" s="9">
        <f>IF(A181="","",TEXT(B181,"0.00000000000000"))</f>
        <v/>
      </c>
    </row>
    <row r="182">
      <c r="A182" s="6" t="n">
        <v>1.1</v>
      </c>
      <c r="B182" s="7">
        <f>IF(A182="","",N(B181)+A182)</f>
        <v/>
      </c>
      <c r="C182" s="7">
        <f>IF(A182="","",ROUND(N(C181)+A182,$H$2))</f>
        <v/>
      </c>
      <c r="D182" s="8">
        <f>IF(A182="","",(B182-C182))</f>
        <v/>
      </c>
      <c r="E182" s="9">
        <f>IF(A182="","",B182=C182)</f>
        <v/>
      </c>
      <c r="F182" s="9">
        <f>IF(A182="","",IF(E182=FALSE,"比べると合わない",IF(D182&lt;&gt;0,"中身はずれている。比べると同じ","ずれなし")))</f>
        <v/>
      </c>
      <c r="G182" s="9">
        <f>IF(A182="","",TEXT(B182,"0.00000000000000"))</f>
        <v/>
      </c>
    </row>
    <row r="183">
      <c r="A183" s="6" t="n">
        <v>1.9</v>
      </c>
      <c r="B183" s="7">
        <f>IF(A183="","",N(B182)+A183)</f>
        <v/>
      </c>
      <c r="C183" s="7">
        <f>IF(A183="","",ROUND(N(C182)+A183,$H$2))</f>
        <v/>
      </c>
      <c r="D183" s="8">
        <f>IF(A183="","",(B183-C183))</f>
        <v/>
      </c>
      <c r="E183" s="9">
        <f>IF(A183="","",B183=C183)</f>
        <v/>
      </c>
      <c r="F183" s="9">
        <f>IF(A183="","",IF(E183=FALSE,"比べると合わない",IF(D183&lt;&gt;0,"中身はずれている。比べると同じ","ずれなし")))</f>
        <v/>
      </c>
      <c r="G183" s="9">
        <f>IF(A183="","",TEXT(B183,"0.00000000000000"))</f>
        <v/>
      </c>
    </row>
    <row r="184">
      <c r="A184" s="6" t="n">
        <v>1.2</v>
      </c>
      <c r="B184" s="7">
        <f>IF(A184="","",N(B183)+A184)</f>
        <v/>
      </c>
      <c r="C184" s="7">
        <f>IF(A184="","",ROUND(N(C183)+A184,$H$2))</f>
        <v/>
      </c>
      <c r="D184" s="8">
        <f>IF(A184="","",(B184-C184))</f>
        <v/>
      </c>
      <c r="E184" s="9">
        <f>IF(A184="","",B184=C184)</f>
        <v/>
      </c>
      <c r="F184" s="9">
        <f>IF(A184="","",IF(E184=FALSE,"比べると合わない",IF(D184&lt;&gt;0,"中身はずれている。比べると同じ","ずれなし")))</f>
        <v/>
      </c>
      <c r="G184" s="9">
        <f>IF(A184="","",TEXT(B184,"0.00000000000000"))</f>
        <v/>
      </c>
    </row>
    <row r="185">
      <c r="A185" s="6" t="n">
        <v>0.5</v>
      </c>
      <c r="B185" s="7">
        <f>IF(A185="","",N(B184)+A185)</f>
        <v/>
      </c>
      <c r="C185" s="7">
        <f>IF(A185="","",ROUND(N(C184)+A185,$H$2))</f>
        <v/>
      </c>
      <c r="D185" s="8">
        <f>IF(A185="","",(B185-C185))</f>
        <v/>
      </c>
      <c r="E185" s="9">
        <f>IF(A185="","",B185=C185)</f>
        <v/>
      </c>
      <c r="F185" s="9">
        <f>IF(A185="","",IF(E185=FALSE,"比べると合わない",IF(D185&lt;&gt;0,"中身はずれている。比べると同じ","ずれなし")))</f>
        <v/>
      </c>
      <c r="G185" s="9">
        <f>IF(A185="","",TEXT(B185,"0.00000000000000"))</f>
        <v/>
      </c>
    </row>
    <row r="186">
      <c r="A186" s="6" t="n">
        <v>0.8</v>
      </c>
      <c r="B186" s="7">
        <f>IF(A186="","",N(B185)+A186)</f>
        <v/>
      </c>
      <c r="C186" s="7">
        <f>IF(A186="","",ROUND(N(C185)+A186,$H$2))</f>
        <v/>
      </c>
      <c r="D186" s="8">
        <f>IF(A186="","",(B186-C186))</f>
        <v/>
      </c>
      <c r="E186" s="9">
        <f>IF(A186="","",B186=C186)</f>
        <v/>
      </c>
      <c r="F186" s="9">
        <f>IF(A186="","",IF(E186=FALSE,"比べると合わない",IF(D186&lt;&gt;0,"中身はずれている。比べると同じ","ずれなし")))</f>
        <v/>
      </c>
      <c r="G186" s="9">
        <f>IF(A186="","",TEXT(B186,"0.00000000000000"))</f>
        <v/>
      </c>
    </row>
    <row r="187">
      <c r="A187" s="6" t="n">
        <v>2.9</v>
      </c>
      <c r="B187" s="7">
        <f>IF(A187="","",N(B186)+A187)</f>
        <v/>
      </c>
      <c r="C187" s="7">
        <f>IF(A187="","",ROUND(N(C186)+A187,$H$2))</f>
        <v/>
      </c>
      <c r="D187" s="8">
        <f>IF(A187="","",(B187-C187))</f>
        <v/>
      </c>
      <c r="E187" s="9">
        <f>IF(A187="","",B187=C187)</f>
        <v/>
      </c>
      <c r="F187" s="9">
        <f>IF(A187="","",IF(E187=FALSE,"比べると合わない",IF(D187&lt;&gt;0,"中身はずれている。比べると同じ","ずれなし")))</f>
        <v/>
      </c>
      <c r="G187" s="9">
        <f>IF(A187="","",TEXT(B187,"0.00000000000000"))</f>
        <v/>
      </c>
    </row>
    <row r="188">
      <c r="A188" s="6" t="n">
        <v>0.2</v>
      </c>
      <c r="B188" s="7">
        <f>IF(A188="","",N(B187)+A188)</f>
        <v/>
      </c>
      <c r="C188" s="7">
        <f>IF(A188="","",ROUND(N(C187)+A188,$H$2))</f>
        <v/>
      </c>
      <c r="D188" s="8">
        <f>IF(A188="","",(B188-C188))</f>
        <v/>
      </c>
      <c r="E188" s="9">
        <f>IF(A188="","",B188=C188)</f>
        <v/>
      </c>
      <c r="F188" s="9">
        <f>IF(A188="","",IF(E188=FALSE,"比べると合わない",IF(D188&lt;&gt;0,"中身はずれている。比べると同じ","ずれなし")))</f>
        <v/>
      </c>
      <c r="G188" s="9">
        <f>IF(A188="","",TEXT(B188,"0.00000000000000"))</f>
        <v/>
      </c>
    </row>
    <row r="189">
      <c r="A189" s="6" t="n">
        <v>1.3</v>
      </c>
      <c r="B189" s="7">
        <f>IF(A189="","",N(B188)+A189)</f>
        <v/>
      </c>
      <c r="C189" s="7">
        <f>IF(A189="","",ROUND(N(C188)+A189,$H$2))</f>
        <v/>
      </c>
      <c r="D189" s="8">
        <f>IF(A189="","",(B189-C189))</f>
        <v/>
      </c>
      <c r="E189" s="9">
        <f>IF(A189="","",B189=C189)</f>
        <v/>
      </c>
      <c r="F189" s="9">
        <f>IF(A189="","",IF(E189=FALSE,"比べると合わない",IF(D189&lt;&gt;0,"中身はずれている。比べると同じ","ずれなし")))</f>
        <v/>
      </c>
      <c r="G189" s="9">
        <f>IF(A189="","",TEXT(B189,"0.00000000000000"))</f>
        <v/>
      </c>
    </row>
    <row r="190">
      <c r="A190" s="6" t="n">
        <v>0.3</v>
      </c>
      <c r="B190" s="7">
        <f>IF(A190="","",N(B189)+A190)</f>
        <v/>
      </c>
      <c r="C190" s="7">
        <f>IF(A190="","",ROUND(N(C189)+A190,$H$2))</f>
        <v/>
      </c>
      <c r="D190" s="8">
        <f>IF(A190="","",(B190-C190))</f>
        <v/>
      </c>
      <c r="E190" s="9">
        <f>IF(A190="","",B190=C190)</f>
        <v/>
      </c>
      <c r="F190" s="9">
        <f>IF(A190="","",IF(E190=FALSE,"比べると合わない",IF(D190&lt;&gt;0,"中身はずれている。比べると同じ","ずれなし")))</f>
        <v/>
      </c>
      <c r="G190" s="9">
        <f>IF(A190="","",TEXT(B190,"0.00000000000000"))</f>
        <v/>
      </c>
    </row>
    <row r="191">
      <c r="A191" s="6" t="n">
        <v>0.2</v>
      </c>
      <c r="B191" s="7">
        <f>IF(A191="","",N(B190)+A191)</f>
        <v/>
      </c>
      <c r="C191" s="7">
        <f>IF(A191="","",ROUND(N(C190)+A191,$H$2))</f>
        <v/>
      </c>
      <c r="D191" s="8">
        <f>IF(A191="","",(B191-C191))</f>
        <v/>
      </c>
      <c r="E191" s="9">
        <f>IF(A191="","",B191=C191)</f>
        <v/>
      </c>
      <c r="F191" s="9">
        <f>IF(A191="","",IF(E191=FALSE,"比べると合わない",IF(D191&lt;&gt;0,"中身はずれている。比べると同じ","ずれなし")))</f>
        <v/>
      </c>
      <c r="G191" s="9">
        <f>IF(A191="","",TEXT(B191,"0.00000000000000"))</f>
        <v/>
      </c>
    </row>
    <row r="192">
      <c r="A192" s="6" t="n">
        <v>1.6</v>
      </c>
      <c r="B192" s="7">
        <f>IF(A192="","",N(B191)+A192)</f>
        <v/>
      </c>
      <c r="C192" s="7">
        <f>IF(A192="","",ROUND(N(C191)+A192,$H$2))</f>
        <v/>
      </c>
      <c r="D192" s="8">
        <f>IF(A192="","",(B192-C192))</f>
        <v/>
      </c>
      <c r="E192" s="9">
        <f>IF(A192="","",B192=C192)</f>
        <v/>
      </c>
      <c r="F192" s="9">
        <f>IF(A192="","",IF(E192=FALSE,"比べると合わない",IF(D192&lt;&gt;0,"中身はずれている。比べると同じ","ずれなし")))</f>
        <v/>
      </c>
      <c r="G192" s="9">
        <f>IF(A192="","",TEXT(B192,"0.00000000000000"))</f>
        <v/>
      </c>
    </row>
    <row r="193">
      <c r="A193" s="6" t="n">
        <v>1.5</v>
      </c>
      <c r="B193" s="7">
        <f>IF(A193="","",N(B192)+A193)</f>
        <v/>
      </c>
      <c r="C193" s="7">
        <f>IF(A193="","",ROUND(N(C192)+A193,$H$2))</f>
        <v/>
      </c>
      <c r="D193" s="8">
        <f>IF(A193="","",(B193-C193))</f>
        <v/>
      </c>
      <c r="E193" s="9">
        <f>IF(A193="","",B193=C193)</f>
        <v/>
      </c>
      <c r="F193" s="9">
        <f>IF(A193="","",IF(E193=FALSE,"比べると合わない",IF(D193&lt;&gt;0,"中身はずれている。比べると同じ","ずれなし")))</f>
        <v/>
      </c>
      <c r="G193" s="9">
        <f>IF(A193="","",TEXT(B193,"0.00000000000000"))</f>
        <v/>
      </c>
    </row>
    <row r="194">
      <c r="A194" s="6" t="n">
        <v>2.9</v>
      </c>
      <c r="B194" s="7">
        <f>IF(A194="","",N(B193)+A194)</f>
        <v/>
      </c>
      <c r="C194" s="7">
        <f>IF(A194="","",ROUND(N(C193)+A194,$H$2))</f>
        <v/>
      </c>
      <c r="D194" s="8">
        <f>IF(A194="","",(B194-C194))</f>
        <v/>
      </c>
      <c r="E194" s="9">
        <f>IF(A194="","",B194=C194)</f>
        <v/>
      </c>
      <c r="F194" s="9">
        <f>IF(A194="","",IF(E194=FALSE,"比べると合わない",IF(D194&lt;&gt;0,"中身はずれている。比べると同じ","ずれなし")))</f>
        <v/>
      </c>
      <c r="G194" s="9">
        <f>IF(A194="","",TEXT(B194,"0.00000000000000"))</f>
        <v/>
      </c>
    </row>
    <row r="195">
      <c r="A195" s="6" t="n">
        <v>1.5</v>
      </c>
      <c r="B195" s="7">
        <f>IF(A195="","",N(B194)+A195)</f>
        <v/>
      </c>
      <c r="C195" s="7">
        <f>IF(A195="","",ROUND(N(C194)+A195,$H$2))</f>
        <v/>
      </c>
      <c r="D195" s="8">
        <f>IF(A195="","",(B195-C195))</f>
        <v/>
      </c>
      <c r="E195" s="9">
        <f>IF(A195="","",B195=C195)</f>
        <v/>
      </c>
      <c r="F195" s="9">
        <f>IF(A195="","",IF(E195=FALSE,"比べると合わない",IF(D195&lt;&gt;0,"中身はずれている。比べると同じ","ずれなし")))</f>
        <v/>
      </c>
      <c r="G195" s="9">
        <f>IF(A195="","",TEXT(B195,"0.00000000000000"))</f>
        <v/>
      </c>
    </row>
    <row r="196">
      <c r="A196" s="6" t="n">
        <v>2.7</v>
      </c>
      <c r="B196" s="7">
        <f>IF(A196="","",N(B195)+A196)</f>
        <v/>
      </c>
      <c r="C196" s="7">
        <f>IF(A196="","",ROUND(N(C195)+A196,$H$2))</f>
        <v/>
      </c>
      <c r="D196" s="8">
        <f>IF(A196="","",(B196-C196))</f>
        <v/>
      </c>
      <c r="E196" s="9">
        <f>IF(A196="","",B196=C196)</f>
        <v/>
      </c>
      <c r="F196" s="9">
        <f>IF(A196="","",IF(E196=FALSE,"比べると合わない",IF(D196&lt;&gt;0,"中身はずれている。比べると同じ","ずれなし")))</f>
        <v/>
      </c>
      <c r="G196" s="9">
        <f>IF(A196="","",TEXT(B196,"0.00000000000000"))</f>
        <v/>
      </c>
    </row>
    <row r="197">
      <c r="A197" s="6" t="n">
        <v>0.3</v>
      </c>
      <c r="B197" s="7">
        <f>IF(A197="","",N(B196)+A197)</f>
        <v/>
      </c>
      <c r="C197" s="7">
        <f>IF(A197="","",ROUND(N(C196)+A197,$H$2))</f>
        <v/>
      </c>
      <c r="D197" s="8">
        <f>IF(A197="","",(B197-C197))</f>
        <v/>
      </c>
      <c r="E197" s="9">
        <f>IF(A197="","",B197=C197)</f>
        <v/>
      </c>
      <c r="F197" s="9">
        <f>IF(A197="","",IF(E197=FALSE,"比べると合わない",IF(D197&lt;&gt;0,"中身はずれている。比べると同じ","ずれなし")))</f>
        <v/>
      </c>
      <c r="G197" s="9">
        <f>IF(A197="","",TEXT(B197,"0.00000000000000"))</f>
        <v/>
      </c>
    </row>
    <row r="198">
      <c r="A198" s="6" t="n">
        <v>1.1</v>
      </c>
      <c r="B198" s="7">
        <f>IF(A198="","",N(B197)+A198)</f>
        <v/>
      </c>
      <c r="C198" s="7">
        <f>IF(A198="","",ROUND(N(C197)+A198,$H$2))</f>
        <v/>
      </c>
      <c r="D198" s="8">
        <f>IF(A198="","",(B198-C198))</f>
        <v/>
      </c>
      <c r="E198" s="9">
        <f>IF(A198="","",B198=C198)</f>
        <v/>
      </c>
      <c r="F198" s="9">
        <f>IF(A198="","",IF(E198=FALSE,"比べると合わない",IF(D198&lt;&gt;0,"中身はずれている。比べると同じ","ずれなし")))</f>
        <v/>
      </c>
      <c r="G198" s="9">
        <f>IF(A198="","",TEXT(B198,"0.00000000000000"))</f>
        <v/>
      </c>
    </row>
    <row r="199">
      <c r="A199" s="6" t="n">
        <v>1.3</v>
      </c>
      <c r="B199" s="7">
        <f>IF(A199="","",N(B198)+A199)</f>
        <v/>
      </c>
      <c r="C199" s="7">
        <f>IF(A199="","",ROUND(N(C198)+A199,$H$2))</f>
        <v/>
      </c>
      <c r="D199" s="8">
        <f>IF(A199="","",(B199-C199))</f>
        <v/>
      </c>
      <c r="E199" s="9">
        <f>IF(A199="","",B199=C199)</f>
        <v/>
      </c>
      <c r="F199" s="9">
        <f>IF(A199="","",IF(E199=FALSE,"比べると合わない",IF(D199&lt;&gt;0,"中身はずれている。比べると同じ","ずれなし")))</f>
        <v/>
      </c>
      <c r="G199" s="9">
        <f>IF(A199="","",TEXT(B199,"0.00000000000000"))</f>
        <v/>
      </c>
    </row>
    <row r="200">
      <c r="A200" s="6" t="n">
        <v>0.2</v>
      </c>
      <c r="B200" s="7">
        <f>IF(A200="","",N(B199)+A200)</f>
        <v/>
      </c>
      <c r="C200" s="7">
        <f>IF(A200="","",ROUND(N(C199)+A200,$H$2))</f>
        <v/>
      </c>
      <c r="D200" s="8">
        <f>IF(A200="","",(B200-C200))</f>
        <v/>
      </c>
      <c r="E200" s="9">
        <f>IF(A200="","",B200=C200)</f>
        <v/>
      </c>
      <c r="F200" s="9">
        <f>IF(A200="","",IF(E200=FALSE,"比べると合わない",IF(D200&lt;&gt;0,"中身はずれている。比べると同じ","ずれなし")))</f>
        <v/>
      </c>
      <c r="G200" s="9">
        <f>IF(A200="","",TEXT(B200,"0.00000000000000"))</f>
        <v/>
      </c>
    </row>
    <row r="201">
      <c r="A201" s="6" t="n">
        <v>0.8</v>
      </c>
      <c r="B201" s="7">
        <f>IF(A201="","",N(B200)+A201)</f>
        <v/>
      </c>
      <c r="C201" s="7">
        <f>IF(A201="","",ROUND(N(C200)+A201,$H$2))</f>
        <v/>
      </c>
      <c r="D201" s="8">
        <f>IF(A201="","",(B201-C201))</f>
        <v/>
      </c>
      <c r="E201" s="9">
        <f>IF(A201="","",B201=C201)</f>
        <v/>
      </c>
      <c r="F201" s="9">
        <f>IF(A201="","",IF(E201=FALSE,"比べると合わない",IF(D201&lt;&gt;0,"中身はずれている。比べると同じ","ずれなし")))</f>
        <v/>
      </c>
      <c r="G201" s="9">
        <f>IF(A201="","",TEXT(B201,"0.00000000000000"))</f>
        <v/>
      </c>
    </row>
    <row r="202">
      <c r="A202" s="6" t="n">
        <v>2.7</v>
      </c>
      <c r="B202" s="7">
        <f>IF(A202="","",N(B201)+A202)</f>
        <v/>
      </c>
      <c r="C202" s="7">
        <f>IF(A202="","",ROUND(N(C201)+A202,$H$2))</f>
        <v/>
      </c>
      <c r="D202" s="8">
        <f>IF(A202="","",(B202-C202))</f>
        <v/>
      </c>
      <c r="E202" s="9">
        <f>IF(A202="","",B202=C202)</f>
        <v/>
      </c>
      <c r="F202" s="9">
        <f>IF(A202="","",IF(E202=FALSE,"比べると合わない",IF(D202&lt;&gt;0,"中身はずれている。比べると同じ","ずれなし")))</f>
        <v/>
      </c>
      <c r="G202" s="9">
        <f>IF(A202="","",TEXT(B202,"0.00000000000000"))</f>
        <v/>
      </c>
    </row>
    <row r="203">
      <c r="A203" s="6" t="n">
        <v>1.1</v>
      </c>
      <c r="B203" s="7">
        <f>IF(A203="","",N(B202)+A203)</f>
        <v/>
      </c>
      <c r="C203" s="7">
        <f>IF(A203="","",ROUND(N(C202)+A203,$H$2))</f>
        <v/>
      </c>
      <c r="D203" s="8">
        <f>IF(A203="","",(B203-C203))</f>
        <v/>
      </c>
      <c r="E203" s="9">
        <f>IF(A203="","",B203=C203)</f>
        <v/>
      </c>
      <c r="F203" s="9">
        <f>IF(A203="","",IF(E203=FALSE,"比べると合わない",IF(D203&lt;&gt;0,"中身はずれている。比べると同じ","ずれなし")))</f>
        <v/>
      </c>
      <c r="G203" s="9">
        <f>IF(A203="","",TEXT(B203,"0.00000000000000"))</f>
        <v/>
      </c>
    </row>
    <row r="204">
      <c r="A204" s="6" t="n">
        <v>1.4</v>
      </c>
      <c r="B204" s="7">
        <f>IF(A204="","",N(B203)+A204)</f>
        <v/>
      </c>
      <c r="C204" s="7">
        <f>IF(A204="","",ROUND(N(C203)+A204,$H$2))</f>
        <v/>
      </c>
      <c r="D204" s="8">
        <f>IF(A204="","",(B204-C204))</f>
        <v/>
      </c>
      <c r="E204" s="9">
        <f>IF(A204="","",B204=C204)</f>
        <v/>
      </c>
      <c r="F204" s="9">
        <f>IF(A204="","",IF(E204=FALSE,"比べると合わない",IF(D204&lt;&gt;0,"中身はずれている。比べると同じ","ずれなし")))</f>
        <v/>
      </c>
      <c r="G204" s="9">
        <f>IF(A204="","",TEXT(B204,"0.00000000000000"))</f>
        <v/>
      </c>
    </row>
    <row r="205">
      <c r="A205" s="6" t="n">
        <v>1.5</v>
      </c>
      <c r="B205" s="7">
        <f>IF(A205="","",N(B204)+A205)</f>
        <v/>
      </c>
      <c r="C205" s="7">
        <f>IF(A205="","",ROUND(N(C204)+A205,$H$2))</f>
        <v/>
      </c>
      <c r="D205" s="8">
        <f>IF(A205="","",(B205-C205))</f>
        <v/>
      </c>
      <c r="E205" s="9">
        <f>IF(A205="","",B205=C205)</f>
        <v/>
      </c>
      <c r="F205" s="9">
        <f>IF(A205="","",IF(E205=FALSE,"比べると合わない",IF(D205&lt;&gt;0,"中身はずれている。比べると同じ","ずれなし")))</f>
        <v/>
      </c>
      <c r="G205" s="9">
        <f>IF(A205="","",TEXT(B205,"0.00000000000000"))</f>
        <v/>
      </c>
    </row>
    <row r="206">
      <c r="A206" s="6" t="n"/>
      <c r="B206" s="7">
        <f>IF(A206="","",N(B205)+A206)</f>
        <v/>
      </c>
      <c r="C206" s="7">
        <f>IF(A206="","",ROUND(N(C205)+A206,$H$2))</f>
        <v/>
      </c>
      <c r="D206" s="8">
        <f>IF(A206="","",(B206-C206))</f>
        <v/>
      </c>
      <c r="E206" s="9">
        <f>IF(A206="","",B206=C206)</f>
        <v/>
      </c>
      <c r="F206" s="9">
        <f>IF(A206="","",IF(E206=FALSE,"比べると合わない",IF(D206&lt;&gt;0,"中身はずれている。比べると同じ","ずれなし")))</f>
        <v/>
      </c>
      <c r="G206" s="9">
        <f>IF(A206="","",TEXT(B206,"0.00000000000000"))</f>
        <v/>
      </c>
    </row>
    <row r="207">
      <c r="A207" s="6" t="n"/>
      <c r="B207" s="7">
        <f>IF(A207="","",N(B206)+A207)</f>
        <v/>
      </c>
      <c r="C207" s="7">
        <f>IF(A207="","",ROUND(N(C206)+A207,$H$2))</f>
        <v/>
      </c>
      <c r="D207" s="8">
        <f>IF(A207="","",(B207-C207))</f>
        <v/>
      </c>
      <c r="E207" s="9">
        <f>IF(A207="","",B207=C207)</f>
        <v/>
      </c>
      <c r="F207" s="9">
        <f>IF(A207="","",IF(E207=FALSE,"比べると合わない",IF(D207&lt;&gt;0,"中身はずれている。比べると同じ","ずれなし")))</f>
        <v/>
      </c>
      <c r="G207" s="9">
        <f>IF(A207="","",TEXT(B207,"0.00000000000000"))</f>
        <v/>
      </c>
    </row>
    <row r="208">
      <c r="A208" s="6" t="n"/>
      <c r="B208" s="7">
        <f>IF(A208="","",N(B207)+A208)</f>
        <v/>
      </c>
      <c r="C208" s="7">
        <f>IF(A208="","",ROUND(N(C207)+A208,$H$2))</f>
        <v/>
      </c>
      <c r="D208" s="8">
        <f>IF(A208="","",(B208-C208))</f>
        <v/>
      </c>
      <c r="E208" s="9">
        <f>IF(A208="","",B208=C208)</f>
        <v/>
      </c>
      <c r="F208" s="9">
        <f>IF(A208="","",IF(E208=FALSE,"比べると合わない",IF(D208&lt;&gt;0,"中身はずれている。比べると同じ","ずれなし")))</f>
        <v/>
      </c>
      <c r="G208" s="9">
        <f>IF(A208="","",TEXT(B208,"0.00000000000000"))</f>
        <v/>
      </c>
    </row>
    <row r="209">
      <c r="A209" s="6" t="n"/>
      <c r="B209" s="7">
        <f>IF(A209="","",N(B208)+A209)</f>
        <v/>
      </c>
      <c r="C209" s="7">
        <f>IF(A209="","",ROUND(N(C208)+A209,$H$2))</f>
        <v/>
      </c>
      <c r="D209" s="8">
        <f>IF(A209="","",(B209-C209))</f>
        <v/>
      </c>
      <c r="E209" s="9">
        <f>IF(A209="","",B209=C209)</f>
        <v/>
      </c>
      <c r="F209" s="9">
        <f>IF(A209="","",IF(E209=FALSE,"比べると合わない",IF(D209&lt;&gt;0,"中身はずれている。比べると同じ","ずれなし")))</f>
        <v/>
      </c>
      <c r="G209" s="9">
        <f>IF(A209="","",TEXT(B209,"0.00000000000000"))</f>
        <v/>
      </c>
    </row>
    <row r="210">
      <c r="A210" s="6" t="n"/>
      <c r="B210" s="7">
        <f>IF(A210="","",N(B209)+A210)</f>
        <v/>
      </c>
      <c r="C210" s="7">
        <f>IF(A210="","",ROUND(N(C209)+A210,$H$2))</f>
        <v/>
      </c>
      <c r="D210" s="8">
        <f>IF(A210="","",(B210-C210))</f>
        <v/>
      </c>
      <c r="E210" s="9">
        <f>IF(A210="","",B210=C210)</f>
        <v/>
      </c>
      <c r="F210" s="9">
        <f>IF(A210="","",IF(E210=FALSE,"比べると合わない",IF(D210&lt;&gt;0,"中身はずれている。比べると同じ","ずれなし")))</f>
        <v/>
      </c>
      <c r="G210" s="9">
        <f>IF(A210="","",TEXT(B210,"0.00000000000000"))</f>
        <v/>
      </c>
    </row>
    <row r="211">
      <c r="A211" s="6" t="n"/>
      <c r="B211" s="7">
        <f>IF(A211="","",N(B210)+A211)</f>
        <v/>
      </c>
      <c r="C211" s="7">
        <f>IF(A211="","",ROUND(N(C210)+A211,$H$2))</f>
        <v/>
      </c>
      <c r="D211" s="8">
        <f>IF(A211="","",(B211-C211))</f>
        <v/>
      </c>
      <c r="E211" s="9">
        <f>IF(A211="","",B211=C211)</f>
        <v/>
      </c>
      <c r="F211" s="9">
        <f>IF(A211="","",IF(E211=FALSE,"比べると合わない",IF(D211&lt;&gt;0,"中身はずれている。比べると同じ","ずれなし")))</f>
        <v/>
      </c>
      <c r="G211" s="9">
        <f>IF(A211="","",TEXT(B211,"0.00000000000000"))</f>
        <v/>
      </c>
    </row>
    <row r="212">
      <c r="A212" s="6" t="n"/>
      <c r="B212" s="7">
        <f>IF(A212="","",N(B211)+A212)</f>
        <v/>
      </c>
      <c r="C212" s="7">
        <f>IF(A212="","",ROUND(N(C211)+A212,$H$2))</f>
        <v/>
      </c>
      <c r="D212" s="8">
        <f>IF(A212="","",(B212-C212))</f>
        <v/>
      </c>
      <c r="E212" s="9">
        <f>IF(A212="","",B212=C212)</f>
        <v/>
      </c>
      <c r="F212" s="9">
        <f>IF(A212="","",IF(E212=FALSE,"比べると合わない",IF(D212&lt;&gt;0,"中身はずれている。比べると同じ","ずれなし")))</f>
        <v/>
      </c>
      <c r="G212" s="9">
        <f>IF(A212="","",TEXT(B212,"0.00000000000000"))</f>
        <v/>
      </c>
    </row>
    <row r="213">
      <c r="A213" s="6" t="n"/>
      <c r="B213" s="7">
        <f>IF(A213="","",N(B212)+A213)</f>
        <v/>
      </c>
      <c r="C213" s="7">
        <f>IF(A213="","",ROUND(N(C212)+A213,$H$2))</f>
        <v/>
      </c>
      <c r="D213" s="8">
        <f>IF(A213="","",(B213-C213))</f>
        <v/>
      </c>
      <c r="E213" s="9">
        <f>IF(A213="","",B213=C213)</f>
        <v/>
      </c>
      <c r="F213" s="9">
        <f>IF(A213="","",IF(E213=FALSE,"比べると合わない",IF(D213&lt;&gt;0,"中身はずれている。比べると同じ","ずれなし")))</f>
        <v/>
      </c>
      <c r="G213" s="9">
        <f>IF(A213="","",TEXT(B213,"0.00000000000000"))</f>
        <v/>
      </c>
    </row>
    <row r="214">
      <c r="A214" s="6" t="n"/>
      <c r="B214" s="7">
        <f>IF(A214="","",N(B213)+A214)</f>
        <v/>
      </c>
      <c r="C214" s="7">
        <f>IF(A214="","",ROUND(N(C213)+A214,$H$2))</f>
        <v/>
      </c>
      <c r="D214" s="8">
        <f>IF(A214="","",(B214-C214))</f>
        <v/>
      </c>
      <c r="E214" s="9">
        <f>IF(A214="","",B214=C214)</f>
        <v/>
      </c>
      <c r="F214" s="9">
        <f>IF(A214="","",IF(E214=FALSE,"比べると合わない",IF(D214&lt;&gt;0,"中身はずれている。比べると同じ","ずれなし")))</f>
        <v/>
      </c>
      <c r="G214" s="9">
        <f>IF(A214="","",TEXT(B214,"0.00000000000000"))</f>
        <v/>
      </c>
    </row>
    <row r="215">
      <c r="A215" s="6" t="n"/>
      <c r="B215" s="7">
        <f>IF(A215="","",N(B214)+A215)</f>
        <v/>
      </c>
      <c r="C215" s="7">
        <f>IF(A215="","",ROUND(N(C214)+A215,$H$2))</f>
        <v/>
      </c>
      <c r="D215" s="8">
        <f>IF(A215="","",(B215-C215))</f>
        <v/>
      </c>
      <c r="E215" s="9">
        <f>IF(A215="","",B215=C215)</f>
        <v/>
      </c>
      <c r="F215" s="9">
        <f>IF(A215="","",IF(E215=FALSE,"比べると合わない",IF(D215&lt;&gt;0,"中身はずれている。比べると同じ","ずれなし")))</f>
        <v/>
      </c>
      <c r="G215" s="9">
        <f>IF(A215="","",TEXT(B215,"0.00000000000000"))</f>
        <v/>
      </c>
    </row>
    <row r="216">
      <c r="A216" s="6" t="n"/>
      <c r="B216" s="7">
        <f>IF(A216="","",N(B215)+A216)</f>
        <v/>
      </c>
      <c r="C216" s="7">
        <f>IF(A216="","",ROUND(N(C215)+A216,$H$2))</f>
        <v/>
      </c>
      <c r="D216" s="8">
        <f>IF(A216="","",(B216-C216))</f>
        <v/>
      </c>
      <c r="E216" s="9">
        <f>IF(A216="","",B216=C216)</f>
        <v/>
      </c>
      <c r="F216" s="9">
        <f>IF(A216="","",IF(E216=FALSE,"比べると合わない",IF(D216&lt;&gt;0,"中身はずれている。比べると同じ","ずれなし")))</f>
        <v/>
      </c>
      <c r="G216" s="9">
        <f>IF(A216="","",TEXT(B216,"0.00000000000000"))</f>
        <v/>
      </c>
    </row>
    <row r="217">
      <c r="A217" s="6" t="n"/>
      <c r="B217" s="7">
        <f>IF(A217="","",N(B216)+A217)</f>
        <v/>
      </c>
      <c r="C217" s="7">
        <f>IF(A217="","",ROUND(N(C216)+A217,$H$2))</f>
        <v/>
      </c>
      <c r="D217" s="8">
        <f>IF(A217="","",(B217-C217))</f>
        <v/>
      </c>
      <c r="E217" s="9">
        <f>IF(A217="","",B217=C217)</f>
        <v/>
      </c>
      <c r="F217" s="9">
        <f>IF(A217="","",IF(E217=FALSE,"比べると合わない",IF(D217&lt;&gt;0,"中身はずれている。比べると同じ","ずれなし")))</f>
        <v/>
      </c>
      <c r="G217" s="9">
        <f>IF(A217="","",TEXT(B217,"0.00000000000000"))</f>
        <v/>
      </c>
    </row>
    <row r="218">
      <c r="A218" s="6" t="n"/>
      <c r="B218" s="7">
        <f>IF(A218="","",N(B217)+A218)</f>
        <v/>
      </c>
      <c r="C218" s="7">
        <f>IF(A218="","",ROUND(N(C217)+A218,$H$2))</f>
        <v/>
      </c>
      <c r="D218" s="8">
        <f>IF(A218="","",(B218-C218))</f>
        <v/>
      </c>
      <c r="E218" s="9">
        <f>IF(A218="","",B218=C218)</f>
        <v/>
      </c>
      <c r="F218" s="9">
        <f>IF(A218="","",IF(E218=FALSE,"比べると合わない",IF(D218&lt;&gt;0,"中身はずれている。比べると同じ","ずれなし")))</f>
        <v/>
      </c>
      <c r="G218" s="9">
        <f>IF(A218="","",TEXT(B218,"0.00000000000000"))</f>
        <v/>
      </c>
    </row>
    <row r="219">
      <c r="A219" s="6" t="n"/>
      <c r="B219" s="7">
        <f>IF(A219="","",N(B218)+A219)</f>
        <v/>
      </c>
      <c r="C219" s="7">
        <f>IF(A219="","",ROUND(N(C218)+A219,$H$2))</f>
        <v/>
      </c>
      <c r="D219" s="8">
        <f>IF(A219="","",(B219-C219))</f>
        <v/>
      </c>
      <c r="E219" s="9">
        <f>IF(A219="","",B219=C219)</f>
        <v/>
      </c>
      <c r="F219" s="9">
        <f>IF(A219="","",IF(E219=FALSE,"比べると合わない",IF(D219&lt;&gt;0,"中身はずれている。比べると同じ","ずれなし")))</f>
        <v/>
      </c>
      <c r="G219" s="9">
        <f>IF(A219="","",TEXT(B219,"0.00000000000000"))</f>
        <v/>
      </c>
    </row>
    <row r="220">
      <c r="A220" s="6" t="n"/>
      <c r="B220" s="7">
        <f>IF(A220="","",N(B219)+A220)</f>
        <v/>
      </c>
      <c r="C220" s="7">
        <f>IF(A220="","",ROUND(N(C219)+A220,$H$2))</f>
        <v/>
      </c>
      <c r="D220" s="8">
        <f>IF(A220="","",(B220-C220))</f>
        <v/>
      </c>
      <c r="E220" s="9">
        <f>IF(A220="","",B220=C220)</f>
        <v/>
      </c>
      <c r="F220" s="9">
        <f>IF(A220="","",IF(E220=FALSE,"比べると合わない",IF(D220&lt;&gt;0,"中身はずれている。比べると同じ","ずれなし")))</f>
        <v/>
      </c>
      <c r="G220" s="9">
        <f>IF(A220="","",TEXT(B220,"0.00000000000000"))</f>
        <v/>
      </c>
    </row>
    <row r="221">
      <c r="A221" s="6" t="n"/>
      <c r="B221" s="7">
        <f>IF(A221="","",N(B220)+A221)</f>
        <v/>
      </c>
      <c r="C221" s="7">
        <f>IF(A221="","",ROUND(N(C220)+A221,$H$2))</f>
        <v/>
      </c>
      <c r="D221" s="8">
        <f>IF(A221="","",(B221-C221))</f>
        <v/>
      </c>
      <c r="E221" s="9">
        <f>IF(A221="","",B221=C221)</f>
        <v/>
      </c>
      <c r="F221" s="9">
        <f>IF(A221="","",IF(E221=FALSE,"比べると合わない",IF(D221&lt;&gt;0,"中身はずれている。比べると同じ","ずれなし")))</f>
        <v/>
      </c>
      <c r="G221" s="9">
        <f>IF(A221="","",TEXT(B221,"0.00000000000000"))</f>
        <v/>
      </c>
    </row>
    <row r="222">
      <c r="A222" s="6" t="n"/>
      <c r="B222" s="7">
        <f>IF(A222="","",N(B221)+A222)</f>
        <v/>
      </c>
      <c r="C222" s="7">
        <f>IF(A222="","",ROUND(N(C221)+A222,$H$2))</f>
        <v/>
      </c>
      <c r="D222" s="8">
        <f>IF(A222="","",(B222-C222))</f>
        <v/>
      </c>
      <c r="E222" s="9">
        <f>IF(A222="","",B222=C222)</f>
        <v/>
      </c>
      <c r="F222" s="9">
        <f>IF(A222="","",IF(E222=FALSE,"比べると合わない",IF(D222&lt;&gt;0,"中身はずれている。比べると同じ","ずれなし")))</f>
        <v/>
      </c>
      <c r="G222" s="9">
        <f>IF(A222="","",TEXT(B222,"0.00000000000000"))</f>
        <v/>
      </c>
    </row>
    <row r="223">
      <c r="A223" s="6" t="n"/>
      <c r="B223" s="7">
        <f>IF(A223="","",N(B222)+A223)</f>
        <v/>
      </c>
      <c r="C223" s="7">
        <f>IF(A223="","",ROUND(N(C222)+A223,$H$2))</f>
        <v/>
      </c>
      <c r="D223" s="8">
        <f>IF(A223="","",(B223-C223))</f>
        <v/>
      </c>
      <c r="E223" s="9">
        <f>IF(A223="","",B223=C223)</f>
        <v/>
      </c>
      <c r="F223" s="9">
        <f>IF(A223="","",IF(E223=FALSE,"比べると合わない",IF(D223&lt;&gt;0,"中身はずれている。比べると同じ","ずれなし")))</f>
        <v/>
      </c>
      <c r="G223" s="9">
        <f>IF(A223="","",TEXT(B223,"0.00000000000000"))</f>
        <v/>
      </c>
    </row>
    <row r="224">
      <c r="A224" s="6" t="n"/>
      <c r="B224" s="7">
        <f>IF(A224="","",N(B223)+A224)</f>
        <v/>
      </c>
      <c r="C224" s="7">
        <f>IF(A224="","",ROUND(N(C223)+A224,$H$2))</f>
        <v/>
      </c>
      <c r="D224" s="8">
        <f>IF(A224="","",(B224-C224))</f>
        <v/>
      </c>
      <c r="E224" s="9">
        <f>IF(A224="","",B224=C224)</f>
        <v/>
      </c>
      <c r="F224" s="9">
        <f>IF(A224="","",IF(E224=FALSE,"比べると合わない",IF(D224&lt;&gt;0,"中身はずれている。比べると同じ","ずれなし")))</f>
        <v/>
      </c>
      <c r="G224" s="9">
        <f>IF(A224="","",TEXT(B224,"0.00000000000000"))</f>
        <v/>
      </c>
    </row>
    <row r="225">
      <c r="A225" s="6" t="n"/>
      <c r="B225" s="7">
        <f>IF(A225="","",N(B224)+A225)</f>
        <v/>
      </c>
      <c r="C225" s="7">
        <f>IF(A225="","",ROUND(N(C224)+A225,$H$2))</f>
        <v/>
      </c>
      <c r="D225" s="8">
        <f>IF(A225="","",(B225-C225))</f>
        <v/>
      </c>
      <c r="E225" s="9">
        <f>IF(A225="","",B225=C225)</f>
        <v/>
      </c>
      <c r="F225" s="9">
        <f>IF(A225="","",IF(E225=FALSE,"比べると合わない",IF(D225&lt;&gt;0,"中身はずれている。比べると同じ","ずれなし")))</f>
        <v/>
      </c>
      <c r="G225" s="9">
        <f>IF(A225="","",TEXT(B225,"0.00000000000000"))</f>
        <v/>
      </c>
    </row>
    <row r="226">
      <c r="A226" s="6" t="n"/>
      <c r="B226" s="7">
        <f>IF(A226="","",N(B225)+A226)</f>
        <v/>
      </c>
      <c r="C226" s="7">
        <f>IF(A226="","",ROUND(N(C225)+A226,$H$2))</f>
        <v/>
      </c>
      <c r="D226" s="8">
        <f>IF(A226="","",(B226-C226))</f>
        <v/>
      </c>
      <c r="E226" s="9">
        <f>IF(A226="","",B226=C226)</f>
        <v/>
      </c>
      <c r="F226" s="9">
        <f>IF(A226="","",IF(E226=FALSE,"比べると合わない",IF(D226&lt;&gt;0,"中身はずれている。比べると同じ","ずれなし")))</f>
        <v/>
      </c>
      <c r="G226" s="9">
        <f>IF(A226="","",TEXT(B226,"0.00000000000000"))</f>
        <v/>
      </c>
    </row>
    <row r="227">
      <c r="A227" s="6" t="n"/>
      <c r="B227" s="7">
        <f>IF(A227="","",N(B226)+A227)</f>
        <v/>
      </c>
      <c r="C227" s="7">
        <f>IF(A227="","",ROUND(N(C226)+A227,$H$2))</f>
        <v/>
      </c>
      <c r="D227" s="8">
        <f>IF(A227="","",(B227-C227))</f>
        <v/>
      </c>
      <c r="E227" s="9">
        <f>IF(A227="","",B227=C227)</f>
        <v/>
      </c>
      <c r="F227" s="9">
        <f>IF(A227="","",IF(E227=FALSE,"比べると合わない",IF(D227&lt;&gt;0,"中身はずれている。比べると同じ","ずれなし")))</f>
        <v/>
      </c>
      <c r="G227" s="9">
        <f>IF(A227="","",TEXT(B227,"0.00000000000000"))</f>
        <v/>
      </c>
    </row>
    <row r="228">
      <c r="A228" s="6" t="n"/>
      <c r="B228" s="7">
        <f>IF(A228="","",N(B227)+A228)</f>
        <v/>
      </c>
      <c r="C228" s="7">
        <f>IF(A228="","",ROUND(N(C227)+A228,$H$2))</f>
        <v/>
      </c>
      <c r="D228" s="8">
        <f>IF(A228="","",(B228-C228))</f>
        <v/>
      </c>
      <c r="E228" s="9">
        <f>IF(A228="","",B228=C228)</f>
        <v/>
      </c>
      <c r="F228" s="9">
        <f>IF(A228="","",IF(E228=FALSE,"比べると合わない",IF(D228&lt;&gt;0,"中身はずれている。比べると同じ","ずれなし")))</f>
        <v/>
      </c>
      <c r="G228" s="9">
        <f>IF(A228="","",TEXT(B228,"0.00000000000000"))</f>
        <v/>
      </c>
    </row>
    <row r="229">
      <c r="A229" s="6" t="n"/>
      <c r="B229" s="7">
        <f>IF(A229="","",N(B228)+A229)</f>
        <v/>
      </c>
      <c r="C229" s="7">
        <f>IF(A229="","",ROUND(N(C228)+A229,$H$2))</f>
        <v/>
      </c>
      <c r="D229" s="8">
        <f>IF(A229="","",(B229-C229))</f>
        <v/>
      </c>
      <c r="E229" s="9">
        <f>IF(A229="","",B229=C229)</f>
        <v/>
      </c>
      <c r="F229" s="9">
        <f>IF(A229="","",IF(E229=FALSE,"比べると合わない",IF(D229&lt;&gt;0,"中身はずれている。比べると同じ","ずれなし")))</f>
        <v/>
      </c>
      <c r="G229" s="9">
        <f>IF(A229="","",TEXT(B229,"0.00000000000000"))</f>
        <v/>
      </c>
    </row>
    <row r="230">
      <c r="A230" s="6" t="n"/>
      <c r="B230" s="7">
        <f>IF(A230="","",N(B229)+A230)</f>
        <v/>
      </c>
      <c r="C230" s="7">
        <f>IF(A230="","",ROUND(N(C229)+A230,$H$2))</f>
        <v/>
      </c>
      <c r="D230" s="8">
        <f>IF(A230="","",(B230-C230))</f>
        <v/>
      </c>
      <c r="E230" s="9">
        <f>IF(A230="","",B230=C230)</f>
        <v/>
      </c>
      <c r="F230" s="9">
        <f>IF(A230="","",IF(E230=FALSE,"比べると合わない",IF(D230&lt;&gt;0,"中身はずれている。比べると同じ","ずれなし")))</f>
        <v/>
      </c>
      <c r="G230" s="9">
        <f>IF(A230="","",TEXT(B230,"0.00000000000000"))</f>
        <v/>
      </c>
    </row>
    <row r="231">
      <c r="A231" s="6" t="n"/>
      <c r="B231" s="7">
        <f>IF(A231="","",N(B230)+A231)</f>
        <v/>
      </c>
      <c r="C231" s="7">
        <f>IF(A231="","",ROUND(N(C230)+A231,$H$2))</f>
        <v/>
      </c>
      <c r="D231" s="8">
        <f>IF(A231="","",(B231-C231))</f>
        <v/>
      </c>
      <c r="E231" s="9">
        <f>IF(A231="","",B231=C231)</f>
        <v/>
      </c>
      <c r="F231" s="9">
        <f>IF(A231="","",IF(E231=FALSE,"比べると合わない",IF(D231&lt;&gt;0,"中身はずれている。比べると同じ","ずれなし")))</f>
        <v/>
      </c>
      <c r="G231" s="9">
        <f>IF(A231="","",TEXT(B231,"0.00000000000000"))</f>
        <v/>
      </c>
    </row>
    <row r="232">
      <c r="A232" s="6" t="n"/>
      <c r="B232" s="7">
        <f>IF(A232="","",N(B231)+A232)</f>
        <v/>
      </c>
      <c r="C232" s="7">
        <f>IF(A232="","",ROUND(N(C231)+A232,$H$2))</f>
        <v/>
      </c>
      <c r="D232" s="8">
        <f>IF(A232="","",(B232-C232))</f>
        <v/>
      </c>
      <c r="E232" s="9">
        <f>IF(A232="","",B232=C232)</f>
        <v/>
      </c>
      <c r="F232" s="9">
        <f>IF(A232="","",IF(E232=FALSE,"比べると合わない",IF(D232&lt;&gt;0,"中身はずれている。比べると同じ","ずれなし")))</f>
        <v/>
      </c>
      <c r="G232" s="9">
        <f>IF(A232="","",TEXT(B232,"0.00000000000000"))</f>
        <v/>
      </c>
    </row>
    <row r="233">
      <c r="A233" s="6" t="n"/>
      <c r="B233" s="7">
        <f>IF(A233="","",N(B232)+A233)</f>
        <v/>
      </c>
      <c r="C233" s="7">
        <f>IF(A233="","",ROUND(N(C232)+A233,$H$2))</f>
        <v/>
      </c>
      <c r="D233" s="8">
        <f>IF(A233="","",(B233-C233))</f>
        <v/>
      </c>
      <c r="E233" s="9">
        <f>IF(A233="","",B233=C233)</f>
        <v/>
      </c>
      <c r="F233" s="9">
        <f>IF(A233="","",IF(E233=FALSE,"比べると合わない",IF(D233&lt;&gt;0,"中身はずれている。比べると同じ","ずれなし")))</f>
        <v/>
      </c>
      <c r="G233" s="9">
        <f>IF(A233="","",TEXT(B233,"0.00000000000000"))</f>
        <v/>
      </c>
    </row>
    <row r="234">
      <c r="A234" s="6" t="n"/>
      <c r="B234" s="7">
        <f>IF(A234="","",N(B233)+A234)</f>
        <v/>
      </c>
      <c r="C234" s="7">
        <f>IF(A234="","",ROUND(N(C233)+A234,$H$2))</f>
        <v/>
      </c>
      <c r="D234" s="8">
        <f>IF(A234="","",(B234-C234))</f>
        <v/>
      </c>
      <c r="E234" s="9">
        <f>IF(A234="","",B234=C234)</f>
        <v/>
      </c>
      <c r="F234" s="9">
        <f>IF(A234="","",IF(E234=FALSE,"比べると合わない",IF(D234&lt;&gt;0,"中身はずれている。比べると同じ","ずれなし")))</f>
        <v/>
      </c>
      <c r="G234" s="9">
        <f>IF(A234="","",TEXT(B234,"0.00000000000000"))</f>
        <v/>
      </c>
    </row>
    <row r="235">
      <c r="A235" s="6" t="n"/>
      <c r="B235" s="7">
        <f>IF(A235="","",N(B234)+A235)</f>
        <v/>
      </c>
      <c r="C235" s="7">
        <f>IF(A235="","",ROUND(N(C234)+A235,$H$2))</f>
        <v/>
      </c>
      <c r="D235" s="8">
        <f>IF(A235="","",(B235-C235))</f>
        <v/>
      </c>
      <c r="E235" s="9">
        <f>IF(A235="","",B235=C235)</f>
        <v/>
      </c>
      <c r="F235" s="9">
        <f>IF(A235="","",IF(E235=FALSE,"比べると合わない",IF(D235&lt;&gt;0,"中身はずれている。比べると同じ","ずれなし")))</f>
        <v/>
      </c>
      <c r="G235" s="9">
        <f>IF(A235="","",TEXT(B235,"0.00000000000000"))</f>
        <v/>
      </c>
    </row>
    <row r="236">
      <c r="A236" s="6" t="n"/>
      <c r="B236" s="7">
        <f>IF(A236="","",N(B235)+A236)</f>
        <v/>
      </c>
      <c r="C236" s="7">
        <f>IF(A236="","",ROUND(N(C235)+A236,$H$2))</f>
        <v/>
      </c>
      <c r="D236" s="8">
        <f>IF(A236="","",(B236-C236))</f>
        <v/>
      </c>
      <c r="E236" s="9">
        <f>IF(A236="","",B236=C236)</f>
        <v/>
      </c>
      <c r="F236" s="9">
        <f>IF(A236="","",IF(E236=FALSE,"比べると合わない",IF(D236&lt;&gt;0,"中身はずれている。比べると同じ","ずれなし")))</f>
        <v/>
      </c>
      <c r="G236" s="9">
        <f>IF(A236="","",TEXT(B236,"0.00000000000000"))</f>
        <v/>
      </c>
    </row>
    <row r="237">
      <c r="A237" s="6" t="n"/>
      <c r="B237" s="7">
        <f>IF(A237="","",N(B236)+A237)</f>
        <v/>
      </c>
      <c r="C237" s="7">
        <f>IF(A237="","",ROUND(N(C236)+A237,$H$2))</f>
        <v/>
      </c>
      <c r="D237" s="8">
        <f>IF(A237="","",(B237-C237))</f>
        <v/>
      </c>
      <c r="E237" s="9">
        <f>IF(A237="","",B237=C237)</f>
        <v/>
      </c>
      <c r="F237" s="9">
        <f>IF(A237="","",IF(E237=FALSE,"比べると合わない",IF(D237&lt;&gt;0,"中身はずれている。比べると同じ","ずれなし")))</f>
        <v/>
      </c>
      <c r="G237" s="9">
        <f>IF(A237="","",TEXT(B237,"0.00000000000000"))</f>
        <v/>
      </c>
    </row>
    <row r="238">
      <c r="A238" s="6" t="n"/>
      <c r="B238" s="7">
        <f>IF(A238="","",N(B237)+A238)</f>
        <v/>
      </c>
      <c r="C238" s="7">
        <f>IF(A238="","",ROUND(N(C237)+A238,$H$2))</f>
        <v/>
      </c>
      <c r="D238" s="8">
        <f>IF(A238="","",(B238-C238))</f>
        <v/>
      </c>
      <c r="E238" s="9">
        <f>IF(A238="","",B238=C238)</f>
        <v/>
      </c>
      <c r="F238" s="9">
        <f>IF(A238="","",IF(E238=FALSE,"比べると合わない",IF(D238&lt;&gt;0,"中身はずれている。比べると同じ","ずれなし")))</f>
        <v/>
      </c>
      <c r="G238" s="9">
        <f>IF(A238="","",TEXT(B238,"0.00000000000000"))</f>
        <v/>
      </c>
    </row>
    <row r="239">
      <c r="A239" s="6" t="n"/>
      <c r="B239" s="7">
        <f>IF(A239="","",N(B238)+A239)</f>
        <v/>
      </c>
      <c r="C239" s="7">
        <f>IF(A239="","",ROUND(N(C238)+A239,$H$2))</f>
        <v/>
      </c>
      <c r="D239" s="8">
        <f>IF(A239="","",(B239-C239))</f>
        <v/>
      </c>
      <c r="E239" s="9">
        <f>IF(A239="","",B239=C239)</f>
        <v/>
      </c>
      <c r="F239" s="9">
        <f>IF(A239="","",IF(E239=FALSE,"比べると合わない",IF(D239&lt;&gt;0,"中身はずれている。比べると同じ","ずれなし")))</f>
        <v/>
      </c>
      <c r="G239" s="9">
        <f>IF(A239="","",TEXT(B239,"0.00000000000000"))</f>
        <v/>
      </c>
    </row>
    <row r="240">
      <c r="A240" s="6" t="n"/>
      <c r="B240" s="7">
        <f>IF(A240="","",N(B239)+A240)</f>
        <v/>
      </c>
      <c r="C240" s="7">
        <f>IF(A240="","",ROUND(N(C239)+A240,$H$2))</f>
        <v/>
      </c>
      <c r="D240" s="8">
        <f>IF(A240="","",(B240-C240))</f>
        <v/>
      </c>
      <c r="E240" s="9">
        <f>IF(A240="","",B240=C240)</f>
        <v/>
      </c>
      <c r="F240" s="9">
        <f>IF(A240="","",IF(E240=FALSE,"比べると合わない",IF(D240&lt;&gt;0,"中身はずれている。比べると同じ","ずれなし")))</f>
        <v/>
      </c>
      <c r="G240" s="9">
        <f>IF(A240="","",TEXT(B240,"0.00000000000000"))</f>
        <v/>
      </c>
    </row>
    <row r="241">
      <c r="A241" s="6" t="n"/>
      <c r="B241" s="7">
        <f>IF(A241="","",N(B240)+A241)</f>
        <v/>
      </c>
      <c r="C241" s="7">
        <f>IF(A241="","",ROUND(N(C240)+A241,$H$2))</f>
        <v/>
      </c>
      <c r="D241" s="8">
        <f>IF(A241="","",(B241-C241))</f>
        <v/>
      </c>
      <c r="E241" s="9">
        <f>IF(A241="","",B241=C241)</f>
        <v/>
      </c>
      <c r="F241" s="9">
        <f>IF(A241="","",IF(E241=FALSE,"比べると合わない",IF(D241&lt;&gt;0,"中身はずれている。比べると同じ","ずれなし")))</f>
        <v/>
      </c>
      <c r="G241" s="9">
        <f>IF(A241="","",TEXT(B241,"0.00000000000000"))</f>
        <v/>
      </c>
    </row>
    <row r="242">
      <c r="A242" s="6" t="n"/>
      <c r="B242" s="7">
        <f>IF(A242="","",N(B241)+A242)</f>
        <v/>
      </c>
      <c r="C242" s="7">
        <f>IF(A242="","",ROUND(N(C241)+A242,$H$2))</f>
        <v/>
      </c>
      <c r="D242" s="8">
        <f>IF(A242="","",(B242-C242))</f>
        <v/>
      </c>
      <c r="E242" s="9">
        <f>IF(A242="","",B242=C242)</f>
        <v/>
      </c>
      <c r="F242" s="9">
        <f>IF(A242="","",IF(E242=FALSE,"比べると合わない",IF(D242&lt;&gt;0,"中身はずれている。比べると同じ","ずれなし")))</f>
        <v/>
      </c>
      <c r="G242" s="9">
        <f>IF(A242="","",TEXT(B242,"0.00000000000000"))</f>
        <v/>
      </c>
    </row>
    <row r="243">
      <c r="A243" s="6" t="n"/>
      <c r="B243" s="7">
        <f>IF(A243="","",N(B242)+A243)</f>
        <v/>
      </c>
      <c r="C243" s="7">
        <f>IF(A243="","",ROUND(N(C242)+A243,$H$2))</f>
        <v/>
      </c>
      <c r="D243" s="8">
        <f>IF(A243="","",(B243-C243))</f>
        <v/>
      </c>
      <c r="E243" s="9">
        <f>IF(A243="","",B243=C243)</f>
        <v/>
      </c>
      <c r="F243" s="9">
        <f>IF(A243="","",IF(E243=FALSE,"比べると合わない",IF(D243&lt;&gt;0,"中身はずれている。比べると同じ","ずれなし")))</f>
        <v/>
      </c>
      <c r="G243" s="9">
        <f>IF(A243="","",TEXT(B243,"0.00000000000000"))</f>
        <v/>
      </c>
    </row>
    <row r="244">
      <c r="A244" s="6" t="n"/>
      <c r="B244" s="7">
        <f>IF(A244="","",N(B243)+A244)</f>
        <v/>
      </c>
      <c r="C244" s="7">
        <f>IF(A244="","",ROUND(N(C243)+A244,$H$2))</f>
        <v/>
      </c>
      <c r="D244" s="8">
        <f>IF(A244="","",(B244-C244))</f>
        <v/>
      </c>
      <c r="E244" s="9">
        <f>IF(A244="","",B244=C244)</f>
        <v/>
      </c>
      <c r="F244" s="9">
        <f>IF(A244="","",IF(E244=FALSE,"比べると合わない",IF(D244&lt;&gt;0,"中身はずれている。比べると同じ","ずれなし")))</f>
        <v/>
      </c>
      <c r="G244" s="9">
        <f>IF(A244="","",TEXT(B244,"0.00000000000000"))</f>
        <v/>
      </c>
    </row>
    <row r="245">
      <c r="A245" s="6" t="n"/>
      <c r="B245" s="7">
        <f>IF(A245="","",N(B244)+A245)</f>
        <v/>
      </c>
      <c r="C245" s="7">
        <f>IF(A245="","",ROUND(N(C244)+A245,$H$2))</f>
        <v/>
      </c>
      <c r="D245" s="8">
        <f>IF(A245="","",(B245-C245))</f>
        <v/>
      </c>
      <c r="E245" s="9">
        <f>IF(A245="","",B245=C245)</f>
        <v/>
      </c>
      <c r="F245" s="9">
        <f>IF(A245="","",IF(E245=FALSE,"比べると合わない",IF(D245&lt;&gt;0,"中身はずれている。比べると同じ","ずれなし")))</f>
        <v/>
      </c>
      <c r="G245" s="9">
        <f>IF(A245="","",TEXT(B245,"0.00000000000000"))</f>
        <v/>
      </c>
    </row>
    <row r="246">
      <c r="A246" s="6" t="n"/>
      <c r="B246" s="7">
        <f>IF(A246="","",N(B245)+A246)</f>
        <v/>
      </c>
      <c r="C246" s="7">
        <f>IF(A246="","",ROUND(N(C245)+A246,$H$2))</f>
        <v/>
      </c>
      <c r="D246" s="8">
        <f>IF(A246="","",(B246-C246))</f>
        <v/>
      </c>
      <c r="E246" s="9">
        <f>IF(A246="","",B246=C246)</f>
        <v/>
      </c>
      <c r="F246" s="9">
        <f>IF(A246="","",IF(E246=FALSE,"比べると合わない",IF(D246&lt;&gt;0,"中身はずれている。比べると同じ","ずれなし")))</f>
        <v/>
      </c>
      <c r="G246" s="9">
        <f>IF(A246="","",TEXT(B246,"0.00000000000000"))</f>
        <v/>
      </c>
    </row>
    <row r="247">
      <c r="A247" s="6" t="n"/>
      <c r="B247" s="7">
        <f>IF(A247="","",N(B246)+A247)</f>
        <v/>
      </c>
      <c r="C247" s="7">
        <f>IF(A247="","",ROUND(N(C246)+A247,$H$2))</f>
        <v/>
      </c>
      <c r="D247" s="8">
        <f>IF(A247="","",(B247-C247))</f>
        <v/>
      </c>
      <c r="E247" s="9">
        <f>IF(A247="","",B247=C247)</f>
        <v/>
      </c>
      <c r="F247" s="9">
        <f>IF(A247="","",IF(E247=FALSE,"比べると合わない",IF(D247&lt;&gt;0,"中身はずれている。比べると同じ","ずれなし")))</f>
        <v/>
      </c>
      <c r="G247" s="9">
        <f>IF(A247="","",TEXT(B247,"0.00000000000000"))</f>
        <v/>
      </c>
    </row>
    <row r="248">
      <c r="A248" s="6" t="n"/>
      <c r="B248" s="7">
        <f>IF(A248="","",N(B247)+A248)</f>
        <v/>
      </c>
      <c r="C248" s="7">
        <f>IF(A248="","",ROUND(N(C247)+A248,$H$2))</f>
        <v/>
      </c>
      <c r="D248" s="8">
        <f>IF(A248="","",(B248-C248))</f>
        <v/>
      </c>
      <c r="E248" s="9">
        <f>IF(A248="","",B248=C248)</f>
        <v/>
      </c>
      <c r="F248" s="9">
        <f>IF(A248="","",IF(E248=FALSE,"比べると合わない",IF(D248&lt;&gt;0,"中身はずれている。比べると同じ","ずれなし")))</f>
        <v/>
      </c>
      <c r="G248" s="9">
        <f>IF(A248="","",TEXT(B248,"0.00000000000000"))</f>
        <v/>
      </c>
    </row>
    <row r="249">
      <c r="A249" s="6" t="n"/>
      <c r="B249" s="7">
        <f>IF(A249="","",N(B248)+A249)</f>
        <v/>
      </c>
      <c r="C249" s="7">
        <f>IF(A249="","",ROUND(N(C248)+A249,$H$2))</f>
        <v/>
      </c>
      <c r="D249" s="8">
        <f>IF(A249="","",(B249-C249))</f>
        <v/>
      </c>
      <c r="E249" s="9">
        <f>IF(A249="","",B249=C249)</f>
        <v/>
      </c>
      <c r="F249" s="9">
        <f>IF(A249="","",IF(E249=FALSE,"比べると合わない",IF(D249&lt;&gt;0,"中身はずれている。比べると同じ","ずれなし")))</f>
        <v/>
      </c>
      <c r="G249" s="9">
        <f>IF(A249="","",TEXT(B249,"0.00000000000000"))</f>
        <v/>
      </c>
    </row>
    <row r="250">
      <c r="A250" s="6" t="n"/>
      <c r="B250" s="7">
        <f>IF(A250="","",N(B249)+A250)</f>
        <v/>
      </c>
      <c r="C250" s="7">
        <f>IF(A250="","",ROUND(N(C249)+A250,$H$2))</f>
        <v/>
      </c>
      <c r="D250" s="8">
        <f>IF(A250="","",(B250-C250))</f>
        <v/>
      </c>
      <c r="E250" s="9">
        <f>IF(A250="","",B250=C250)</f>
        <v/>
      </c>
      <c r="F250" s="9">
        <f>IF(A250="","",IF(E250=FALSE,"比べると合わない",IF(D250&lt;&gt;0,"中身はずれている。比べると同じ","ずれなし")))</f>
        <v/>
      </c>
      <c r="G250" s="9">
        <f>IF(A250="","",TEXT(B250,"0.00000000000000"))</f>
        <v/>
      </c>
    </row>
    <row r="251">
      <c r="A251" s="6" t="n"/>
      <c r="B251" s="7">
        <f>IF(A251="","",N(B250)+A251)</f>
        <v/>
      </c>
      <c r="C251" s="7">
        <f>IF(A251="","",ROUND(N(C250)+A251,$H$2))</f>
        <v/>
      </c>
      <c r="D251" s="8">
        <f>IF(A251="","",(B251-C251))</f>
        <v/>
      </c>
      <c r="E251" s="9">
        <f>IF(A251="","",B251=C251)</f>
        <v/>
      </c>
      <c r="F251" s="9">
        <f>IF(A251="","",IF(E251=FALSE,"比べると合わない",IF(D251&lt;&gt;0,"中身はずれている。比べると同じ","ずれなし")))</f>
        <v/>
      </c>
      <c r="G251" s="9">
        <f>IF(A251="","",TEXT(B251,"0.00000000000000"))</f>
        <v/>
      </c>
    </row>
    <row r="252">
      <c r="A252" s="6" t="n"/>
      <c r="B252" s="7">
        <f>IF(A252="","",N(B251)+A252)</f>
        <v/>
      </c>
      <c r="C252" s="7">
        <f>IF(A252="","",ROUND(N(C251)+A252,$H$2))</f>
        <v/>
      </c>
      <c r="D252" s="8">
        <f>IF(A252="","",(B252-C252))</f>
        <v/>
      </c>
      <c r="E252" s="9">
        <f>IF(A252="","",B252=C252)</f>
        <v/>
      </c>
      <c r="F252" s="9">
        <f>IF(A252="","",IF(E252=FALSE,"比べると合わない",IF(D252&lt;&gt;0,"中身はずれている。比べると同じ","ずれなし")))</f>
        <v/>
      </c>
      <c r="G252" s="9">
        <f>IF(A252="","",TEXT(B252,"0.00000000000000"))</f>
        <v/>
      </c>
    </row>
    <row r="253">
      <c r="A253" s="6" t="n"/>
      <c r="B253" s="7">
        <f>IF(A253="","",N(B252)+A253)</f>
        <v/>
      </c>
      <c r="C253" s="7">
        <f>IF(A253="","",ROUND(N(C252)+A253,$H$2))</f>
        <v/>
      </c>
      <c r="D253" s="8">
        <f>IF(A253="","",(B253-C253))</f>
        <v/>
      </c>
      <c r="E253" s="9">
        <f>IF(A253="","",B253=C253)</f>
        <v/>
      </c>
      <c r="F253" s="9">
        <f>IF(A253="","",IF(E253=FALSE,"比べると合わない",IF(D253&lt;&gt;0,"中身はずれている。比べると同じ","ずれなし")))</f>
        <v/>
      </c>
      <c r="G253" s="9">
        <f>IF(A253="","",TEXT(B253,"0.00000000000000"))</f>
        <v/>
      </c>
    </row>
    <row r="254">
      <c r="A254" s="6" t="n"/>
      <c r="B254" s="7">
        <f>IF(A254="","",N(B253)+A254)</f>
        <v/>
      </c>
      <c r="C254" s="7">
        <f>IF(A254="","",ROUND(N(C253)+A254,$H$2))</f>
        <v/>
      </c>
      <c r="D254" s="8">
        <f>IF(A254="","",(B254-C254))</f>
        <v/>
      </c>
      <c r="E254" s="9">
        <f>IF(A254="","",B254=C254)</f>
        <v/>
      </c>
      <c r="F254" s="9">
        <f>IF(A254="","",IF(E254=FALSE,"比べると合わない",IF(D254&lt;&gt;0,"中身はずれている。比べると同じ","ずれなし")))</f>
        <v/>
      </c>
      <c r="G254" s="9">
        <f>IF(A254="","",TEXT(B254,"0.00000000000000"))</f>
        <v/>
      </c>
    </row>
    <row r="255">
      <c r="A255" s="6" t="n"/>
      <c r="B255" s="7">
        <f>IF(A255="","",N(B254)+A255)</f>
        <v/>
      </c>
      <c r="C255" s="7">
        <f>IF(A255="","",ROUND(N(C254)+A255,$H$2))</f>
        <v/>
      </c>
      <c r="D255" s="8">
        <f>IF(A255="","",(B255-C255))</f>
        <v/>
      </c>
      <c r="E255" s="9">
        <f>IF(A255="","",B255=C255)</f>
        <v/>
      </c>
      <c r="F255" s="9">
        <f>IF(A255="","",IF(E255=FALSE,"比べると合わない",IF(D255&lt;&gt;0,"中身はずれている。比べると同じ","ずれなし")))</f>
        <v/>
      </c>
      <c r="G255" s="9">
        <f>IF(A255="","",TEXT(B255,"0.00000000000000"))</f>
        <v/>
      </c>
    </row>
    <row r="256">
      <c r="A256" s="6" t="n"/>
      <c r="B256" s="7">
        <f>IF(A256="","",N(B255)+A256)</f>
        <v/>
      </c>
      <c r="C256" s="7">
        <f>IF(A256="","",ROUND(N(C255)+A256,$H$2))</f>
        <v/>
      </c>
      <c r="D256" s="8">
        <f>IF(A256="","",(B256-C256))</f>
        <v/>
      </c>
      <c r="E256" s="9">
        <f>IF(A256="","",B256=C256)</f>
        <v/>
      </c>
      <c r="F256" s="9">
        <f>IF(A256="","",IF(E256=FALSE,"比べると合わない",IF(D256&lt;&gt;0,"中身はずれている。比べると同じ","ずれなし")))</f>
        <v/>
      </c>
      <c r="G256" s="9">
        <f>IF(A256="","",TEXT(B256,"0.00000000000000"))</f>
        <v/>
      </c>
    </row>
    <row r="257">
      <c r="A257" s="6" t="n"/>
      <c r="B257" s="7">
        <f>IF(A257="","",N(B256)+A257)</f>
        <v/>
      </c>
      <c r="C257" s="7">
        <f>IF(A257="","",ROUND(N(C256)+A257,$H$2))</f>
        <v/>
      </c>
      <c r="D257" s="8">
        <f>IF(A257="","",(B257-C257))</f>
        <v/>
      </c>
      <c r="E257" s="9">
        <f>IF(A257="","",B257=C257)</f>
        <v/>
      </c>
      <c r="F257" s="9">
        <f>IF(A257="","",IF(E257=FALSE,"比べると合わない",IF(D257&lt;&gt;0,"中身はずれている。比べると同じ","ずれなし")))</f>
        <v/>
      </c>
      <c r="G257" s="9">
        <f>IF(A257="","",TEXT(B257,"0.00000000000000"))</f>
        <v/>
      </c>
    </row>
    <row r="258">
      <c r="A258" s="6" t="n"/>
      <c r="B258" s="7">
        <f>IF(A258="","",N(B257)+A258)</f>
        <v/>
      </c>
      <c r="C258" s="7">
        <f>IF(A258="","",ROUND(N(C257)+A258,$H$2))</f>
        <v/>
      </c>
      <c r="D258" s="8">
        <f>IF(A258="","",(B258-C258))</f>
        <v/>
      </c>
      <c r="E258" s="9">
        <f>IF(A258="","",B258=C258)</f>
        <v/>
      </c>
      <c r="F258" s="9">
        <f>IF(A258="","",IF(E258=FALSE,"比べると合わない",IF(D258&lt;&gt;0,"中身はずれている。比べると同じ","ずれなし")))</f>
        <v/>
      </c>
      <c r="G258" s="9">
        <f>IF(A258="","",TEXT(B258,"0.00000000000000"))</f>
        <v/>
      </c>
    </row>
    <row r="259">
      <c r="A259" s="6" t="n"/>
      <c r="B259" s="7">
        <f>IF(A259="","",N(B258)+A259)</f>
        <v/>
      </c>
      <c r="C259" s="7">
        <f>IF(A259="","",ROUND(N(C258)+A259,$H$2))</f>
        <v/>
      </c>
      <c r="D259" s="8">
        <f>IF(A259="","",(B259-C259))</f>
        <v/>
      </c>
      <c r="E259" s="9">
        <f>IF(A259="","",B259=C259)</f>
        <v/>
      </c>
      <c r="F259" s="9">
        <f>IF(A259="","",IF(E259=FALSE,"比べると合わない",IF(D259&lt;&gt;0,"中身はずれている。比べると同じ","ずれなし")))</f>
        <v/>
      </c>
      <c r="G259" s="9">
        <f>IF(A259="","",TEXT(B259,"0.00000000000000"))</f>
        <v/>
      </c>
    </row>
    <row r="260">
      <c r="A260" s="6" t="n"/>
      <c r="B260" s="7">
        <f>IF(A260="","",N(B259)+A260)</f>
        <v/>
      </c>
      <c r="C260" s="7">
        <f>IF(A260="","",ROUND(N(C259)+A260,$H$2))</f>
        <v/>
      </c>
      <c r="D260" s="8">
        <f>IF(A260="","",(B260-C260))</f>
        <v/>
      </c>
      <c r="E260" s="9">
        <f>IF(A260="","",B260=C260)</f>
        <v/>
      </c>
      <c r="F260" s="9">
        <f>IF(A260="","",IF(E260=FALSE,"比べると合わない",IF(D260&lt;&gt;0,"中身はずれている。比べると同じ","ずれなし")))</f>
        <v/>
      </c>
      <c r="G260" s="9">
        <f>IF(A260="","",TEXT(B260,"0.00000000000000"))</f>
        <v/>
      </c>
    </row>
    <row r="261">
      <c r="A261" s="6" t="n"/>
      <c r="B261" s="7">
        <f>IF(A261="","",N(B260)+A261)</f>
        <v/>
      </c>
      <c r="C261" s="7">
        <f>IF(A261="","",ROUND(N(C260)+A261,$H$2))</f>
        <v/>
      </c>
      <c r="D261" s="8">
        <f>IF(A261="","",(B261-C261))</f>
        <v/>
      </c>
      <c r="E261" s="9">
        <f>IF(A261="","",B261=C261)</f>
        <v/>
      </c>
      <c r="F261" s="9">
        <f>IF(A261="","",IF(E261=FALSE,"比べると合わない",IF(D261&lt;&gt;0,"中身はずれている。比べると同じ","ずれなし")))</f>
        <v/>
      </c>
      <c r="G261" s="9">
        <f>IF(A261="","",TEXT(B261,"0.00000000000000"))</f>
        <v/>
      </c>
    </row>
    <row r="262">
      <c r="A262" s="6" t="n"/>
      <c r="B262" s="7">
        <f>IF(A262="","",N(B261)+A262)</f>
        <v/>
      </c>
      <c r="C262" s="7">
        <f>IF(A262="","",ROUND(N(C261)+A262,$H$2))</f>
        <v/>
      </c>
      <c r="D262" s="8">
        <f>IF(A262="","",(B262-C262))</f>
        <v/>
      </c>
      <c r="E262" s="9">
        <f>IF(A262="","",B262=C262)</f>
        <v/>
      </c>
      <c r="F262" s="9">
        <f>IF(A262="","",IF(E262=FALSE,"比べると合わない",IF(D262&lt;&gt;0,"中身はずれている。比べると同じ","ずれなし")))</f>
        <v/>
      </c>
      <c r="G262" s="9">
        <f>IF(A262="","",TEXT(B262,"0.00000000000000"))</f>
        <v/>
      </c>
    </row>
    <row r="263">
      <c r="A263" s="6" t="n"/>
      <c r="B263" s="7">
        <f>IF(A263="","",N(B262)+A263)</f>
        <v/>
      </c>
      <c r="C263" s="7">
        <f>IF(A263="","",ROUND(N(C262)+A263,$H$2))</f>
        <v/>
      </c>
      <c r="D263" s="8">
        <f>IF(A263="","",(B263-C263))</f>
        <v/>
      </c>
      <c r="E263" s="9">
        <f>IF(A263="","",B263=C263)</f>
        <v/>
      </c>
      <c r="F263" s="9">
        <f>IF(A263="","",IF(E263=FALSE,"比べると合わない",IF(D263&lt;&gt;0,"中身はずれている。比べると同じ","ずれなし")))</f>
        <v/>
      </c>
      <c r="G263" s="9">
        <f>IF(A263="","",TEXT(B263,"0.00000000000000"))</f>
        <v/>
      </c>
    </row>
    <row r="264">
      <c r="A264" s="6" t="n"/>
      <c r="B264" s="7">
        <f>IF(A264="","",N(B263)+A264)</f>
        <v/>
      </c>
      <c r="C264" s="7">
        <f>IF(A264="","",ROUND(N(C263)+A264,$H$2))</f>
        <v/>
      </c>
      <c r="D264" s="8">
        <f>IF(A264="","",(B264-C264))</f>
        <v/>
      </c>
      <c r="E264" s="9">
        <f>IF(A264="","",B264=C264)</f>
        <v/>
      </c>
      <c r="F264" s="9">
        <f>IF(A264="","",IF(E264=FALSE,"比べると合わない",IF(D264&lt;&gt;0,"中身はずれている。比べると同じ","ずれなし")))</f>
        <v/>
      </c>
      <c r="G264" s="9">
        <f>IF(A264="","",TEXT(B264,"0.00000000000000"))</f>
        <v/>
      </c>
    </row>
    <row r="265">
      <c r="A265" s="6" t="n"/>
      <c r="B265" s="7">
        <f>IF(A265="","",N(B264)+A265)</f>
        <v/>
      </c>
      <c r="C265" s="7">
        <f>IF(A265="","",ROUND(N(C264)+A265,$H$2))</f>
        <v/>
      </c>
      <c r="D265" s="8">
        <f>IF(A265="","",(B265-C265))</f>
        <v/>
      </c>
      <c r="E265" s="9">
        <f>IF(A265="","",B265=C265)</f>
        <v/>
      </c>
      <c r="F265" s="9">
        <f>IF(A265="","",IF(E265=FALSE,"比べると合わない",IF(D265&lt;&gt;0,"中身はずれている。比べると同じ","ずれなし")))</f>
        <v/>
      </c>
      <c r="G265" s="9">
        <f>IF(A265="","",TEXT(B265,"0.00000000000000"))</f>
        <v/>
      </c>
    </row>
    <row r="266">
      <c r="A266" s="6" t="n"/>
      <c r="B266" s="7">
        <f>IF(A266="","",N(B265)+A266)</f>
        <v/>
      </c>
      <c r="C266" s="7">
        <f>IF(A266="","",ROUND(N(C265)+A266,$H$2))</f>
        <v/>
      </c>
      <c r="D266" s="8">
        <f>IF(A266="","",(B266-C266))</f>
        <v/>
      </c>
      <c r="E266" s="9">
        <f>IF(A266="","",B266=C266)</f>
        <v/>
      </c>
      <c r="F266" s="9">
        <f>IF(A266="","",IF(E266=FALSE,"比べると合わない",IF(D266&lt;&gt;0,"中身はずれている。比べると同じ","ずれなし")))</f>
        <v/>
      </c>
      <c r="G266" s="9">
        <f>IF(A266="","",TEXT(B266,"0.00000000000000"))</f>
        <v/>
      </c>
    </row>
    <row r="267">
      <c r="A267" s="6" t="n"/>
      <c r="B267" s="7">
        <f>IF(A267="","",N(B266)+A267)</f>
        <v/>
      </c>
      <c r="C267" s="7">
        <f>IF(A267="","",ROUND(N(C266)+A267,$H$2))</f>
        <v/>
      </c>
      <c r="D267" s="8">
        <f>IF(A267="","",(B267-C267))</f>
        <v/>
      </c>
      <c r="E267" s="9">
        <f>IF(A267="","",B267=C267)</f>
        <v/>
      </c>
      <c r="F267" s="9">
        <f>IF(A267="","",IF(E267=FALSE,"比べると合わない",IF(D267&lt;&gt;0,"中身はずれている。比べると同じ","ずれなし")))</f>
        <v/>
      </c>
      <c r="G267" s="9">
        <f>IF(A267="","",TEXT(B267,"0.00000000000000"))</f>
        <v/>
      </c>
    </row>
    <row r="268">
      <c r="A268" s="6" t="n"/>
      <c r="B268" s="7">
        <f>IF(A268="","",N(B267)+A268)</f>
        <v/>
      </c>
      <c r="C268" s="7">
        <f>IF(A268="","",ROUND(N(C267)+A268,$H$2))</f>
        <v/>
      </c>
      <c r="D268" s="8">
        <f>IF(A268="","",(B268-C268))</f>
        <v/>
      </c>
      <c r="E268" s="9">
        <f>IF(A268="","",B268=C268)</f>
        <v/>
      </c>
      <c r="F268" s="9">
        <f>IF(A268="","",IF(E268=FALSE,"比べると合わない",IF(D268&lt;&gt;0,"中身はずれている。比べると同じ","ずれなし")))</f>
        <v/>
      </c>
      <c r="G268" s="9">
        <f>IF(A268="","",TEXT(B268,"0.00000000000000"))</f>
        <v/>
      </c>
    </row>
    <row r="269">
      <c r="A269" s="6" t="n"/>
      <c r="B269" s="7">
        <f>IF(A269="","",N(B268)+A269)</f>
        <v/>
      </c>
      <c r="C269" s="7">
        <f>IF(A269="","",ROUND(N(C268)+A269,$H$2))</f>
        <v/>
      </c>
      <c r="D269" s="8">
        <f>IF(A269="","",(B269-C269))</f>
        <v/>
      </c>
      <c r="E269" s="9">
        <f>IF(A269="","",B269=C269)</f>
        <v/>
      </c>
      <c r="F269" s="9">
        <f>IF(A269="","",IF(E269=FALSE,"比べると合わない",IF(D269&lt;&gt;0,"中身はずれている。比べると同じ","ずれなし")))</f>
        <v/>
      </c>
      <c r="G269" s="9">
        <f>IF(A269="","",TEXT(B269,"0.00000000000000"))</f>
        <v/>
      </c>
    </row>
    <row r="270">
      <c r="A270" s="6" t="n"/>
      <c r="B270" s="7">
        <f>IF(A270="","",N(B269)+A270)</f>
        <v/>
      </c>
      <c r="C270" s="7">
        <f>IF(A270="","",ROUND(N(C269)+A270,$H$2))</f>
        <v/>
      </c>
      <c r="D270" s="8">
        <f>IF(A270="","",(B270-C270))</f>
        <v/>
      </c>
      <c r="E270" s="9">
        <f>IF(A270="","",B270=C270)</f>
        <v/>
      </c>
      <c r="F270" s="9">
        <f>IF(A270="","",IF(E270=FALSE,"比べると合わない",IF(D270&lt;&gt;0,"中身はずれている。比べると同じ","ずれなし")))</f>
        <v/>
      </c>
      <c r="G270" s="9">
        <f>IF(A270="","",TEXT(B270,"0.00000000000000"))</f>
        <v/>
      </c>
    </row>
    <row r="271">
      <c r="A271" s="6" t="n"/>
      <c r="B271" s="7">
        <f>IF(A271="","",N(B270)+A271)</f>
        <v/>
      </c>
      <c r="C271" s="7">
        <f>IF(A271="","",ROUND(N(C270)+A271,$H$2))</f>
        <v/>
      </c>
      <c r="D271" s="8">
        <f>IF(A271="","",(B271-C271))</f>
        <v/>
      </c>
      <c r="E271" s="9">
        <f>IF(A271="","",B271=C271)</f>
        <v/>
      </c>
      <c r="F271" s="9">
        <f>IF(A271="","",IF(E271=FALSE,"比べると合わない",IF(D271&lt;&gt;0,"中身はずれている。比べると同じ","ずれなし")))</f>
        <v/>
      </c>
      <c r="G271" s="9">
        <f>IF(A271="","",TEXT(B271,"0.00000000000000"))</f>
        <v/>
      </c>
    </row>
    <row r="272">
      <c r="A272" s="6" t="n"/>
      <c r="B272" s="7">
        <f>IF(A272="","",N(B271)+A272)</f>
        <v/>
      </c>
      <c r="C272" s="7">
        <f>IF(A272="","",ROUND(N(C271)+A272,$H$2))</f>
        <v/>
      </c>
      <c r="D272" s="8">
        <f>IF(A272="","",(B272-C272))</f>
        <v/>
      </c>
      <c r="E272" s="9">
        <f>IF(A272="","",B272=C272)</f>
        <v/>
      </c>
      <c r="F272" s="9">
        <f>IF(A272="","",IF(E272=FALSE,"比べると合わない",IF(D272&lt;&gt;0,"中身はずれている。比べると同じ","ずれなし")))</f>
        <v/>
      </c>
      <c r="G272" s="9">
        <f>IF(A272="","",TEXT(B272,"0.00000000000000"))</f>
        <v/>
      </c>
    </row>
    <row r="273">
      <c r="A273" s="6" t="n"/>
      <c r="B273" s="7">
        <f>IF(A273="","",N(B272)+A273)</f>
        <v/>
      </c>
      <c r="C273" s="7">
        <f>IF(A273="","",ROUND(N(C272)+A273,$H$2))</f>
        <v/>
      </c>
      <c r="D273" s="8">
        <f>IF(A273="","",(B273-C273))</f>
        <v/>
      </c>
      <c r="E273" s="9">
        <f>IF(A273="","",B273=C273)</f>
        <v/>
      </c>
      <c r="F273" s="9">
        <f>IF(A273="","",IF(E273=FALSE,"比べると合わない",IF(D273&lt;&gt;0,"中身はずれている。比べると同じ","ずれなし")))</f>
        <v/>
      </c>
      <c r="G273" s="9">
        <f>IF(A273="","",TEXT(B273,"0.00000000000000"))</f>
        <v/>
      </c>
    </row>
    <row r="274">
      <c r="A274" s="6" t="n"/>
      <c r="B274" s="7">
        <f>IF(A274="","",N(B273)+A274)</f>
        <v/>
      </c>
      <c r="C274" s="7">
        <f>IF(A274="","",ROUND(N(C273)+A274,$H$2))</f>
        <v/>
      </c>
      <c r="D274" s="8">
        <f>IF(A274="","",(B274-C274))</f>
        <v/>
      </c>
      <c r="E274" s="9">
        <f>IF(A274="","",B274=C274)</f>
        <v/>
      </c>
      <c r="F274" s="9">
        <f>IF(A274="","",IF(E274=FALSE,"比べると合わない",IF(D274&lt;&gt;0,"中身はずれている。比べると同じ","ずれなし")))</f>
        <v/>
      </c>
      <c r="G274" s="9">
        <f>IF(A274="","",TEXT(B274,"0.00000000000000"))</f>
        <v/>
      </c>
    </row>
    <row r="275">
      <c r="A275" s="6" t="n"/>
      <c r="B275" s="7">
        <f>IF(A275="","",N(B274)+A275)</f>
        <v/>
      </c>
      <c r="C275" s="7">
        <f>IF(A275="","",ROUND(N(C274)+A275,$H$2))</f>
        <v/>
      </c>
      <c r="D275" s="8">
        <f>IF(A275="","",(B275-C275))</f>
        <v/>
      </c>
      <c r="E275" s="9">
        <f>IF(A275="","",B275=C275)</f>
        <v/>
      </c>
      <c r="F275" s="9">
        <f>IF(A275="","",IF(E275=FALSE,"比べると合わない",IF(D275&lt;&gt;0,"中身はずれている。比べると同じ","ずれなし")))</f>
        <v/>
      </c>
      <c r="G275" s="9">
        <f>IF(A275="","",TEXT(B275,"0.00000000000000"))</f>
        <v/>
      </c>
    </row>
    <row r="276">
      <c r="A276" s="6" t="n"/>
      <c r="B276" s="7">
        <f>IF(A276="","",N(B275)+A276)</f>
        <v/>
      </c>
      <c r="C276" s="7">
        <f>IF(A276="","",ROUND(N(C275)+A276,$H$2))</f>
        <v/>
      </c>
      <c r="D276" s="8">
        <f>IF(A276="","",(B276-C276))</f>
        <v/>
      </c>
      <c r="E276" s="9">
        <f>IF(A276="","",B276=C276)</f>
        <v/>
      </c>
      <c r="F276" s="9">
        <f>IF(A276="","",IF(E276=FALSE,"比べると合わない",IF(D276&lt;&gt;0,"中身はずれている。比べると同じ","ずれなし")))</f>
        <v/>
      </c>
      <c r="G276" s="9">
        <f>IF(A276="","",TEXT(B276,"0.00000000000000"))</f>
        <v/>
      </c>
    </row>
    <row r="277">
      <c r="A277" s="6" t="n"/>
      <c r="B277" s="7">
        <f>IF(A277="","",N(B276)+A277)</f>
        <v/>
      </c>
      <c r="C277" s="7">
        <f>IF(A277="","",ROUND(N(C276)+A277,$H$2))</f>
        <v/>
      </c>
      <c r="D277" s="8">
        <f>IF(A277="","",(B277-C277))</f>
        <v/>
      </c>
      <c r="E277" s="9">
        <f>IF(A277="","",B277=C277)</f>
        <v/>
      </c>
      <c r="F277" s="9">
        <f>IF(A277="","",IF(E277=FALSE,"比べると合わない",IF(D277&lt;&gt;0,"中身はずれている。比べると同じ","ずれなし")))</f>
        <v/>
      </c>
      <c r="G277" s="9">
        <f>IF(A277="","",TEXT(B277,"0.00000000000000"))</f>
        <v/>
      </c>
    </row>
    <row r="278">
      <c r="A278" s="6" t="n"/>
      <c r="B278" s="7">
        <f>IF(A278="","",N(B277)+A278)</f>
        <v/>
      </c>
      <c r="C278" s="7">
        <f>IF(A278="","",ROUND(N(C277)+A278,$H$2))</f>
        <v/>
      </c>
      <c r="D278" s="8">
        <f>IF(A278="","",(B278-C278))</f>
        <v/>
      </c>
      <c r="E278" s="9">
        <f>IF(A278="","",B278=C278)</f>
        <v/>
      </c>
      <c r="F278" s="9">
        <f>IF(A278="","",IF(E278=FALSE,"比べると合わない",IF(D278&lt;&gt;0,"中身はずれている。比べると同じ","ずれなし")))</f>
        <v/>
      </c>
      <c r="G278" s="9">
        <f>IF(A278="","",TEXT(B278,"0.00000000000000"))</f>
        <v/>
      </c>
    </row>
    <row r="279">
      <c r="A279" s="6" t="n"/>
      <c r="B279" s="7">
        <f>IF(A279="","",N(B278)+A279)</f>
        <v/>
      </c>
      <c r="C279" s="7">
        <f>IF(A279="","",ROUND(N(C278)+A279,$H$2))</f>
        <v/>
      </c>
      <c r="D279" s="8">
        <f>IF(A279="","",(B279-C279))</f>
        <v/>
      </c>
      <c r="E279" s="9">
        <f>IF(A279="","",B279=C279)</f>
        <v/>
      </c>
      <c r="F279" s="9">
        <f>IF(A279="","",IF(E279=FALSE,"比べると合わない",IF(D279&lt;&gt;0,"中身はずれている。比べると同じ","ずれなし")))</f>
        <v/>
      </c>
      <c r="G279" s="9">
        <f>IF(A279="","",TEXT(B279,"0.00000000000000"))</f>
        <v/>
      </c>
    </row>
    <row r="280">
      <c r="A280" s="6" t="n"/>
      <c r="B280" s="7">
        <f>IF(A280="","",N(B279)+A280)</f>
        <v/>
      </c>
      <c r="C280" s="7">
        <f>IF(A280="","",ROUND(N(C279)+A280,$H$2))</f>
        <v/>
      </c>
      <c r="D280" s="8">
        <f>IF(A280="","",(B280-C280))</f>
        <v/>
      </c>
      <c r="E280" s="9">
        <f>IF(A280="","",B280=C280)</f>
        <v/>
      </c>
      <c r="F280" s="9">
        <f>IF(A280="","",IF(E280=FALSE,"比べると合わない",IF(D280&lt;&gt;0,"中身はずれている。比べると同じ","ずれなし")))</f>
        <v/>
      </c>
      <c r="G280" s="9">
        <f>IF(A280="","",TEXT(B280,"0.00000000000000"))</f>
        <v/>
      </c>
    </row>
    <row r="281">
      <c r="A281" s="6" t="n"/>
      <c r="B281" s="7">
        <f>IF(A281="","",N(B280)+A281)</f>
        <v/>
      </c>
      <c r="C281" s="7">
        <f>IF(A281="","",ROUND(N(C280)+A281,$H$2))</f>
        <v/>
      </c>
      <c r="D281" s="8">
        <f>IF(A281="","",(B281-C281))</f>
        <v/>
      </c>
      <c r="E281" s="9">
        <f>IF(A281="","",B281=C281)</f>
        <v/>
      </c>
      <c r="F281" s="9">
        <f>IF(A281="","",IF(E281=FALSE,"比べると合わない",IF(D281&lt;&gt;0,"中身はずれている。比べると同じ","ずれなし")))</f>
        <v/>
      </c>
      <c r="G281" s="9">
        <f>IF(A281="","",TEXT(B281,"0.00000000000000"))</f>
        <v/>
      </c>
    </row>
    <row r="282">
      <c r="A282" s="6" t="n"/>
      <c r="B282" s="7">
        <f>IF(A282="","",N(B281)+A282)</f>
        <v/>
      </c>
      <c r="C282" s="7">
        <f>IF(A282="","",ROUND(N(C281)+A282,$H$2))</f>
        <v/>
      </c>
      <c r="D282" s="8">
        <f>IF(A282="","",(B282-C282))</f>
        <v/>
      </c>
      <c r="E282" s="9">
        <f>IF(A282="","",B282=C282)</f>
        <v/>
      </c>
      <c r="F282" s="9">
        <f>IF(A282="","",IF(E282=FALSE,"比べると合わない",IF(D282&lt;&gt;0,"中身はずれている。比べると同じ","ずれなし")))</f>
        <v/>
      </c>
      <c r="G282" s="9">
        <f>IF(A282="","",TEXT(B282,"0.00000000000000"))</f>
        <v/>
      </c>
    </row>
    <row r="283">
      <c r="A283" s="6" t="n"/>
      <c r="B283" s="7">
        <f>IF(A283="","",N(B282)+A283)</f>
        <v/>
      </c>
      <c r="C283" s="7">
        <f>IF(A283="","",ROUND(N(C282)+A283,$H$2))</f>
        <v/>
      </c>
      <c r="D283" s="8">
        <f>IF(A283="","",(B283-C283))</f>
        <v/>
      </c>
      <c r="E283" s="9">
        <f>IF(A283="","",B283=C283)</f>
        <v/>
      </c>
      <c r="F283" s="9">
        <f>IF(A283="","",IF(E283=FALSE,"比べると合わない",IF(D283&lt;&gt;0,"中身はずれている。比べると同じ","ずれなし")))</f>
        <v/>
      </c>
      <c r="G283" s="9">
        <f>IF(A283="","",TEXT(B283,"0.00000000000000"))</f>
        <v/>
      </c>
    </row>
    <row r="284">
      <c r="A284" s="6" t="n"/>
      <c r="B284" s="7">
        <f>IF(A284="","",N(B283)+A284)</f>
        <v/>
      </c>
      <c r="C284" s="7">
        <f>IF(A284="","",ROUND(N(C283)+A284,$H$2))</f>
        <v/>
      </c>
      <c r="D284" s="8">
        <f>IF(A284="","",(B284-C284))</f>
        <v/>
      </c>
      <c r="E284" s="9">
        <f>IF(A284="","",B284=C284)</f>
        <v/>
      </c>
      <c r="F284" s="9">
        <f>IF(A284="","",IF(E284=FALSE,"比べると合わない",IF(D284&lt;&gt;0,"中身はずれている。比べると同じ","ずれなし")))</f>
        <v/>
      </c>
      <c r="G284" s="9">
        <f>IF(A284="","",TEXT(B284,"0.00000000000000"))</f>
        <v/>
      </c>
    </row>
    <row r="285">
      <c r="A285" s="6" t="n"/>
      <c r="B285" s="7">
        <f>IF(A285="","",N(B284)+A285)</f>
        <v/>
      </c>
      <c r="C285" s="7">
        <f>IF(A285="","",ROUND(N(C284)+A285,$H$2))</f>
        <v/>
      </c>
      <c r="D285" s="8">
        <f>IF(A285="","",(B285-C285))</f>
        <v/>
      </c>
      <c r="E285" s="9">
        <f>IF(A285="","",B285=C285)</f>
        <v/>
      </c>
      <c r="F285" s="9">
        <f>IF(A285="","",IF(E285=FALSE,"比べると合わない",IF(D285&lt;&gt;0,"中身はずれている。比べると同じ","ずれなし")))</f>
        <v/>
      </c>
      <c r="G285" s="9">
        <f>IF(A285="","",TEXT(B285,"0.00000000000000"))</f>
        <v/>
      </c>
    </row>
    <row r="286">
      <c r="A286" s="6" t="n"/>
      <c r="B286" s="7">
        <f>IF(A286="","",N(B285)+A286)</f>
        <v/>
      </c>
      <c r="C286" s="7">
        <f>IF(A286="","",ROUND(N(C285)+A286,$H$2))</f>
        <v/>
      </c>
      <c r="D286" s="8">
        <f>IF(A286="","",(B286-C286))</f>
        <v/>
      </c>
      <c r="E286" s="9">
        <f>IF(A286="","",B286=C286)</f>
        <v/>
      </c>
      <c r="F286" s="9">
        <f>IF(A286="","",IF(E286=FALSE,"比べると合わない",IF(D286&lt;&gt;0,"中身はずれている。比べると同じ","ずれなし")))</f>
        <v/>
      </c>
      <c r="G286" s="9">
        <f>IF(A286="","",TEXT(B286,"0.00000000000000"))</f>
        <v/>
      </c>
    </row>
    <row r="287">
      <c r="A287" s="6" t="n"/>
      <c r="B287" s="7">
        <f>IF(A287="","",N(B286)+A287)</f>
        <v/>
      </c>
      <c r="C287" s="7">
        <f>IF(A287="","",ROUND(N(C286)+A287,$H$2))</f>
        <v/>
      </c>
      <c r="D287" s="8">
        <f>IF(A287="","",(B287-C287))</f>
        <v/>
      </c>
      <c r="E287" s="9">
        <f>IF(A287="","",B287=C287)</f>
        <v/>
      </c>
      <c r="F287" s="9">
        <f>IF(A287="","",IF(E287=FALSE,"比べると合わない",IF(D287&lt;&gt;0,"中身はずれている。比べると同じ","ずれなし")))</f>
        <v/>
      </c>
      <c r="G287" s="9">
        <f>IF(A287="","",TEXT(B287,"0.00000000000000"))</f>
        <v/>
      </c>
    </row>
    <row r="288">
      <c r="A288" s="6" t="n"/>
      <c r="B288" s="7">
        <f>IF(A288="","",N(B287)+A288)</f>
        <v/>
      </c>
      <c r="C288" s="7">
        <f>IF(A288="","",ROUND(N(C287)+A288,$H$2))</f>
        <v/>
      </c>
      <c r="D288" s="8">
        <f>IF(A288="","",(B288-C288))</f>
        <v/>
      </c>
      <c r="E288" s="9">
        <f>IF(A288="","",B288=C288)</f>
        <v/>
      </c>
      <c r="F288" s="9">
        <f>IF(A288="","",IF(E288=FALSE,"比べると合わない",IF(D288&lt;&gt;0,"中身はずれている。比べると同じ","ずれなし")))</f>
        <v/>
      </c>
      <c r="G288" s="9">
        <f>IF(A288="","",TEXT(B288,"0.00000000000000"))</f>
        <v/>
      </c>
    </row>
    <row r="289">
      <c r="A289" s="6" t="n"/>
      <c r="B289" s="7">
        <f>IF(A289="","",N(B288)+A289)</f>
        <v/>
      </c>
      <c r="C289" s="7">
        <f>IF(A289="","",ROUND(N(C288)+A289,$H$2))</f>
        <v/>
      </c>
      <c r="D289" s="8">
        <f>IF(A289="","",(B289-C289))</f>
        <v/>
      </c>
      <c r="E289" s="9">
        <f>IF(A289="","",B289=C289)</f>
        <v/>
      </c>
      <c r="F289" s="9">
        <f>IF(A289="","",IF(E289=FALSE,"比べると合わない",IF(D289&lt;&gt;0,"中身はずれている。比べると同じ","ずれなし")))</f>
        <v/>
      </c>
      <c r="G289" s="9">
        <f>IF(A289="","",TEXT(B289,"0.00000000000000"))</f>
        <v/>
      </c>
    </row>
    <row r="290">
      <c r="A290" s="6" t="n"/>
      <c r="B290" s="7">
        <f>IF(A290="","",N(B289)+A290)</f>
        <v/>
      </c>
      <c r="C290" s="7">
        <f>IF(A290="","",ROUND(N(C289)+A290,$H$2))</f>
        <v/>
      </c>
      <c r="D290" s="8">
        <f>IF(A290="","",(B290-C290))</f>
        <v/>
      </c>
      <c r="E290" s="9">
        <f>IF(A290="","",B290=C290)</f>
        <v/>
      </c>
      <c r="F290" s="9">
        <f>IF(A290="","",IF(E290=FALSE,"比べると合わない",IF(D290&lt;&gt;0,"中身はずれている。比べると同じ","ずれなし")))</f>
        <v/>
      </c>
      <c r="G290" s="9">
        <f>IF(A290="","",TEXT(B290,"0.00000000000000"))</f>
        <v/>
      </c>
    </row>
    <row r="291">
      <c r="A291" s="6" t="n"/>
      <c r="B291" s="7">
        <f>IF(A291="","",N(B290)+A291)</f>
        <v/>
      </c>
      <c r="C291" s="7">
        <f>IF(A291="","",ROUND(N(C290)+A291,$H$2))</f>
        <v/>
      </c>
      <c r="D291" s="8">
        <f>IF(A291="","",(B291-C291))</f>
        <v/>
      </c>
      <c r="E291" s="9">
        <f>IF(A291="","",B291=C291)</f>
        <v/>
      </c>
      <c r="F291" s="9">
        <f>IF(A291="","",IF(E291=FALSE,"比べると合わない",IF(D291&lt;&gt;0,"中身はずれている。比べると同じ","ずれなし")))</f>
        <v/>
      </c>
      <c r="G291" s="9">
        <f>IF(A291="","",TEXT(B291,"0.00000000000000"))</f>
        <v/>
      </c>
    </row>
    <row r="292">
      <c r="A292" s="6" t="n"/>
      <c r="B292" s="7">
        <f>IF(A292="","",N(B291)+A292)</f>
        <v/>
      </c>
      <c r="C292" s="7">
        <f>IF(A292="","",ROUND(N(C291)+A292,$H$2))</f>
        <v/>
      </c>
      <c r="D292" s="8">
        <f>IF(A292="","",(B292-C292))</f>
        <v/>
      </c>
      <c r="E292" s="9">
        <f>IF(A292="","",B292=C292)</f>
        <v/>
      </c>
      <c r="F292" s="9">
        <f>IF(A292="","",IF(E292=FALSE,"比べると合わない",IF(D292&lt;&gt;0,"中身はずれている。比べると同じ","ずれなし")))</f>
        <v/>
      </c>
      <c r="G292" s="9">
        <f>IF(A292="","",TEXT(B292,"0.00000000000000"))</f>
        <v/>
      </c>
    </row>
    <row r="293">
      <c r="A293" s="6" t="n"/>
      <c r="B293" s="7">
        <f>IF(A293="","",N(B292)+A293)</f>
        <v/>
      </c>
      <c r="C293" s="7">
        <f>IF(A293="","",ROUND(N(C292)+A293,$H$2))</f>
        <v/>
      </c>
      <c r="D293" s="8">
        <f>IF(A293="","",(B293-C293))</f>
        <v/>
      </c>
      <c r="E293" s="9">
        <f>IF(A293="","",B293=C293)</f>
        <v/>
      </c>
      <c r="F293" s="9">
        <f>IF(A293="","",IF(E293=FALSE,"比べると合わない",IF(D293&lt;&gt;0,"中身はずれている。比べると同じ","ずれなし")))</f>
        <v/>
      </c>
      <c r="G293" s="9">
        <f>IF(A293="","",TEXT(B293,"0.00000000000000"))</f>
        <v/>
      </c>
    </row>
    <row r="294">
      <c r="A294" s="6" t="n"/>
      <c r="B294" s="7">
        <f>IF(A294="","",N(B293)+A294)</f>
        <v/>
      </c>
      <c r="C294" s="7">
        <f>IF(A294="","",ROUND(N(C293)+A294,$H$2))</f>
        <v/>
      </c>
      <c r="D294" s="8">
        <f>IF(A294="","",(B294-C294))</f>
        <v/>
      </c>
      <c r="E294" s="9">
        <f>IF(A294="","",B294=C294)</f>
        <v/>
      </c>
      <c r="F294" s="9">
        <f>IF(A294="","",IF(E294=FALSE,"比べると合わない",IF(D294&lt;&gt;0,"中身はずれている。比べると同じ","ずれなし")))</f>
        <v/>
      </c>
      <c r="G294" s="9">
        <f>IF(A294="","",TEXT(B294,"0.00000000000000"))</f>
        <v/>
      </c>
    </row>
    <row r="295">
      <c r="A295" s="6" t="n"/>
      <c r="B295" s="7">
        <f>IF(A295="","",N(B294)+A295)</f>
        <v/>
      </c>
      <c r="C295" s="7">
        <f>IF(A295="","",ROUND(N(C294)+A295,$H$2))</f>
        <v/>
      </c>
      <c r="D295" s="8">
        <f>IF(A295="","",(B295-C295))</f>
        <v/>
      </c>
      <c r="E295" s="9">
        <f>IF(A295="","",B295=C295)</f>
        <v/>
      </c>
      <c r="F295" s="9">
        <f>IF(A295="","",IF(E295=FALSE,"比べると合わない",IF(D295&lt;&gt;0,"中身はずれている。比べると同じ","ずれなし")))</f>
        <v/>
      </c>
      <c r="G295" s="9">
        <f>IF(A295="","",TEXT(B295,"0.00000000000000"))</f>
        <v/>
      </c>
    </row>
    <row r="296">
      <c r="A296" s="6" t="n"/>
      <c r="B296" s="7">
        <f>IF(A296="","",N(B295)+A296)</f>
        <v/>
      </c>
      <c r="C296" s="7">
        <f>IF(A296="","",ROUND(N(C295)+A296,$H$2))</f>
        <v/>
      </c>
      <c r="D296" s="8">
        <f>IF(A296="","",(B296-C296))</f>
        <v/>
      </c>
      <c r="E296" s="9">
        <f>IF(A296="","",B296=C296)</f>
        <v/>
      </c>
      <c r="F296" s="9">
        <f>IF(A296="","",IF(E296=FALSE,"比べると合わない",IF(D296&lt;&gt;0,"中身はずれている。比べると同じ","ずれなし")))</f>
        <v/>
      </c>
      <c r="G296" s="9">
        <f>IF(A296="","",TEXT(B296,"0.00000000000000"))</f>
        <v/>
      </c>
    </row>
    <row r="297">
      <c r="A297" s="6" t="n"/>
      <c r="B297" s="7">
        <f>IF(A297="","",N(B296)+A297)</f>
        <v/>
      </c>
      <c r="C297" s="7">
        <f>IF(A297="","",ROUND(N(C296)+A297,$H$2))</f>
        <v/>
      </c>
      <c r="D297" s="8">
        <f>IF(A297="","",(B297-C297))</f>
        <v/>
      </c>
      <c r="E297" s="9">
        <f>IF(A297="","",B297=C297)</f>
        <v/>
      </c>
      <c r="F297" s="9">
        <f>IF(A297="","",IF(E297=FALSE,"比べると合わない",IF(D297&lt;&gt;0,"中身はずれている。比べると同じ","ずれなし")))</f>
        <v/>
      </c>
      <c r="G297" s="9">
        <f>IF(A297="","",TEXT(B297,"0.00000000000000"))</f>
        <v/>
      </c>
    </row>
    <row r="298">
      <c r="A298" s="6" t="n"/>
      <c r="B298" s="7">
        <f>IF(A298="","",N(B297)+A298)</f>
        <v/>
      </c>
      <c r="C298" s="7">
        <f>IF(A298="","",ROUND(N(C297)+A298,$H$2))</f>
        <v/>
      </c>
      <c r="D298" s="8">
        <f>IF(A298="","",(B298-C298))</f>
        <v/>
      </c>
      <c r="E298" s="9">
        <f>IF(A298="","",B298=C298)</f>
        <v/>
      </c>
      <c r="F298" s="9">
        <f>IF(A298="","",IF(E298=FALSE,"比べると合わない",IF(D298&lt;&gt;0,"中身はずれている。比べると同じ","ずれなし")))</f>
        <v/>
      </c>
      <c r="G298" s="9">
        <f>IF(A298="","",TEXT(B298,"0.00000000000000"))</f>
        <v/>
      </c>
    </row>
    <row r="299">
      <c r="A299" s="6" t="n"/>
      <c r="B299" s="7">
        <f>IF(A299="","",N(B298)+A299)</f>
        <v/>
      </c>
      <c r="C299" s="7">
        <f>IF(A299="","",ROUND(N(C298)+A299,$H$2))</f>
        <v/>
      </c>
      <c r="D299" s="8">
        <f>IF(A299="","",(B299-C299))</f>
        <v/>
      </c>
      <c r="E299" s="9">
        <f>IF(A299="","",B299=C299)</f>
        <v/>
      </c>
      <c r="F299" s="9">
        <f>IF(A299="","",IF(E299=FALSE,"比べると合わない",IF(D299&lt;&gt;0,"中身はずれている。比べると同じ","ずれなし")))</f>
        <v/>
      </c>
      <c r="G299" s="9">
        <f>IF(A299="","",TEXT(B299,"0.00000000000000"))</f>
        <v/>
      </c>
    </row>
    <row r="300">
      <c r="A300" s="6" t="n"/>
      <c r="B300" s="7">
        <f>IF(A300="","",N(B299)+A300)</f>
        <v/>
      </c>
      <c r="C300" s="7">
        <f>IF(A300="","",ROUND(N(C299)+A300,$H$2))</f>
        <v/>
      </c>
      <c r="D300" s="8">
        <f>IF(A300="","",(B300-C300))</f>
        <v/>
      </c>
      <c r="E300" s="9">
        <f>IF(A300="","",B300=C300)</f>
        <v/>
      </c>
      <c r="F300" s="9">
        <f>IF(A300="","",IF(E300=FALSE,"比べると合わない",IF(D300&lt;&gt;0,"中身はずれている。比べると同じ","ずれなし")))</f>
        <v/>
      </c>
      <c r="G300" s="9">
        <f>IF(A300="","",TEXT(B300,"0.00000000000000"))</f>
        <v/>
      </c>
    </row>
    <row r="301">
      <c r="A301" s="6" t="n"/>
      <c r="B301" s="7">
        <f>IF(A301="","",N(B300)+A301)</f>
        <v/>
      </c>
      <c r="C301" s="7">
        <f>IF(A301="","",ROUND(N(C300)+A301,$H$2))</f>
        <v/>
      </c>
      <c r="D301" s="8">
        <f>IF(A301="","",(B301-C301))</f>
        <v/>
      </c>
      <c r="E301" s="9">
        <f>IF(A301="","",B301=C301)</f>
        <v/>
      </c>
      <c r="F301" s="9">
        <f>IF(A301="","",IF(E301=FALSE,"比べると合わない",IF(D301&lt;&gt;0,"中身はずれている。比べると同じ","ずれなし")))</f>
        <v/>
      </c>
      <c r="G301" s="9">
        <f>IF(A301="","",TEXT(B301,"0.00000000000000"))</f>
        <v/>
      </c>
    </row>
    <row r="302">
      <c r="A302" s="6" t="n"/>
      <c r="B302" s="7">
        <f>IF(A302="","",N(B301)+A302)</f>
        <v/>
      </c>
      <c r="C302" s="7">
        <f>IF(A302="","",ROUND(N(C301)+A302,$H$2))</f>
        <v/>
      </c>
      <c r="D302" s="8">
        <f>IF(A302="","",(B302-C302))</f>
        <v/>
      </c>
      <c r="E302" s="9">
        <f>IF(A302="","",B302=C302)</f>
        <v/>
      </c>
      <c r="F302" s="9">
        <f>IF(A302="","",IF(E302=FALSE,"比べると合わない",IF(D302&lt;&gt;0,"中身はずれている。比べると同じ","ずれなし")))</f>
        <v/>
      </c>
      <c r="G302" s="9">
        <f>IF(A302="","",TEXT(B302,"0.00000000000000"))</f>
        <v/>
      </c>
    </row>
    <row r="303">
      <c r="A303" s="6" t="n"/>
      <c r="B303" s="7">
        <f>IF(A303="","",N(B302)+A303)</f>
        <v/>
      </c>
      <c r="C303" s="7">
        <f>IF(A303="","",ROUND(N(C302)+A303,$H$2))</f>
        <v/>
      </c>
      <c r="D303" s="8">
        <f>IF(A303="","",(B303-C303))</f>
        <v/>
      </c>
      <c r="E303" s="9">
        <f>IF(A303="","",B303=C303)</f>
        <v/>
      </c>
      <c r="F303" s="9">
        <f>IF(A303="","",IF(E303=FALSE,"比べると合わない",IF(D303&lt;&gt;0,"中身はずれている。比べると同じ","ずれなし")))</f>
        <v/>
      </c>
      <c r="G303" s="9">
        <f>IF(A303="","",TEXT(B303,"0.00000000000000"))</f>
        <v/>
      </c>
    </row>
    <row r="304">
      <c r="A304" s="6" t="n"/>
      <c r="B304" s="7">
        <f>IF(A304="","",N(B303)+A304)</f>
        <v/>
      </c>
      <c r="C304" s="7">
        <f>IF(A304="","",ROUND(N(C303)+A304,$H$2))</f>
        <v/>
      </c>
      <c r="D304" s="8">
        <f>IF(A304="","",(B304-C304))</f>
        <v/>
      </c>
      <c r="E304" s="9">
        <f>IF(A304="","",B304=C304)</f>
        <v/>
      </c>
      <c r="F304" s="9">
        <f>IF(A304="","",IF(E304=FALSE,"比べると合わない",IF(D304&lt;&gt;0,"中身はずれている。比べると同じ","ずれなし")))</f>
        <v/>
      </c>
      <c r="G304" s="9">
        <f>IF(A304="","",TEXT(B304,"0.00000000000000"))</f>
        <v/>
      </c>
    </row>
    <row r="305">
      <c r="A305" s="6" t="n"/>
      <c r="B305" s="7">
        <f>IF(A305="","",N(B304)+A305)</f>
        <v/>
      </c>
      <c r="C305" s="7">
        <f>IF(A305="","",ROUND(N(C304)+A305,$H$2))</f>
        <v/>
      </c>
      <c r="D305" s="8">
        <f>IF(A305="","",(B305-C305))</f>
        <v/>
      </c>
      <c r="E305" s="9">
        <f>IF(A305="","",B305=C305)</f>
        <v/>
      </c>
      <c r="F305" s="9">
        <f>IF(A305="","",IF(E305=FALSE,"比べると合わない",IF(D305&lt;&gt;0,"中身はずれている。比べると同じ","ずれなし")))</f>
        <v/>
      </c>
      <c r="G305" s="9">
        <f>IF(A305="","",TEXT(B305,"0.00000000000000"))</f>
        <v/>
      </c>
    </row>
    <row r="306">
      <c r="A306" s="6" t="n"/>
      <c r="B306" s="7">
        <f>IF(A306="","",N(B305)+A306)</f>
        <v/>
      </c>
      <c r="C306" s="7">
        <f>IF(A306="","",ROUND(N(C305)+A306,$H$2))</f>
        <v/>
      </c>
      <c r="D306" s="8">
        <f>IF(A306="","",(B306-C306))</f>
        <v/>
      </c>
      <c r="E306" s="9">
        <f>IF(A306="","",B306=C306)</f>
        <v/>
      </c>
      <c r="F306" s="9">
        <f>IF(A306="","",IF(E306=FALSE,"比べると合わない",IF(D306&lt;&gt;0,"中身はずれている。比べると同じ","ずれなし")))</f>
        <v/>
      </c>
      <c r="G306" s="9">
        <f>IF(A306="","",TEXT(B306,"0.00000000000000"))</f>
        <v/>
      </c>
    </row>
    <row r="307">
      <c r="A307" s="6" t="n"/>
      <c r="B307" s="7">
        <f>IF(A307="","",N(B306)+A307)</f>
        <v/>
      </c>
      <c r="C307" s="7">
        <f>IF(A307="","",ROUND(N(C306)+A307,$H$2))</f>
        <v/>
      </c>
      <c r="D307" s="8">
        <f>IF(A307="","",(B307-C307))</f>
        <v/>
      </c>
      <c r="E307" s="9">
        <f>IF(A307="","",B307=C307)</f>
        <v/>
      </c>
      <c r="F307" s="9">
        <f>IF(A307="","",IF(E307=FALSE,"比べると合わない",IF(D307&lt;&gt;0,"中身はずれている。比べると同じ","ずれなし")))</f>
        <v/>
      </c>
      <c r="G307" s="9">
        <f>IF(A307="","",TEXT(B307,"0.00000000000000"))</f>
        <v/>
      </c>
    </row>
    <row r="308">
      <c r="A308" s="6" t="n"/>
      <c r="B308" s="7">
        <f>IF(A308="","",N(B307)+A308)</f>
        <v/>
      </c>
      <c r="C308" s="7">
        <f>IF(A308="","",ROUND(N(C307)+A308,$H$2))</f>
        <v/>
      </c>
      <c r="D308" s="8">
        <f>IF(A308="","",(B308-C308))</f>
        <v/>
      </c>
      <c r="E308" s="9">
        <f>IF(A308="","",B308=C308)</f>
        <v/>
      </c>
      <c r="F308" s="9">
        <f>IF(A308="","",IF(E308=FALSE,"比べると合わない",IF(D308&lt;&gt;0,"中身はずれている。比べると同じ","ずれなし")))</f>
        <v/>
      </c>
      <c r="G308" s="9">
        <f>IF(A308="","",TEXT(B308,"0.00000000000000"))</f>
        <v/>
      </c>
    </row>
    <row r="309">
      <c r="A309" s="6" t="n"/>
      <c r="B309" s="7">
        <f>IF(A309="","",N(B308)+A309)</f>
        <v/>
      </c>
      <c r="C309" s="7">
        <f>IF(A309="","",ROUND(N(C308)+A309,$H$2))</f>
        <v/>
      </c>
      <c r="D309" s="8">
        <f>IF(A309="","",(B309-C309))</f>
        <v/>
      </c>
      <c r="E309" s="9">
        <f>IF(A309="","",B309=C309)</f>
        <v/>
      </c>
      <c r="F309" s="9">
        <f>IF(A309="","",IF(E309=FALSE,"比べると合わない",IF(D309&lt;&gt;0,"中身はずれている。比べると同じ","ずれなし")))</f>
        <v/>
      </c>
      <c r="G309" s="9">
        <f>IF(A309="","",TEXT(B309,"0.00000000000000"))</f>
        <v/>
      </c>
    </row>
    <row r="310">
      <c r="A310" s="6" t="n"/>
      <c r="B310" s="7">
        <f>IF(A310="","",N(B309)+A310)</f>
        <v/>
      </c>
      <c r="C310" s="7">
        <f>IF(A310="","",ROUND(N(C309)+A310,$H$2))</f>
        <v/>
      </c>
      <c r="D310" s="8">
        <f>IF(A310="","",(B310-C310))</f>
        <v/>
      </c>
      <c r="E310" s="9">
        <f>IF(A310="","",B310=C310)</f>
        <v/>
      </c>
      <c r="F310" s="9">
        <f>IF(A310="","",IF(E310=FALSE,"比べると合わない",IF(D310&lt;&gt;0,"中身はずれている。比べると同じ","ずれなし")))</f>
        <v/>
      </c>
      <c r="G310" s="9">
        <f>IF(A310="","",TEXT(B310,"0.00000000000000"))</f>
        <v/>
      </c>
    </row>
    <row r="311">
      <c r="A311" s="6" t="n"/>
      <c r="B311" s="7">
        <f>IF(A311="","",N(B310)+A311)</f>
        <v/>
      </c>
      <c r="C311" s="7">
        <f>IF(A311="","",ROUND(N(C310)+A311,$H$2))</f>
        <v/>
      </c>
      <c r="D311" s="8">
        <f>IF(A311="","",(B311-C311))</f>
        <v/>
      </c>
      <c r="E311" s="9">
        <f>IF(A311="","",B311=C311)</f>
        <v/>
      </c>
      <c r="F311" s="9">
        <f>IF(A311="","",IF(E311=FALSE,"比べると合わない",IF(D311&lt;&gt;0,"中身はずれている。比べると同じ","ずれなし")))</f>
        <v/>
      </c>
      <c r="G311" s="9">
        <f>IF(A311="","",TEXT(B311,"0.00000000000000"))</f>
        <v/>
      </c>
    </row>
    <row r="312">
      <c r="A312" s="6" t="n"/>
      <c r="B312" s="7">
        <f>IF(A312="","",N(B311)+A312)</f>
        <v/>
      </c>
      <c r="C312" s="7">
        <f>IF(A312="","",ROUND(N(C311)+A312,$H$2))</f>
        <v/>
      </c>
      <c r="D312" s="8">
        <f>IF(A312="","",(B312-C312))</f>
        <v/>
      </c>
      <c r="E312" s="9">
        <f>IF(A312="","",B312=C312)</f>
        <v/>
      </c>
      <c r="F312" s="9">
        <f>IF(A312="","",IF(E312=FALSE,"比べると合わない",IF(D312&lt;&gt;0,"中身はずれている。比べると同じ","ずれなし")))</f>
        <v/>
      </c>
      <c r="G312" s="9">
        <f>IF(A312="","",TEXT(B312,"0.00000000000000"))</f>
        <v/>
      </c>
    </row>
    <row r="313">
      <c r="A313" s="6" t="n"/>
      <c r="B313" s="7">
        <f>IF(A313="","",N(B312)+A313)</f>
        <v/>
      </c>
      <c r="C313" s="7">
        <f>IF(A313="","",ROUND(N(C312)+A313,$H$2))</f>
        <v/>
      </c>
      <c r="D313" s="8">
        <f>IF(A313="","",(B313-C313))</f>
        <v/>
      </c>
      <c r="E313" s="9">
        <f>IF(A313="","",B313=C313)</f>
        <v/>
      </c>
      <c r="F313" s="9">
        <f>IF(A313="","",IF(E313=FALSE,"比べると合わない",IF(D313&lt;&gt;0,"中身はずれている。比べると同じ","ずれなし")))</f>
        <v/>
      </c>
      <c r="G313" s="9">
        <f>IF(A313="","",TEXT(B313,"0.00000000000000"))</f>
        <v/>
      </c>
    </row>
    <row r="314">
      <c r="A314" s="6" t="n"/>
      <c r="B314" s="7">
        <f>IF(A314="","",N(B313)+A314)</f>
        <v/>
      </c>
      <c r="C314" s="7">
        <f>IF(A314="","",ROUND(N(C313)+A314,$H$2))</f>
        <v/>
      </c>
      <c r="D314" s="8">
        <f>IF(A314="","",(B314-C314))</f>
        <v/>
      </c>
      <c r="E314" s="9">
        <f>IF(A314="","",B314=C314)</f>
        <v/>
      </c>
      <c r="F314" s="9">
        <f>IF(A314="","",IF(E314=FALSE,"比べると合わない",IF(D314&lt;&gt;0,"中身はずれている。比べると同じ","ずれなし")))</f>
        <v/>
      </c>
      <c r="G314" s="9">
        <f>IF(A314="","",TEXT(B314,"0.00000000000000"))</f>
        <v/>
      </c>
    </row>
    <row r="315">
      <c r="A315" s="6" t="n"/>
      <c r="B315" s="7">
        <f>IF(A315="","",N(B314)+A315)</f>
        <v/>
      </c>
      <c r="C315" s="7">
        <f>IF(A315="","",ROUND(N(C314)+A315,$H$2))</f>
        <v/>
      </c>
      <c r="D315" s="8">
        <f>IF(A315="","",(B315-C315))</f>
        <v/>
      </c>
      <c r="E315" s="9">
        <f>IF(A315="","",B315=C315)</f>
        <v/>
      </c>
      <c r="F315" s="9">
        <f>IF(A315="","",IF(E315=FALSE,"比べると合わない",IF(D315&lt;&gt;0,"中身はずれている。比べると同じ","ずれなし")))</f>
        <v/>
      </c>
      <c r="G315" s="9">
        <f>IF(A315="","",TEXT(B315,"0.00000000000000"))</f>
        <v/>
      </c>
    </row>
    <row r="316">
      <c r="A316" s="6" t="n"/>
      <c r="B316" s="7">
        <f>IF(A316="","",N(B315)+A316)</f>
        <v/>
      </c>
      <c r="C316" s="7">
        <f>IF(A316="","",ROUND(N(C315)+A316,$H$2))</f>
        <v/>
      </c>
      <c r="D316" s="8">
        <f>IF(A316="","",(B316-C316))</f>
        <v/>
      </c>
      <c r="E316" s="9">
        <f>IF(A316="","",B316=C316)</f>
        <v/>
      </c>
      <c r="F316" s="9">
        <f>IF(A316="","",IF(E316=FALSE,"比べると合わない",IF(D316&lt;&gt;0,"中身はずれている。比べると同じ","ずれなし")))</f>
        <v/>
      </c>
      <c r="G316" s="9">
        <f>IF(A316="","",TEXT(B316,"0.00000000000000"))</f>
        <v/>
      </c>
    </row>
    <row r="317">
      <c r="A317" s="6" t="n"/>
      <c r="B317" s="7">
        <f>IF(A317="","",N(B316)+A317)</f>
        <v/>
      </c>
      <c r="C317" s="7">
        <f>IF(A317="","",ROUND(N(C316)+A317,$H$2))</f>
        <v/>
      </c>
      <c r="D317" s="8">
        <f>IF(A317="","",(B317-C317))</f>
        <v/>
      </c>
      <c r="E317" s="9">
        <f>IF(A317="","",B317=C317)</f>
        <v/>
      </c>
      <c r="F317" s="9">
        <f>IF(A317="","",IF(E317=FALSE,"比べると合わない",IF(D317&lt;&gt;0,"中身はずれている。比べると同じ","ずれなし")))</f>
        <v/>
      </c>
      <c r="G317" s="9">
        <f>IF(A317="","",TEXT(B317,"0.00000000000000"))</f>
        <v/>
      </c>
    </row>
    <row r="318">
      <c r="A318" s="6" t="n"/>
      <c r="B318" s="7">
        <f>IF(A318="","",N(B317)+A318)</f>
        <v/>
      </c>
      <c r="C318" s="7">
        <f>IF(A318="","",ROUND(N(C317)+A318,$H$2))</f>
        <v/>
      </c>
      <c r="D318" s="8">
        <f>IF(A318="","",(B318-C318))</f>
        <v/>
      </c>
      <c r="E318" s="9">
        <f>IF(A318="","",B318=C318)</f>
        <v/>
      </c>
      <c r="F318" s="9">
        <f>IF(A318="","",IF(E318=FALSE,"比べると合わない",IF(D318&lt;&gt;0,"中身はずれている。比べると同じ","ずれなし")))</f>
        <v/>
      </c>
      <c r="G318" s="9">
        <f>IF(A318="","",TEXT(B318,"0.00000000000000"))</f>
        <v/>
      </c>
    </row>
    <row r="319">
      <c r="A319" s="6" t="n"/>
      <c r="B319" s="7">
        <f>IF(A319="","",N(B318)+A319)</f>
        <v/>
      </c>
      <c r="C319" s="7">
        <f>IF(A319="","",ROUND(N(C318)+A319,$H$2))</f>
        <v/>
      </c>
      <c r="D319" s="8">
        <f>IF(A319="","",(B319-C319))</f>
        <v/>
      </c>
      <c r="E319" s="9">
        <f>IF(A319="","",B319=C319)</f>
        <v/>
      </c>
      <c r="F319" s="9">
        <f>IF(A319="","",IF(E319=FALSE,"比べると合わない",IF(D319&lt;&gt;0,"中身はずれている。比べると同じ","ずれなし")))</f>
        <v/>
      </c>
      <c r="G319" s="9">
        <f>IF(A319="","",TEXT(B319,"0.00000000000000"))</f>
        <v/>
      </c>
    </row>
    <row r="320">
      <c r="A320" s="6" t="n"/>
      <c r="B320" s="7">
        <f>IF(A320="","",N(B319)+A320)</f>
        <v/>
      </c>
      <c r="C320" s="7">
        <f>IF(A320="","",ROUND(N(C319)+A320,$H$2))</f>
        <v/>
      </c>
      <c r="D320" s="8">
        <f>IF(A320="","",(B320-C320))</f>
        <v/>
      </c>
      <c r="E320" s="9">
        <f>IF(A320="","",B320=C320)</f>
        <v/>
      </c>
      <c r="F320" s="9">
        <f>IF(A320="","",IF(E320=FALSE,"比べると合わない",IF(D320&lt;&gt;0,"中身はずれている。比べると同じ","ずれなし")))</f>
        <v/>
      </c>
      <c r="G320" s="9">
        <f>IF(A320="","",TEXT(B320,"0.00000000000000"))</f>
        <v/>
      </c>
    </row>
    <row r="321">
      <c r="A321" s="6" t="n"/>
      <c r="B321" s="7">
        <f>IF(A321="","",N(B320)+A321)</f>
        <v/>
      </c>
      <c r="C321" s="7">
        <f>IF(A321="","",ROUND(N(C320)+A321,$H$2))</f>
        <v/>
      </c>
      <c r="D321" s="8">
        <f>IF(A321="","",(B321-C321))</f>
        <v/>
      </c>
      <c r="E321" s="9">
        <f>IF(A321="","",B321=C321)</f>
        <v/>
      </c>
      <c r="F321" s="9">
        <f>IF(A321="","",IF(E321=FALSE,"比べると合わない",IF(D321&lt;&gt;0,"中身はずれている。比べると同じ","ずれなし")))</f>
        <v/>
      </c>
      <c r="G321" s="9">
        <f>IF(A321="","",TEXT(B321,"0.00000000000000"))</f>
        <v/>
      </c>
    </row>
    <row r="322">
      <c r="A322" s="6" t="n"/>
      <c r="B322" s="7">
        <f>IF(A322="","",N(B321)+A322)</f>
        <v/>
      </c>
      <c r="C322" s="7">
        <f>IF(A322="","",ROUND(N(C321)+A322,$H$2))</f>
        <v/>
      </c>
      <c r="D322" s="8">
        <f>IF(A322="","",(B322-C322))</f>
        <v/>
      </c>
      <c r="E322" s="9">
        <f>IF(A322="","",B322=C322)</f>
        <v/>
      </c>
      <c r="F322" s="9">
        <f>IF(A322="","",IF(E322=FALSE,"比べると合わない",IF(D322&lt;&gt;0,"中身はずれている。比べると同じ","ずれなし")))</f>
        <v/>
      </c>
      <c r="G322" s="9">
        <f>IF(A322="","",TEXT(B322,"0.00000000000000"))</f>
        <v/>
      </c>
    </row>
    <row r="323">
      <c r="A323" s="6" t="n"/>
      <c r="B323" s="7">
        <f>IF(A323="","",N(B322)+A323)</f>
        <v/>
      </c>
      <c r="C323" s="7">
        <f>IF(A323="","",ROUND(N(C322)+A323,$H$2))</f>
        <v/>
      </c>
      <c r="D323" s="8">
        <f>IF(A323="","",(B323-C323))</f>
        <v/>
      </c>
      <c r="E323" s="9">
        <f>IF(A323="","",B323=C323)</f>
        <v/>
      </c>
      <c r="F323" s="9">
        <f>IF(A323="","",IF(E323=FALSE,"比べると合わない",IF(D323&lt;&gt;0,"中身はずれている。比べると同じ","ずれなし")))</f>
        <v/>
      </c>
      <c r="G323" s="9">
        <f>IF(A323="","",TEXT(B323,"0.00000000000000"))</f>
        <v/>
      </c>
    </row>
    <row r="324">
      <c r="A324" s="6" t="n"/>
      <c r="B324" s="7">
        <f>IF(A324="","",N(B323)+A324)</f>
        <v/>
      </c>
      <c r="C324" s="7">
        <f>IF(A324="","",ROUND(N(C323)+A324,$H$2))</f>
        <v/>
      </c>
      <c r="D324" s="8">
        <f>IF(A324="","",(B324-C324))</f>
        <v/>
      </c>
      <c r="E324" s="9">
        <f>IF(A324="","",B324=C324)</f>
        <v/>
      </c>
      <c r="F324" s="9">
        <f>IF(A324="","",IF(E324=FALSE,"比べると合わない",IF(D324&lt;&gt;0,"中身はずれている。比べると同じ","ずれなし")))</f>
        <v/>
      </c>
      <c r="G324" s="9">
        <f>IF(A324="","",TEXT(B324,"0.00000000000000"))</f>
        <v/>
      </c>
    </row>
    <row r="325">
      <c r="A325" s="6" t="n"/>
      <c r="B325" s="7">
        <f>IF(A325="","",N(B324)+A325)</f>
        <v/>
      </c>
      <c r="C325" s="7">
        <f>IF(A325="","",ROUND(N(C324)+A325,$H$2))</f>
        <v/>
      </c>
      <c r="D325" s="8">
        <f>IF(A325="","",(B325-C325))</f>
        <v/>
      </c>
      <c r="E325" s="9">
        <f>IF(A325="","",B325=C325)</f>
        <v/>
      </c>
      <c r="F325" s="9">
        <f>IF(A325="","",IF(E325=FALSE,"比べると合わない",IF(D325&lt;&gt;0,"中身はずれている。比べると同じ","ずれなし")))</f>
        <v/>
      </c>
      <c r="G325" s="9">
        <f>IF(A325="","",TEXT(B325,"0.00000000000000"))</f>
        <v/>
      </c>
    </row>
    <row r="326">
      <c r="A326" s="6" t="n"/>
      <c r="B326" s="7">
        <f>IF(A326="","",N(B325)+A326)</f>
        <v/>
      </c>
      <c r="C326" s="7">
        <f>IF(A326="","",ROUND(N(C325)+A326,$H$2))</f>
        <v/>
      </c>
      <c r="D326" s="8">
        <f>IF(A326="","",(B326-C326))</f>
        <v/>
      </c>
      <c r="E326" s="9">
        <f>IF(A326="","",B326=C326)</f>
        <v/>
      </c>
      <c r="F326" s="9">
        <f>IF(A326="","",IF(E326=FALSE,"比べると合わない",IF(D326&lt;&gt;0,"中身はずれている。比べると同じ","ずれなし")))</f>
        <v/>
      </c>
      <c r="G326" s="9">
        <f>IF(A326="","",TEXT(B326,"0.00000000000000"))</f>
        <v/>
      </c>
    </row>
    <row r="327">
      <c r="A327" s="6" t="n"/>
      <c r="B327" s="7">
        <f>IF(A327="","",N(B326)+A327)</f>
        <v/>
      </c>
      <c r="C327" s="7">
        <f>IF(A327="","",ROUND(N(C326)+A327,$H$2))</f>
        <v/>
      </c>
      <c r="D327" s="8">
        <f>IF(A327="","",(B327-C327))</f>
        <v/>
      </c>
      <c r="E327" s="9">
        <f>IF(A327="","",B327=C327)</f>
        <v/>
      </c>
      <c r="F327" s="9">
        <f>IF(A327="","",IF(E327=FALSE,"比べると合わない",IF(D327&lt;&gt;0,"中身はずれている。比べると同じ","ずれなし")))</f>
        <v/>
      </c>
      <c r="G327" s="9">
        <f>IF(A327="","",TEXT(B327,"0.00000000000000"))</f>
        <v/>
      </c>
    </row>
    <row r="328">
      <c r="A328" s="6" t="n"/>
      <c r="B328" s="7">
        <f>IF(A328="","",N(B327)+A328)</f>
        <v/>
      </c>
      <c r="C328" s="7">
        <f>IF(A328="","",ROUND(N(C327)+A328,$H$2))</f>
        <v/>
      </c>
      <c r="D328" s="8">
        <f>IF(A328="","",(B328-C328))</f>
        <v/>
      </c>
      <c r="E328" s="9">
        <f>IF(A328="","",B328=C328)</f>
        <v/>
      </c>
      <c r="F328" s="9">
        <f>IF(A328="","",IF(E328=FALSE,"比べると合わない",IF(D328&lt;&gt;0,"中身はずれている。比べると同じ","ずれなし")))</f>
        <v/>
      </c>
      <c r="G328" s="9">
        <f>IF(A328="","",TEXT(B328,"0.00000000000000"))</f>
        <v/>
      </c>
    </row>
    <row r="329">
      <c r="A329" s="6" t="n"/>
      <c r="B329" s="7">
        <f>IF(A329="","",N(B328)+A329)</f>
        <v/>
      </c>
      <c r="C329" s="7">
        <f>IF(A329="","",ROUND(N(C328)+A329,$H$2))</f>
        <v/>
      </c>
      <c r="D329" s="8">
        <f>IF(A329="","",(B329-C329))</f>
        <v/>
      </c>
      <c r="E329" s="9">
        <f>IF(A329="","",B329=C329)</f>
        <v/>
      </c>
      <c r="F329" s="9">
        <f>IF(A329="","",IF(E329=FALSE,"比べると合わない",IF(D329&lt;&gt;0,"中身はずれている。比べると同じ","ずれなし")))</f>
        <v/>
      </c>
      <c r="G329" s="9">
        <f>IF(A329="","",TEXT(B329,"0.00000000000000"))</f>
        <v/>
      </c>
    </row>
    <row r="330">
      <c r="A330" s="6" t="n"/>
      <c r="B330" s="7">
        <f>IF(A330="","",N(B329)+A330)</f>
        <v/>
      </c>
      <c r="C330" s="7">
        <f>IF(A330="","",ROUND(N(C329)+A330,$H$2))</f>
        <v/>
      </c>
      <c r="D330" s="8">
        <f>IF(A330="","",(B330-C330))</f>
        <v/>
      </c>
      <c r="E330" s="9">
        <f>IF(A330="","",B330=C330)</f>
        <v/>
      </c>
      <c r="F330" s="9">
        <f>IF(A330="","",IF(E330=FALSE,"比べると合わない",IF(D330&lt;&gt;0,"中身はずれている。比べると同じ","ずれなし")))</f>
        <v/>
      </c>
      <c r="G330" s="9">
        <f>IF(A330="","",TEXT(B330,"0.00000000000000"))</f>
        <v/>
      </c>
    </row>
    <row r="331">
      <c r="A331" s="6" t="n"/>
      <c r="B331" s="7">
        <f>IF(A331="","",N(B330)+A331)</f>
        <v/>
      </c>
      <c r="C331" s="7">
        <f>IF(A331="","",ROUND(N(C330)+A331,$H$2))</f>
        <v/>
      </c>
      <c r="D331" s="8">
        <f>IF(A331="","",(B331-C331))</f>
        <v/>
      </c>
      <c r="E331" s="9">
        <f>IF(A331="","",B331=C331)</f>
        <v/>
      </c>
      <c r="F331" s="9">
        <f>IF(A331="","",IF(E331=FALSE,"比べると合わない",IF(D331&lt;&gt;0,"中身はずれている。比べると同じ","ずれなし")))</f>
        <v/>
      </c>
      <c r="G331" s="9">
        <f>IF(A331="","",TEXT(B331,"0.00000000000000"))</f>
        <v/>
      </c>
    </row>
    <row r="332">
      <c r="A332" s="6" t="n"/>
      <c r="B332" s="7">
        <f>IF(A332="","",N(B331)+A332)</f>
        <v/>
      </c>
      <c r="C332" s="7">
        <f>IF(A332="","",ROUND(N(C331)+A332,$H$2))</f>
        <v/>
      </c>
      <c r="D332" s="8">
        <f>IF(A332="","",(B332-C332))</f>
        <v/>
      </c>
      <c r="E332" s="9">
        <f>IF(A332="","",B332=C332)</f>
        <v/>
      </c>
      <c r="F332" s="9">
        <f>IF(A332="","",IF(E332=FALSE,"比べると合わない",IF(D332&lt;&gt;0,"中身はずれている。比べると同じ","ずれなし")))</f>
        <v/>
      </c>
      <c r="G332" s="9">
        <f>IF(A332="","",TEXT(B332,"0.00000000000000"))</f>
        <v/>
      </c>
    </row>
    <row r="333">
      <c r="A333" s="6" t="n"/>
      <c r="B333" s="7">
        <f>IF(A333="","",N(B332)+A333)</f>
        <v/>
      </c>
      <c r="C333" s="7">
        <f>IF(A333="","",ROUND(N(C332)+A333,$H$2))</f>
        <v/>
      </c>
      <c r="D333" s="8">
        <f>IF(A333="","",(B333-C333))</f>
        <v/>
      </c>
      <c r="E333" s="9">
        <f>IF(A333="","",B333=C333)</f>
        <v/>
      </c>
      <c r="F333" s="9">
        <f>IF(A333="","",IF(E333=FALSE,"比べると合わない",IF(D333&lt;&gt;0,"中身はずれている。比べると同じ","ずれなし")))</f>
        <v/>
      </c>
      <c r="G333" s="9">
        <f>IF(A333="","",TEXT(B333,"0.00000000000000"))</f>
        <v/>
      </c>
    </row>
    <row r="334">
      <c r="A334" s="6" t="n"/>
      <c r="B334" s="7">
        <f>IF(A334="","",N(B333)+A334)</f>
        <v/>
      </c>
      <c r="C334" s="7">
        <f>IF(A334="","",ROUND(N(C333)+A334,$H$2))</f>
        <v/>
      </c>
      <c r="D334" s="8">
        <f>IF(A334="","",(B334-C334))</f>
        <v/>
      </c>
      <c r="E334" s="9">
        <f>IF(A334="","",B334=C334)</f>
        <v/>
      </c>
      <c r="F334" s="9">
        <f>IF(A334="","",IF(E334=FALSE,"比べると合わない",IF(D334&lt;&gt;0,"中身はずれている。比べると同じ","ずれなし")))</f>
        <v/>
      </c>
      <c r="G334" s="9">
        <f>IF(A334="","",TEXT(B334,"0.00000000000000"))</f>
        <v/>
      </c>
    </row>
    <row r="335">
      <c r="A335" s="6" t="n"/>
      <c r="B335" s="7">
        <f>IF(A335="","",N(B334)+A335)</f>
        <v/>
      </c>
      <c r="C335" s="7">
        <f>IF(A335="","",ROUND(N(C334)+A335,$H$2))</f>
        <v/>
      </c>
      <c r="D335" s="8">
        <f>IF(A335="","",(B335-C335))</f>
        <v/>
      </c>
      <c r="E335" s="9">
        <f>IF(A335="","",B335=C335)</f>
        <v/>
      </c>
      <c r="F335" s="9">
        <f>IF(A335="","",IF(E335=FALSE,"比べると合わない",IF(D335&lt;&gt;0,"中身はずれている。比べると同じ","ずれなし")))</f>
        <v/>
      </c>
      <c r="G335" s="9">
        <f>IF(A335="","",TEXT(B335,"0.00000000000000"))</f>
        <v/>
      </c>
    </row>
    <row r="336">
      <c r="A336" s="6" t="n"/>
      <c r="B336" s="7">
        <f>IF(A336="","",N(B335)+A336)</f>
        <v/>
      </c>
      <c r="C336" s="7">
        <f>IF(A336="","",ROUND(N(C335)+A336,$H$2))</f>
        <v/>
      </c>
      <c r="D336" s="8">
        <f>IF(A336="","",(B336-C336))</f>
        <v/>
      </c>
      <c r="E336" s="9">
        <f>IF(A336="","",B336=C336)</f>
        <v/>
      </c>
      <c r="F336" s="9">
        <f>IF(A336="","",IF(E336=FALSE,"比べると合わない",IF(D336&lt;&gt;0,"中身はずれている。比べると同じ","ずれなし")))</f>
        <v/>
      </c>
      <c r="G336" s="9">
        <f>IF(A336="","",TEXT(B336,"0.00000000000000"))</f>
        <v/>
      </c>
    </row>
    <row r="337">
      <c r="A337" s="6" t="n"/>
      <c r="B337" s="7">
        <f>IF(A337="","",N(B336)+A337)</f>
        <v/>
      </c>
      <c r="C337" s="7">
        <f>IF(A337="","",ROUND(N(C336)+A337,$H$2))</f>
        <v/>
      </c>
      <c r="D337" s="8">
        <f>IF(A337="","",(B337-C337))</f>
        <v/>
      </c>
      <c r="E337" s="9">
        <f>IF(A337="","",B337=C337)</f>
        <v/>
      </c>
      <c r="F337" s="9">
        <f>IF(A337="","",IF(E337=FALSE,"比べると合わない",IF(D337&lt;&gt;0,"中身はずれている。比べると同じ","ずれなし")))</f>
        <v/>
      </c>
      <c r="G337" s="9">
        <f>IF(A337="","",TEXT(B337,"0.00000000000000"))</f>
        <v/>
      </c>
    </row>
    <row r="338">
      <c r="A338" s="6" t="n"/>
      <c r="B338" s="7">
        <f>IF(A338="","",N(B337)+A338)</f>
        <v/>
      </c>
      <c r="C338" s="7">
        <f>IF(A338="","",ROUND(N(C337)+A338,$H$2))</f>
        <v/>
      </c>
      <c r="D338" s="8">
        <f>IF(A338="","",(B338-C338))</f>
        <v/>
      </c>
      <c r="E338" s="9">
        <f>IF(A338="","",B338=C338)</f>
        <v/>
      </c>
      <c r="F338" s="9">
        <f>IF(A338="","",IF(E338=FALSE,"比べると合わない",IF(D338&lt;&gt;0,"中身はずれている。比べると同じ","ずれなし")))</f>
        <v/>
      </c>
      <c r="G338" s="9">
        <f>IF(A338="","",TEXT(B338,"0.00000000000000"))</f>
        <v/>
      </c>
    </row>
    <row r="339">
      <c r="A339" s="6" t="n"/>
      <c r="B339" s="7">
        <f>IF(A339="","",N(B338)+A339)</f>
        <v/>
      </c>
      <c r="C339" s="7">
        <f>IF(A339="","",ROUND(N(C338)+A339,$H$2))</f>
        <v/>
      </c>
      <c r="D339" s="8">
        <f>IF(A339="","",(B339-C339))</f>
        <v/>
      </c>
      <c r="E339" s="9">
        <f>IF(A339="","",B339=C339)</f>
        <v/>
      </c>
      <c r="F339" s="9">
        <f>IF(A339="","",IF(E339=FALSE,"比べると合わない",IF(D339&lt;&gt;0,"中身はずれている。比べると同じ","ずれなし")))</f>
        <v/>
      </c>
      <c r="G339" s="9">
        <f>IF(A339="","",TEXT(B339,"0.00000000000000"))</f>
        <v/>
      </c>
    </row>
    <row r="340">
      <c r="A340" s="6" t="n"/>
      <c r="B340" s="7">
        <f>IF(A340="","",N(B339)+A340)</f>
        <v/>
      </c>
      <c r="C340" s="7">
        <f>IF(A340="","",ROUND(N(C339)+A340,$H$2))</f>
        <v/>
      </c>
      <c r="D340" s="8">
        <f>IF(A340="","",(B340-C340))</f>
        <v/>
      </c>
      <c r="E340" s="9">
        <f>IF(A340="","",B340=C340)</f>
        <v/>
      </c>
      <c r="F340" s="9">
        <f>IF(A340="","",IF(E340=FALSE,"比べると合わない",IF(D340&lt;&gt;0,"中身はずれている。比べると同じ","ずれなし")))</f>
        <v/>
      </c>
      <c r="G340" s="9">
        <f>IF(A340="","",TEXT(B340,"0.00000000000000"))</f>
        <v/>
      </c>
    </row>
    <row r="341">
      <c r="A341" s="6" t="n"/>
      <c r="B341" s="7">
        <f>IF(A341="","",N(B340)+A341)</f>
        <v/>
      </c>
      <c r="C341" s="7">
        <f>IF(A341="","",ROUND(N(C340)+A341,$H$2))</f>
        <v/>
      </c>
      <c r="D341" s="8">
        <f>IF(A341="","",(B341-C341))</f>
        <v/>
      </c>
      <c r="E341" s="9">
        <f>IF(A341="","",B341=C341)</f>
        <v/>
      </c>
      <c r="F341" s="9">
        <f>IF(A341="","",IF(E341=FALSE,"比べると合わない",IF(D341&lt;&gt;0,"中身はずれている。比べると同じ","ずれなし")))</f>
        <v/>
      </c>
      <c r="G341" s="9">
        <f>IF(A341="","",TEXT(B341,"0.00000000000000"))</f>
        <v/>
      </c>
    </row>
    <row r="342">
      <c r="A342" s="6" t="n"/>
      <c r="B342" s="7">
        <f>IF(A342="","",N(B341)+A342)</f>
        <v/>
      </c>
      <c r="C342" s="7">
        <f>IF(A342="","",ROUND(N(C341)+A342,$H$2))</f>
        <v/>
      </c>
      <c r="D342" s="8">
        <f>IF(A342="","",(B342-C342))</f>
        <v/>
      </c>
      <c r="E342" s="9">
        <f>IF(A342="","",B342=C342)</f>
        <v/>
      </c>
      <c r="F342" s="9">
        <f>IF(A342="","",IF(E342=FALSE,"比べると合わない",IF(D342&lt;&gt;0,"中身はずれている。比べると同じ","ずれなし")))</f>
        <v/>
      </c>
      <c r="G342" s="9">
        <f>IF(A342="","",TEXT(B342,"0.00000000000000"))</f>
        <v/>
      </c>
    </row>
    <row r="343">
      <c r="A343" s="6" t="n"/>
      <c r="B343" s="7">
        <f>IF(A343="","",N(B342)+A343)</f>
        <v/>
      </c>
      <c r="C343" s="7">
        <f>IF(A343="","",ROUND(N(C342)+A343,$H$2))</f>
        <v/>
      </c>
      <c r="D343" s="8">
        <f>IF(A343="","",(B343-C343))</f>
        <v/>
      </c>
      <c r="E343" s="9">
        <f>IF(A343="","",B343=C343)</f>
        <v/>
      </c>
      <c r="F343" s="9">
        <f>IF(A343="","",IF(E343=FALSE,"比べると合わない",IF(D343&lt;&gt;0,"中身はずれている。比べると同じ","ずれなし")))</f>
        <v/>
      </c>
      <c r="G343" s="9">
        <f>IF(A343="","",TEXT(B343,"0.00000000000000"))</f>
        <v/>
      </c>
    </row>
    <row r="344">
      <c r="A344" s="6" t="n"/>
      <c r="B344" s="7">
        <f>IF(A344="","",N(B343)+A344)</f>
        <v/>
      </c>
      <c r="C344" s="7">
        <f>IF(A344="","",ROUND(N(C343)+A344,$H$2))</f>
        <v/>
      </c>
      <c r="D344" s="8">
        <f>IF(A344="","",(B344-C344))</f>
        <v/>
      </c>
      <c r="E344" s="9">
        <f>IF(A344="","",B344=C344)</f>
        <v/>
      </c>
      <c r="F344" s="9">
        <f>IF(A344="","",IF(E344=FALSE,"比べると合わない",IF(D344&lt;&gt;0,"中身はずれている。比べると同じ","ずれなし")))</f>
        <v/>
      </c>
      <c r="G344" s="9">
        <f>IF(A344="","",TEXT(B344,"0.00000000000000"))</f>
        <v/>
      </c>
    </row>
    <row r="345">
      <c r="A345" s="6" t="n"/>
      <c r="B345" s="7">
        <f>IF(A345="","",N(B344)+A345)</f>
        <v/>
      </c>
      <c r="C345" s="7">
        <f>IF(A345="","",ROUND(N(C344)+A345,$H$2))</f>
        <v/>
      </c>
      <c r="D345" s="8">
        <f>IF(A345="","",(B345-C345))</f>
        <v/>
      </c>
      <c r="E345" s="9">
        <f>IF(A345="","",B345=C345)</f>
        <v/>
      </c>
      <c r="F345" s="9">
        <f>IF(A345="","",IF(E345=FALSE,"比べると合わない",IF(D345&lt;&gt;0,"中身はずれている。比べると同じ","ずれなし")))</f>
        <v/>
      </c>
      <c r="G345" s="9">
        <f>IF(A345="","",TEXT(B345,"0.00000000000000"))</f>
        <v/>
      </c>
    </row>
    <row r="346">
      <c r="A346" s="6" t="n"/>
      <c r="B346" s="7">
        <f>IF(A346="","",N(B345)+A346)</f>
        <v/>
      </c>
      <c r="C346" s="7">
        <f>IF(A346="","",ROUND(N(C345)+A346,$H$2))</f>
        <v/>
      </c>
      <c r="D346" s="8">
        <f>IF(A346="","",(B346-C346))</f>
        <v/>
      </c>
      <c r="E346" s="9">
        <f>IF(A346="","",B346=C346)</f>
        <v/>
      </c>
      <c r="F346" s="9">
        <f>IF(A346="","",IF(E346=FALSE,"比べると合わない",IF(D346&lt;&gt;0,"中身はずれている。比べると同じ","ずれなし")))</f>
        <v/>
      </c>
      <c r="G346" s="9">
        <f>IF(A346="","",TEXT(B346,"0.00000000000000"))</f>
        <v/>
      </c>
    </row>
    <row r="347">
      <c r="A347" s="6" t="n"/>
      <c r="B347" s="7">
        <f>IF(A347="","",N(B346)+A347)</f>
        <v/>
      </c>
      <c r="C347" s="7">
        <f>IF(A347="","",ROUND(N(C346)+A347,$H$2))</f>
        <v/>
      </c>
      <c r="D347" s="8">
        <f>IF(A347="","",(B347-C347))</f>
        <v/>
      </c>
      <c r="E347" s="9">
        <f>IF(A347="","",B347=C347)</f>
        <v/>
      </c>
      <c r="F347" s="9">
        <f>IF(A347="","",IF(E347=FALSE,"比べると合わない",IF(D347&lt;&gt;0,"中身はずれている。比べると同じ","ずれなし")))</f>
        <v/>
      </c>
      <c r="G347" s="9">
        <f>IF(A347="","",TEXT(B347,"0.00000000000000"))</f>
        <v/>
      </c>
    </row>
    <row r="348">
      <c r="A348" s="6" t="n"/>
      <c r="B348" s="7">
        <f>IF(A348="","",N(B347)+A348)</f>
        <v/>
      </c>
      <c r="C348" s="7">
        <f>IF(A348="","",ROUND(N(C347)+A348,$H$2))</f>
        <v/>
      </c>
      <c r="D348" s="8">
        <f>IF(A348="","",(B348-C348))</f>
        <v/>
      </c>
      <c r="E348" s="9">
        <f>IF(A348="","",B348=C348)</f>
        <v/>
      </c>
      <c r="F348" s="9">
        <f>IF(A348="","",IF(E348=FALSE,"比べると合わない",IF(D348&lt;&gt;0,"中身はずれている。比べると同じ","ずれなし")))</f>
        <v/>
      </c>
      <c r="G348" s="9">
        <f>IF(A348="","",TEXT(B348,"0.00000000000000"))</f>
        <v/>
      </c>
    </row>
    <row r="349">
      <c r="A349" s="6" t="n"/>
      <c r="B349" s="7">
        <f>IF(A349="","",N(B348)+A349)</f>
        <v/>
      </c>
      <c r="C349" s="7">
        <f>IF(A349="","",ROUND(N(C348)+A349,$H$2))</f>
        <v/>
      </c>
      <c r="D349" s="8">
        <f>IF(A349="","",(B349-C349))</f>
        <v/>
      </c>
      <c r="E349" s="9">
        <f>IF(A349="","",B349=C349)</f>
        <v/>
      </c>
      <c r="F349" s="9">
        <f>IF(A349="","",IF(E349=FALSE,"比べると合わない",IF(D349&lt;&gt;0,"中身はずれている。比べると同じ","ずれなし")))</f>
        <v/>
      </c>
      <c r="G349" s="9">
        <f>IF(A349="","",TEXT(B349,"0.00000000000000"))</f>
        <v/>
      </c>
    </row>
    <row r="350">
      <c r="A350" s="6" t="n"/>
      <c r="B350" s="7">
        <f>IF(A350="","",N(B349)+A350)</f>
        <v/>
      </c>
      <c r="C350" s="7">
        <f>IF(A350="","",ROUND(N(C349)+A350,$H$2))</f>
        <v/>
      </c>
      <c r="D350" s="8">
        <f>IF(A350="","",(B350-C350))</f>
        <v/>
      </c>
      <c r="E350" s="9">
        <f>IF(A350="","",B350=C350)</f>
        <v/>
      </c>
      <c r="F350" s="9">
        <f>IF(A350="","",IF(E350=FALSE,"比べると合わない",IF(D350&lt;&gt;0,"中身はずれている。比べると同じ","ずれなし")))</f>
        <v/>
      </c>
      <c r="G350" s="9">
        <f>IF(A350="","",TEXT(B350,"0.00000000000000"))</f>
        <v/>
      </c>
    </row>
    <row r="351">
      <c r="A351" s="6" t="n"/>
      <c r="B351" s="7">
        <f>IF(A351="","",N(B350)+A351)</f>
        <v/>
      </c>
      <c r="C351" s="7">
        <f>IF(A351="","",ROUND(N(C350)+A351,$H$2))</f>
        <v/>
      </c>
      <c r="D351" s="8">
        <f>IF(A351="","",(B351-C351))</f>
        <v/>
      </c>
      <c r="E351" s="9">
        <f>IF(A351="","",B351=C351)</f>
        <v/>
      </c>
      <c r="F351" s="9">
        <f>IF(A351="","",IF(E351=FALSE,"比べると合わない",IF(D351&lt;&gt;0,"中身はずれている。比べると同じ","ずれなし")))</f>
        <v/>
      </c>
      <c r="G351" s="9">
        <f>IF(A351="","",TEXT(B351,"0.00000000000000"))</f>
        <v/>
      </c>
    </row>
    <row r="352">
      <c r="A352" s="6" t="n"/>
      <c r="B352" s="7">
        <f>IF(A352="","",N(B351)+A352)</f>
        <v/>
      </c>
      <c r="C352" s="7">
        <f>IF(A352="","",ROUND(N(C351)+A352,$H$2))</f>
        <v/>
      </c>
      <c r="D352" s="8">
        <f>IF(A352="","",(B352-C352))</f>
        <v/>
      </c>
      <c r="E352" s="9">
        <f>IF(A352="","",B352=C352)</f>
        <v/>
      </c>
      <c r="F352" s="9">
        <f>IF(A352="","",IF(E352=FALSE,"比べると合わない",IF(D352&lt;&gt;0,"中身はずれている。比べると同じ","ずれなし")))</f>
        <v/>
      </c>
      <c r="G352" s="9">
        <f>IF(A352="","",TEXT(B352,"0.00000000000000"))</f>
        <v/>
      </c>
    </row>
    <row r="353">
      <c r="A353" s="6" t="n"/>
      <c r="B353" s="7">
        <f>IF(A353="","",N(B352)+A353)</f>
        <v/>
      </c>
      <c r="C353" s="7">
        <f>IF(A353="","",ROUND(N(C352)+A353,$H$2))</f>
        <v/>
      </c>
      <c r="D353" s="8">
        <f>IF(A353="","",(B353-C353))</f>
        <v/>
      </c>
      <c r="E353" s="9">
        <f>IF(A353="","",B353=C353)</f>
        <v/>
      </c>
      <c r="F353" s="9">
        <f>IF(A353="","",IF(E353=FALSE,"比べると合わない",IF(D353&lt;&gt;0,"中身はずれている。比べると同じ","ずれなし")))</f>
        <v/>
      </c>
      <c r="G353" s="9">
        <f>IF(A353="","",TEXT(B353,"0.00000000000000"))</f>
        <v/>
      </c>
    </row>
    <row r="354">
      <c r="A354" s="6" t="n"/>
      <c r="B354" s="7">
        <f>IF(A354="","",N(B353)+A354)</f>
        <v/>
      </c>
      <c r="C354" s="7">
        <f>IF(A354="","",ROUND(N(C353)+A354,$H$2))</f>
        <v/>
      </c>
      <c r="D354" s="8">
        <f>IF(A354="","",(B354-C354))</f>
        <v/>
      </c>
      <c r="E354" s="9">
        <f>IF(A354="","",B354=C354)</f>
        <v/>
      </c>
      <c r="F354" s="9">
        <f>IF(A354="","",IF(E354=FALSE,"比べると合わない",IF(D354&lt;&gt;0,"中身はずれている。比べると同じ","ずれなし")))</f>
        <v/>
      </c>
      <c r="G354" s="9">
        <f>IF(A354="","",TEXT(B354,"0.00000000000000"))</f>
        <v/>
      </c>
    </row>
    <row r="355">
      <c r="A355" s="6" t="n"/>
      <c r="B355" s="7">
        <f>IF(A355="","",N(B354)+A355)</f>
        <v/>
      </c>
      <c r="C355" s="7">
        <f>IF(A355="","",ROUND(N(C354)+A355,$H$2))</f>
        <v/>
      </c>
      <c r="D355" s="8">
        <f>IF(A355="","",(B355-C355))</f>
        <v/>
      </c>
      <c r="E355" s="9">
        <f>IF(A355="","",B355=C355)</f>
        <v/>
      </c>
      <c r="F355" s="9">
        <f>IF(A355="","",IF(E355=FALSE,"比べると合わない",IF(D355&lt;&gt;0,"中身はずれている。比べると同じ","ずれなし")))</f>
        <v/>
      </c>
      <c r="G355" s="9">
        <f>IF(A355="","",TEXT(B355,"0.00000000000000"))</f>
        <v/>
      </c>
    </row>
    <row r="356">
      <c r="A356" s="6" t="n"/>
      <c r="B356" s="7">
        <f>IF(A356="","",N(B355)+A356)</f>
        <v/>
      </c>
      <c r="C356" s="7">
        <f>IF(A356="","",ROUND(N(C355)+A356,$H$2))</f>
        <v/>
      </c>
      <c r="D356" s="8">
        <f>IF(A356="","",(B356-C356))</f>
        <v/>
      </c>
      <c r="E356" s="9">
        <f>IF(A356="","",B356=C356)</f>
        <v/>
      </c>
      <c r="F356" s="9">
        <f>IF(A356="","",IF(E356=FALSE,"比べると合わない",IF(D356&lt;&gt;0,"中身はずれている。比べると同じ","ずれなし")))</f>
        <v/>
      </c>
      <c r="G356" s="9">
        <f>IF(A356="","",TEXT(B356,"0.00000000000000"))</f>
        <v/>
      </c>
    </row>
    <row r="357">
      <c r="A357" s="6" t="n"/>
      <c r="B357" s="7">
        <f>IF(A357="","",N(B356)+A357)</f>
        <v/>
      </c>
      <c r="C357" s="7">
        <f>IF(A357="","",ROUND(N(C356)+A357,$H$2))</f>
        <v/>
      </c>
      <c r="D357" s="8">
        <f>IF(A357="","",(B357-C357))</f>
        <v/>
      </c>
      <c r="E357" s="9">
        <f>IF(A357="","",B357=C357)</f>
        <v/>
      </c>
      <c r="F357" s="9">
        <f>IF(A357="","",IF(E357=FALSE,"比べると合わない",IF(D357&lt;&gt;0,"中身はずれている。比べると同じ","ずれなし")))</f>
        <v/>
      </c>
      <c r="G357" s="9">
        <f>IF(A357="","",TEXT(B357,"0.00000000000000"))</f>
        <v/>
      </c>
    </row>
    <row r="358">
      <c r="A358" s="6" t="n"/>
      <c r="B358" s="7">
        <f>IF(A358="","",N(B357)+A358)</f>
        <v/>
      </c>
      <c r="C358" s="7">
        <f>IF(A358="","",ROUND(N(C357)+A358,$H$2))</f>
        <v/>
      </c>
      <c r="D358" s="8">
        <f>IF(A358="","",(B358-C358))</f>
        <v/>
      </c>
      <c r="E358" s="9">
        <f>IF(A358="","",B358=C358)</f>
        <v/>
      </c>
      <c r="F358" s="9">
        <f>IF(A358="","",IF(E358=FALSE,"比べると合わない",IF(D358&lt;&gt;0,"中身はずれている。比べると同じ","ずれなし")))</f>
        <v/>
      </c>
      <c r="G358" s="9">
        <f>IF(A358="","",TEXT(B358,"0.00000000000000"))</f>
        <v/>
      </c>
    </row>
    <row r="359">
      <c r="A359" s="6" t="n"/>
      <c r="B359" s="7">
        <f>IF(A359="","",N(B358)+A359)</f>
        <v/>
      </c>
      <c r="C359" s="7">
        <f>IF(A359="","",ROUND(N(C358)+A359,$H$2))</f>
        <v/>
      </c>
      <c r="D359" s="8">
        <f>IF(A359="","",(B359-C359))</f>
        <v/>
      </c>
      <c r="E359" s="9">
        <f>IF(A359="","",B359=C359)</f>
        <v/>
      </c>
      <c r="F359" s="9">
        <f>IF(A359="","",IF(E359=FALSE,"比べると合わない",IF(D359&lt;&gt;0,"中身はずれている。比べると同じ","ずれなし")))</f>
        <v/>
      </c>
      <c r="G359" s="9">
        <f>IF(A359="","",TEXT(B359,"0.00000000000000"))</f>
        <v/>
      </c>
    </row>
    <row r="360">
      <c r="A360" s="6" t="n"/>
      <c r="B360" s="7">
        <f>IF(A360="","",N(B359)+A360)</f>
        <v/>
      </c>
      <c r="C360" s="7">
        <f>IF(A360="","",ROUND(N(C359)+A360,$H$2))</f>
        <v/>
      </c>
      <c r="D360" s="8">
        <f>IF(A360="","",(B360-C360))</f>
        <v/>
      </c>
      <c r="E360" s="9">
        <f>IF(A360="","",B360=C360)</f>
        <v/>
      </c>
      <c r="F360" s="9">
        <f>IF(A360="","",IF(E360=FALSE,"比べると合わない",IF(D360&lt;&gt;0,"中身はずれている。比べると同じ","ずれなし")))</f>
        <v/>
      </c>
      <c r="G360" s="9">
        <f>IF(A360="","",TEXT(B360,"0.00000000000000"))</f>
        <v/>
      </c>
    </row>
    <row r="361">
      <c r="A361" s="6" t="n"/>
      <c r="B361" s="7">
        <f>IF(A361="","",N(B360)+A361)</f>
        <v/>
      </c>
      <c r="C361" s="7">
        <f>IF(A361="","",ROUND(N(C360)+A361,$H$2))</f>
        <v/>
      </c>
      <c r="D361" s="8">
        <f>IF(A361="","",(B361-C361))</f>
        <v/>
      </c>
      <c r="E361" s="9">
        <f>IF(A361="","",B361=C361)</f>
        <v/>
      </c>
      <c r="F361" s="9">
        <f>IF(A361="","",IF(E361=FALSE,"比べると合わない",IF(D361&lt;&gt;0,"中身はずれている。比べると同じ","ずれなし")))</f>
        <v/>
      </c>
      <c r="G361" s="9">
        <f>IF(A361="","",TEXT(B361,"0.00000000000000"))</f>
        <v/>
      </c>
    </row>
    <row r="362">
      <c r="A362" s="6" t="n"/>
      <c r="B362" s="7">
        <f>IF(A362="","",N(B361)+A362)</f>
        <v/>
      </c>
      <c r="C362" s="7">
        <f>IF(A362="","",ROUND(N(C361)+A362,$H$2))</f>
        <v/>
      </c>
      <c r="D362" s="8">
        <f>IF(A362="","",(B362-C362))</f>
        <v/>
      </c>
      <c r="E362" s="9">
        <f>IF(A362="","",B362=C362)</f>
        <v/>
      </c>
      <c r="F362" s="9">
        <f>IF(A362="","",IF(E362=FALSE,"比べると合わない",IF(D362&lt;&gt;0,"中身はずれている。比べると同じ","ずれなし")))</f>
        <v/>
      </c>
      <c r="G362" s="9">
        <f>IF(A362="","",TEXT(B362,"0.00000000000000"))</f>
        <v/>
      </c>
    </row>
    <row r="363">
      <c r="A363" s="6" t="n"/>
      <c r="B363" s="7">
        <f>IF(A363="","",N(B362)+A363)</f>
        <v/>
      </c>
      <c r="C363" s="7">
        <f>IF(A363="","",ROUND(N(C362)+A363,$H$2))</f>
        <v/>
      </c>
      <c r="D363" s="8">
        <f>IF(A363="","",(B363-C363))</f>
        <v/>
      </c>
      <c r="E363" s="9">
        <f>IF(A363="","",B363=C363)</f>
        <v/>
      </c>
      <c r="F363" s="9">
        <f>IF(A363="","",IF(E363=FALSE,"比べると合わない",IF(D363&lt;&gt;0,"中身はずれている。比べると同じ","ずれなし")))</f>
        <v/>
      </c>
      <c r="G363" s="9">
        <f>IF(A363="","",TEXT(B363,"0.00000000000000"))</f>
        <v/>
      </c>
    </row>
    <row r="364">
      <c r="A364" s="6" t="n"/>
      <c r="B364" s="7">
        <f>IF(A364="","",N(B363)+A364)</f>
        <v/>
      </c>
      <c r="C364" s="7">
        <f>IF(A364="","",ROUND(N(C363)+A364,$H$2))</f>
        <v/>
      </c>
      <c r="D364" s="8">
        <f>IF(A364="","",(B364-C364))</f>
        <v/>
      </c>
      <c r="E364" s="9">
        <f>IF(A364="","",B364=C364)</f>
        <v/>
      </c>
      <c r="F364" s="9">
        <f>IF(A364="","",IF(E364=FALSE,"比べると合わない",IF(D364&lt;&gt;0,"中身はずれている。比べると同じ","ずれなし")))</f>
        <v/>
      </c>
      <c r="G364" s="9">
        <f>IF(A364="","",TEXT(B364,"0.00000000000000"))</f>
        <v/>
      </c>
    </row>
    <row r="365">
      <c r="A365" s="6" t="n"/>
      <c r="B365" s="7">
        <f>IF(A365="","",N(B364)+A365)</f>
        <v/>
      </c>
      <c r="C365" s="7">
        <f>IF(A365="","",ROUND(N(C364)+A365,$H$2))</f>
        <v/>
      </c>
      <c r="D365" s="8">
        <f>IF(A365="","",(B365-C365))</f>
        <v/>
      </c>
      <c r="E365" s="9">
        <f>IF(A365="","",B365=C365)</f>
        <v/>
      </c>
      <c r="F365" s="9">
        <f>IF(A365="","",IF(E365=FALSE,"比べると合わない",IF(D365&lt;&gt;0,"中身はずれている。比べると同じ","ずれなし")))</f>
        <v/>
      </c>
      <c r="G365" s="9">
        <f>IF(A365="","",TEXT(B365,"0.00000000000000"))</f>
        <v/>
      </c>
    </row>
    <row r="366">
      <c r="A366" s="6" t="n"/>
      <c r="B366" s="7">
        <f>IF(A366="","",N(B365)+A366)</f>
        <v/>
      </c>
      <c r="C366" s="7">
        <f>IF(A366="","",ROUND(N(C365)+A366,$H$2))</f>
        <v/>
      </c>
      <c r="D366" s="8">
        <f>IF(A366="","",(B366-C366))</f>
        <v/>
      </c>
      <c r="E366" s="9">
        <f>IF(A366="","",B366=C366)</f>
        <v/>
      </c>
      <c r="F366" s="9">
        <f>IF(A366="","",IF(E366=FALSE,"比べると合わない",IF(D366&lt;&gt;0,"中身はずれている。比べると同じ","ずれなし")))</f>
        <v/>
      </c>
      <c r="G366" s="9">
        <f>IF(A366="","",TEXT(B366,"0.00000000000000"))</f>
        <v/>
      </c>
    </row>
    <row r="367">
      <c r="A367" s="6" t="n"/>
      <c r="B367" s="7">
        <f>IF(A367="","",N(B366)+A367)</f>
        <v/>
      </c>
      <c r="C367" s="7">
        <f>IF(A367="","",ROUND(N(C366)+A367,$H$2))</f>
        <v/>
      </c>
      <c r="D367" s="8">
        <f>IF(A367="","",(B367-C367))</f>
        <v/>
      </c>
      <c r="E367" s="9">
        <f>IF(A367="","",B367=C367)</f>
        <v/>
      </c>
      <c r="F367" s="9">
        <f>IF(A367="","",IF(E367=FALSE,"比べると合わない",IF(D367&lt;&gt;0,"中身はずれている。比べると同じ","ずれなし")))</f>
        <v/>
      </c>
      <c r="G367" s="9">
        <f>IF(A367="","",TEXT(B367,"0.00000000000000"))</f>
        <v/>
      </c>
    </row>
    <row r="368">
      <c r="A368" s="6" t="n"/>
      <c r="B368" s="7">
        <f>IF(A368="","",N(B367)+A368)</f>
        <v/>
      </c>
      <c r="C368" s="7">
        <f>IF(A368="","",ROUND(N(C367)+A368,$H$2))</f>
        <v/>
      </c>
      <c r="D368" s="8">
        <f>IF(A368="","",(B368-C368))</f>
        <v/>
      </c>
      <c r="E368" s="9">
        <f>IF(A368="","",B368=C368)</f>
        <v/>
      </c>
      <c r="F368" s="9">
        <f>IF(A368="","",IF(E368=FALSE,"比べると合わない",IF(D368&lt;&gt;0,"中身はずれている。比べると同じ","ずれなし")))</f>
        <v/>
      </c>
      <c r="G368" s="9">
        <f>IF(A368="","",TEXT(B368,"0.00000000000000"))</f>
        <v/>
      </c>
    </row>
    <row r="369">
      <c r="A369" s="6" t="n"/>
      <c r="B369" s="7">
        <f>IF(A369="","",N(B368)+A369)</f>
        <v/>
      </c>
      <c r="C369" s="7">
        <f>IF(A369="","",ROUND(N(C368)+A369,$H$2))</f>
        <v/>
      </c>
      <c r="D369" s="8">
        <f>IF(A369="","",(B369-C369))</f>
        <v/>
      </c>
      <c r="E369" s="9">
        <f>IF(A369="","",B369=C369)</f>
        <v/>
      </c>
      <c r="F369" s="9">
        <f>IF(A369="","",IF(E369=FALSE,"比べると合わない",IF(D369&lt;&gt;0,"中身はずれている。比べると同じ","ずれなし")))</f>
        <v/>
      </c>
      <c r="G369" s="9">
        <f>IF(A369="","",TEXT(B369,"0.00000000000000"))</f>
        <v/>
      </c>
    </row>
    <row r="370">
      <c r="A370" s="6" t="n"/>
      <c r="B370" s="7">
        <f>IF(A370="","",N(B369)+A370)</f>
        <v/>
      </c>
      <c r="C370" s="7">
        <f>IF(A370="","",ROUND(N(C369)+A370,$H$2))</f>
        <v/>
      </c>
      <c r="D370" s="8">
        <f>IF(A370="","",(B370-C370))</f>
        <v/>
      </c>
      <c r="E370" s="9">
        <f>IF(A370="","",B370=C370)</f>
        <v/>
      </c>
      <c r="F370" s="9">
        <f>IF(A370="","",IF(E370=FALSE,"比べると合わない",IF(D370&lt;&gt;0,"中身はずれている。比べると同じ","ずれなし")))</f>
        <v/>
      </c>
      <c r="G370" s="9">
        <f>IF(A370="","",TEXT(B370,"0.00000000000000"))</f>
        <v/>
      </c>
    </row>
    <row r="371">
      <c r="A371" s="6" t="n"/>
      <c r="B371" s="7">
        <f>IF(A371="","",N(B370)+A371)</f>
        <v/>
      </c>
      <c r="C371" s="7">
        <f>IF(A371="","",ROUND(N(C370)+A371,$H$2))</f>
        <v/>
      </c>
      <c r="D371" s="8">
        <f>IF(A371="","",(B371-C371))</f>
        <v/>
      </c>
      <c r="E371" s="9">
        <f>IF(A371="","",B371=C371)</f>
        <v/>
      </c>
      <c r="F371" s="9">
        <f>IF(A371="","",IF(E371=FALSE,"比べると合わない",IF(D371&lt;&gt;0,"中身はずれている。比べると同じ","ずれなし")))</f>
        <v/>
      </c>
      <c r="G371" s="9">
        <f>IF(A371="","",TEXT(B371,"0.00000000000000"))</f>
        <v/>
      </c>
    </row>
    <row r="372">
      <c r="A372" s="6" t="n"/>
      <c r="B372" s="7">
        <f>IF(A372="","",N(B371)+A372)</f>
        <v/>
      </c>
      <c r="C372" s="7">
        <f>IF(A372="","",ROUND(N(C371)+A372,$H$2))</f>
        <v/>
      </c>
      <c r="D372" s="8">
        <f>IF(A372="","",(B372-C372))</f>
        <v/>
      </c>
      <c r="E372" s="9">
        <f>IF(A372="","",B372=C372)</f>
        <v/>
      </c>
      <c r="F372" s="9">
        <f>IF(A372="","",IF(E372=FALSE,"比べると合わない",IF(D372&lt;&gt;0,"中身はずれている。比べると同じ","ずれなし")))</f>
        <v/>
      </c>
      <c r="G372" s="9">
        <f>IF(A372="","",TEXT(B372,"0.00000000000000"))</f>
        <v/>
      </c>
    </row>
    <row r="373">
      <c r="A373" s="6" t="n"/>
      <c r="B373" s="7">
        <f>IF(A373="","",N(B372)+A373)</f>
        <v/>
      </c>
      <c r="C373" s="7">
        <f>IF(A373="","",ROUND(N(C372)+A373,$H$2))</f>
        <v/>
      </c>
      <c r="D373" s="8">
        <f>IF(A373="","",(B373-C373))</f>
        <v/>
      </c>
      <c r="E373" s="9">
        <f>IF(A373="","",B373=C373)</f>
        <v/>
      </c>
      <c r="F373" s="9">
        <f>IF(A373="","",IF(E373=FALSE,"比べると合わない",IF(D373&lt;&gt;0,"中身はずれている。比べると同じ","ずれなし")))</f>
        <v/>
      </c>
      <c r="G373" s="9">
        <f>IF(A373="","",TEXT(B373,"0.00000000000000"))</f>
        <v/>
      </c>
    </row>
    <row r="374">
      <c r="A374" s="6" t="n"/>
      <c r="B374" s="7">
        <f>IF(A374="","",N(B373)+A374)</f>
        <v/>
      </c>
      <c r="C374" s="7">
        <f>IF(A374="","",ROUND(N(C373)+A374,$H$2))</f>
        <v/>
      </c>
      <c r="D374" s="8">
        <f>IF(A374="","",(B374-C374))</f>
        <v/>
      </c>
      <c r="E374" s="9">
        <f>IF(A374="","",B374=C374)</f>
        <v/>
      </c>
      <c r="F374" s="9">
        <f>IF(A374="","",IF(E374=FALSE,"比べると合わない",IF(D374&lt;&gt;0,"中身はずれている。比べると同じ","ずれなし")))</f>
        <v/>
      </c>
      <c r="G374" s="9">
        <f>IF(A374="","",TEXT(B374,"0.00000000000000"))</f>
        <v/>
      </c>
    </row>
    <row r="375">
      <c r="A375" s="6" t="n"/>
      <c r="B375" s="7">
        <f>IF(A375="","",N(B374)+A375)</f>
        <v/>
      </c>
      <c r="C375" s="7">
        <f>IF(A375="","",ROUND(N(C374)+A375,$H$2))</f>
        <v/>
      </c>
      <c r="D375" s="8">
        <f>IF(A375="","",(B375-C375))</f>
        <v/>
      </c>
      <c r="E375" s="9">
        <f>IF(A375="","",B375=C375)</f>
        <v/>
      </c>
      <c r="F375" s="9">
        <f>IF(A375="","",IF(E375=FALSE,"比べると合わない",IF(D375&lt;&gt;0,"中身はずれている。比べると同じ","ずれなし")))</f>
        <v/>
      </c>
      <c r="G375" s="9">
        <f>IF(A375="","",TEXT(B375,"0.00000000000000"))</f>
        <v/>
      </c>
    </row>
    <row r="376">
      <c r="A376" s="6" t="n"/>
      <c r="B376" s="7">
        <f>IF(A376="","",N(B375)+A376)</f>
        <v/>
      </c>
      <c r="C376" s="7">
        <f>IF(A376="","",ROUND(N(C375)+A376,$H$2))</f>
        <v/>
      </c>
      <c r="D376" s="8">
        <f>IF(A376="","",(B376-C376))</f>
        <v/>
      </c>
      <c r="E376" s="9">
        <f>IF(A376="","",B376=C376)</f>
        <v/>
      </c>
      <c r="F376" s="9">
        <f>IF(A376="","",IF(E376=FALSE,"比べると合わない",IF(D376&lt;&gt;0,"中身はずれている。比べると同じ","ずれなし")))</f>
        <v/>
      </c>
      <c r="G376" s="9">
        <f>IF(A376="","",TEXT(B376,"0.00000000000000"))</f>
        <v/>
      </c>
    </row>
    <row r="377">
      <c r="A377" s="6" t="n"/>
      <c r="B377" s="7">
        <f>IF(A377="","",N(B376)+A377)</f>
        <v/>
      </c>
      <c r="C377" s="7">
        <f>IF(A377="","",ROUND(N(C376)+A377,$H$2))</f>
        <v/>
      </c>
      <c r="D377" s="8">
        <f>IF(A377="","",(B377-C377))</f>
        <v/>
      </c>
      <c r="E377" s="9">
        <f>IF(A377="","",B377=C377)</f>
        <v/>
      </c>
      <c r="F377" s="9">
        <f>IF(A377="","",IF(E377=FALSE,"比べると合わない",IF(D377&lt;&gt;0,"中身はずれている。比べると同じ","ずれなし")))</f>
        <v/>
      </c>
      <c r="G377" s="9">
        <f>IF(A377="","",TEXT(B377,"0.00000000000000"))</f>
        <v/>
      </c>
    </row>
    <row r="378">
      <c r="A378" s="6" t="n"/>
      <c r="B378" s="7">
        <f>IF(A378="","",N(B377)+A378)</f>
        <v/>
      </c>
      <c r="C378" s="7">
        <f>IF(A378="","",ROUND(N(C377)+A378,$H$2))</f>
        <v/>
      </c>
      <c r="D378" s="8">
        <f>IF(A378="","",(B378-C378))</f>
        <v/>
      </c>
      <c r="E378" s="9">
        <f>IF(A378="","",B378=C378)</f>
        <v/>
      </c>
      <c r="F378" s="9">
        <f>IF(A378="","",IF(E378=FALSE,"比べると合わない",IF(D378&lt;&gt;0,"中身はずれている。比べると同じ","ずれなし")))</f>
        <v/>
      </c>
      <c r="G378" s="9">
        <f>IF(A378="","",TEXT(B378,"0.00000000000000"))</f>
        <v/>
      </c>
    </row>
    <row r="379">
      <c r="A379" s="6" t="n"/>
      <c r="B379" s="7">
        <f>IF(A379="","",N(B378)+A379)</f>
        <v/>
      </c>
      <c r="C379" s="7">
        <f>IF(A379="","",ROUND(N(C378)+A379,$H$2))</f>
        <v/>
      </c>
      <c r="D379" s="8">
        <f>IF(A379="","",(B379-C379))</f>
        <v/>
      </c>
      <c r="E379" s="9">
        <f>IF(A379="","",B379=C379)</f>
        <v/>
      </c>
      <c r="F379" s="9">
        <f>IF(A379="","",IF(E379=FALSE,"比べると合わない",IF(D379&lt;&gt;0,"中身はずれている。比べると同じ","ずれなし")))</f>
        <v/>
      </c>
      <c r="G379" s="9">
        <f>IF(A379="","",TEXT(B379,"0.00000000000000"))</f>
        <v/>
      </c>
    </row>
    <row r="380">
      <c r="A380" s="6" t="n"/>
      <c r="B380" s="7">
        <f>IF(A380="","",N(B379)+A380)</f>
        <v/>
      </c>
      <c r="C380" s="7">
        <f>IF(A380="","",ROUND(N(C379)+A380,$H$2))</f>
        <v/>
      </c>
      <c r="D380" s="8">
        <f>IF(A380="","",(B380-C380))</f>
        <v/>
      </c>
      <c r="E380" s="9">
        <f>IF(A380="","",B380=C380)</f>
        <v/>
      </c>
      <c r="F380" s="9">
        <f>IF(A380="","",IF(E380=FALSE,"比べると合わない",IF(D380&lt;&gt;0,"中身はずれている。比べると同じ","ずれなし")))</f>
        <v/>
      </c>
      <c r="G380" s="9">
        <f>IF(A380="","",TEXT(B380,"0.00000000000000"))</f>
        <v/>
      </c>
    </row>
    <row r="381">
      <c r="A381" s="6" t="n"/>
      <c r="B381" s="7">
        <f>IF(A381="","",N(B380)+A381)</f>
        <v/>
      </c>
      <c r="C381" s="7">
        <f>IF(A381="","",ROUND(N(C380)+A381,$H$2))</f>
        <v/>
      </c>
      <c r="D381" s="8">
        <f>IF(A381="","",(B381-C381))</f>
        <v/>
      </c>
      <c r="E381" s="9">
        <f>IF(A381="","",B381=C381)</f>
        <v/>
      </c>
      <c r="F381" s="9">
        <f>IF(A381="","",IF(E381=FALSE,"比べると合わない",IF(D381&lt;&gt;0,"中身はずれている。比べると同じ","ずれなし")))</f>
        <v/>
      </c>
      <c r="G381" s="9">
        <f>IF(A381="","",TEXT(B381,"0.00000000000000"))</f>
        <v/>
      </c>
    </row>
    <row r="382">
      <c r="A382" s="6" t="n"/>
      <c r="B382" s="7">
        <f>IF(A382="","",N(B381)+A382)</f>
        <v/>
      </c>
      <c r="C382" s="7">
        <f>IF(A382="","",ROUND(N(C381)+A382,$H$2))</f>
        <v/>
      </c>
      <c r="D382" s="8">
        <f>IF(A382="","",(B382-C382))</f>
        <v/>
      </c>
      <c r="E382" s="9">
        <f>IF(A382="","",B382=C382)</f>
        <v/>
      </c>
      <c r="F382" s="9">
        <f>IF(A382="","",IF(E382=FALSE,"比べると合わない",IF(D382&lt;&gt;0,"中身はずれている。比べると同じ","ずれなし")))</f>
        <v/>
      </c>
      <c r="G382" s="9">
        <f>IF(A382="","",TEXT(B382,"0.00000000000000"))</f>
        <v/>
      </c>
    </row>
    <row r="383">
      <c r="A383" s="6" t="n"/>
      <c r="B383" s="7">
        <f>IF(A383="","",N(B382)+A383)</f>
        <v/>
      </c>
      <c r="C383" s="7">
        <f>IF(A383="","",ROUND(N(C382)+A383,$H$2))</f>
        <v/>
      </c>
      <c r="D383" s="8">
        <f>IF(A383="","",(B383-C383))</f>
        <v/>
      </c>
      <c r="E383" s="9">
        <f>IF(A383="","",B383=C383)</f>
        <v/>
      </c>
      <c r="F383" s="9">
        <f>IF(A383="","",IF(E383=FALSE,"比べると合わない",IF(D383&lt;&gt;0,"中身はずれている。比べると同じ","ずれなし")))</f>
        <v/>
      </c>
      <c r="G383" s="9">
        <f>IF(A383="","",TEXT(B383,"0.00000000000000"))</f>
        <v/>
      </c>
    </row>
    <row r="384">
      <c r="A384" s="6" t="n"/>
      <c r="B384" s="7">
        <f>IF(A384="","",N(B383)+A384)</f>
        <v/>
      </c>
      <c r="C384" s="7">
        <f>IF(A384="","",ROUND(N(C383)+A384,$H$2))</f>
        <v/>
      </c>
      <c r="D384" s="8">
        <f>IF(A384="","",(B384-C384))</f>
        <v/>
      </c>
      <c r="E384" s="9">
        <f>IF(A384="","",B384=C384)</f>
        <v/>
      </c>
      <c r="F384" s="9">
        <f>IF(A384="","",IF(E384=FALSE,"比べると合わない",IF(D384&lt;&gt;0,"中身はずれている。比べると同じ","ずれなし")))</f>
        <v/>
      </c>
      <c r="G384" s="9">
        <f>IF(A384="","",TEXT(B384,"0.00000000000000"))</f>
        <v/>
      </c>
    </row>
    <row r="385">
      <c r="A385" s="6" t="n"/>
      <c r="B385" s="7">
        <f>IF(A385="","",N(B384)+A385)</f>
        <v/>
      </c>
      <c r="C385" s="7">
        <f>IF(A385="","",ROUND(N(C384)+A385,$H$2))</f>
        <v/>
      </c>
      <c r="D385" s="8">
        <f>IF(A385="","",(B385-C385))</f>
        <v/>
      </c>
      <c r="E385" s="9">
        <f>IF(A385="","",B385=C385)</f>
        <v/>
      </c>
      <c r="F385" s="9">
        <f>IF(A385="","",IF(E385=FALSE,"比べると合わない",IF(D385&lt;&gt;0,"中身はずれている。比べると同じ","ずれなし")))</f>
        <v/>
      </c>
      <c r="G385" s="9">
        <f>IF(A385="","",TEXT(B385,"0.00000000000000"))</f>
        <v/>
      </c>
    </row>
    <row r="386">
      <c r="A386" s="6" t="n"/>
      <c r="B386" s="7">
        <f>IF(A386="","",N(B385)+A386)</f>
        <v/>
      </c>
      <c r="C386" s="7">
        <f>IF(A386="","",ROUND(N(C385)+A386,$H$2))</f>
        <v/>
      </c>
      <c r="D386" s="8">
        <f>IF(A386="","",(B386-C386))</f>
        <v/>
      </c>
      <c r="E386" s="9">
        <f>IF(A386="","",B386=C386)</f>
        <v/>
      </c>
      <c r="F386" s="9">
        <f>IF(A386="","",IF(E386=FALSE,"比べると合わない",IF(D386&lt;&gt;0,"中身はずれている。比べると同じ","ずれなし")))</f>
        <v/>
      </c>
      <c r="G386" s="9">
        <f>IF(A386="","",TEXT(B386,"0.00000000000000"))</f>
        <v/>
      </c>
    </row>
    <row r="387">
      <c r="A387" s="6" t="n"/>
      <c r="B387" s="7">
        <f>IF(A387="","",N(B386)+A387)</f>
        <v/>
      </c>
      <c r="C387" s="7">
        <f>IF(A387="","",ROUND(N(C386)+A387,$H$2))</f>
        <v/>
      </c>
      <c r="D387" s="8">
        <f>IF(A387="","",(B387-C387))</f>
        <v/>
      </c>
      <c r="E387" s="9">
        <f>IF(A387="","",B387=C387)</f>
        <v/>
      </c>
      <c r="F387" s="9">
        <f>IF(A387="","",IF(E387=FALSE,"比べると合わない",IF(D387&lt;&gt;0,"中身はずれている。比べると同じ","ずれなし")))</f>
        <v/>
      </c>
      <c r="G387" s="9">
        <f>IF(A387="","",TEXT(B387,"0.00000000000000"))</f>
        <v/>
      </c>
    </row>
    <row r="388">
      <c r="A388" s="6" t="n"/>
      <c r="B388" s="7">
        <f>IF(A388="","",N(B387)+A388)</f>
        <v/>
      </c>
      <c r="C388" s="7">
        <f>IF(A388="","",ROUND(N(C387)+A388,$H$2))</f>
        <v/>
      </c>
      <c r="D388" s="8">
        <f>IF(A388="","",(B388-C388))</f>
        <v/>
      </c>
      <c r="E388" s="9">
        <f>IF(A388="","",B388=C388)</f>
        <v/>
      </c>
      <c r="F388" s="9">
        <f>IF(A388="","",IF(E388=FALSE,"比べると合わない",IF(D388&lt;&gt;0,"中身はずれている。比べると同じ","ずれなし")))</f>
        <v/>
      </c>
      <c r="G388" s="9">
        <f>IF(A388="","",TEXT(B388,"0.00000000000000"))</f>
        <v/>
      </c>
    </row>
    <row r="389">
      <c r="A389" s="6" t="n"/>
      <c r="B389" s="7">
        <f>IF(A389="","",N(B388)+A389)</f>
        <v/>
      </c>
      <c r="C389" s="7">
        <f>IF(A389="","",ROUND(N(C388)+A389,$H$2))</f>
        <v/>
      </c>
      <c r="D389" s="8">
        <f>IF(A389="","",(B389-C389))</f>
        <v/>
      </c>
      <c r="E389" s="9">
        <f>IF(A389="","",B389=C389)</f>
        <v/>
      </c>
      <c r="F389" s="9">
        <f>IF(A389="","",IF(E389=FALSE,"比べると合わない",IF(D389&lt;&gt;0,"中身はずれている。比べると同じ","ずれなし")))</f>
        <v/>
      </c>
      <c r="G389" s="9">
        <f>IF(A389="","",TEXT(B389,"0.00000000000000"))</f>
        <v/>
      </c>
    </row>
    <row r="390">
      <c r="A390" s="6" t="n"/>
      <c r="B390" s="7">
        <f>IF(A390="","",N(B389)+A390)</f>
        <v/>
      </c>
      <c r="C390" s="7">
        <f>IF(A390="","",ROUND(N(C389)+A390,$H$2))</f>
        <v/>
      </c>
      <c r="D390" s="8">
        <f>IF(A390="","",(B390-C390))</f>
        <v/>
      </c>
      <c r="E390" s="9">
        <f>IF(A390="","",B390=C390)</f>
        <v/>
      </c>
      <c r="F390" s="9">
        <f>IF(A390="","",IF(E390=FALSE,"比べると合わない",IF(D390&lt;&gt;0,"中身はずれている。比べると同じ","ずれなし")))</f>
        <v/>
      </c>
      <c r="G390" s="9">
        <f>IF(A390="","",TEXT(B390,"0.00000000000000"))</f>
        <v/>
      </c>
    </row>
    <row r="391">
      <c r="A391" s="6" t="n"/>
      <c r="B391" s="7">
        <f>IF(A391="","",N(B390)+A391)</f>
        <v/>
      </c>
      <c r="C391" s="7">
        <f>IF(A391="","",ROUND(N(C390)+A391,$H$2))</f>
        <v/>
      </c>
      <c r="D391" s="8">
        <f>IF(A391="","",(B391-C391))</f>
        <v/>
      </c>
      <c r="E391" s="9">
        <f>IF(A391="","",B391=C391)</f>
        <v/>
      </c>
      <c r="F391" s="9">
        <f>IF(A391="","",IF(E391=FALSE,"比べると合わない",IF(D391&lt;&gt;0,"中身はずれている。比べると同じ","ずれなし")))</f>
        <v/>
      </c>
      <c r="G391" s="9">
        <f>IF(A391="","",TEXT(B391,"0.00000000000000"))</f>
        <v/>
      </c>
    </row>
    <row r="392">
      <c r="A392" s="6" t="n"/>
      <c r="B392" s="7">
        <f>IF(A392="","",N(B391)+A392)</f>
        <v/>
      </c>
      <c r="C392" s="7">
        <f>IF(A392="","",ROUND(N(C391)+A392,$H$2))</f>
        <v/>
      </c>
      <c r="D392" s="8">
        <f>IF(A392="","",(B392-C392))</f>
        <v/>
      </c>
      <c r="E392" s="9">
        <f>IF(A392="","",B392=C392)</f>
        <v/>
      </c>
      <c r="F392" s="9">
        <f>IF(A392="","",IF(E392=FALSE,"比べると合わない",IF(D392&lt;&gt;0,"中身はずれている。比べると同じ","ずれなし")))</f>
        <v/>
      </c>
      <c r="G392" s="9">
        <f>IF(A392="","",TEXT(B392,"0.00000000000000"))</f>
        <v/>
      </c>
    </row>
    <row r="393">
      <c r="A393" s="6" t="n"/>
      <c r="B393" s="7">
        <f>IF(A393="","",N(B392)+A393)</f>
        <v/>
      </c>
      <c r="C393" s="7">
        <f>IF(A393="","",ROUND(N(C392)+A393,$H$2))</f>
        <v/>
      </c>
      <c r="D393" s="8">
        <f>IF(A393="","",(B393-C393))</f>
        <v/>
      </c>
      <c r="E393" s="9">
        <f>IF(A393="","",B393=C393)</f>
        <v/>
      </c>
      <c r="F393" s="9">
        <f>IF(A393="","",IF(E393=FALSE,"比べると合わない",IF(D393&lt;&gt;0,"中身はずれている。比べると同じ","ずれなし")))</f>
        <v/>
      </c>
      <c r="G393" s="9">
        <f>IF(A393="","",TEXT(B393,"0.00000000000000"))</f>
        <v/>
      </c>
    </row>
    <row r="394">
      <c r="A394" s="6" t="n"/>
      <c r="B394" s="7">
        <f>IF(A394="","",N(B393)+A394)</f>
        <v/>
      </c>
      <c r="C394" s="7">
        <f>IF(A394="","",ROUND(N(C393)+A394,$H$2))</f>
        <v/>
      </c>
      <c r="D394" s="8">
        <f>IF(A394="","",(B394-C394))</f>
        <v/>
      </c>
      <c r="E394" s="9">
        <f>IF(A394="","",B394=C394)</f>
        <v/>
      </c>
      <c r="F394" s="9">
        <f>IF(A394="","",IF(E394=FALSE,"比べると合わない",IF(D394&lt;&gt;0,"中身はずれている。比べると同じ","ずれなし")))</f>
        <v/>
      </c>
      <c r="G394" s="9">
        <f>IF(A394="","",TEXT(B394,"0.00000000000000"))</f>
        <v/>
      </c>
    </row>
    <row r="395">
      <c r="A395" s="6" t="n"/>
      <c r="B395" s="7">
        <f>IF(A395="","",N(B394)+A395)</f>
        <v/>
      </c>
      <c r="C395" s="7">
        <f>IF(A395="","",ROUND(N(C394)+A395,$H$2))</f>
        <v/>
      </c>
      <c r="D395" s="8">
        <f>IF(A395="","",(B395-C395))</f>
        <v/>
      </c>
      <c r="E395" s="9">
        <f>IF(A395="","",B395=C395)</f>
        <v/>
      </c>
      <c r="F395" s="9">
        <f>IF(A395="","",IF(E395=FALSE,"比べると合わない",IF(D395&lt;&gt;0,"中身はずれている。比べると同じ","ずれなし")))</f>
        <v/>
      </c>
      <c r="G395" s="9">
        <f>IF(A395="","",TEXT(B395,"0.00000000000000"))</f>
        <v/>
      </c>
    </row>
    <row r="396">
      <c r="A396" s="6" t="n"/>
      <c r="B396" s="7">
        <f>IF(A396="","",N(B395)+A396)</f>
        <v/>
      </c>
      <c r="C396" s="7">
        <f>IF(A396="","",ROUND(N(C395)+A396,$H$2))</f>
        <v/>
      </c>
      <c r="D396" s="8">
        <f>IF(A396="","",(B396-C396))</f>
        <v/>
      </c>
      <c r="E396" s="9">
        <f>IF(A396="","",B396=C396)</f>
        <v/>
      </c>
      <c r="F396" s="9">
        <f>IF(A396="","",IF(E396=FALSE,"比べると合わない",IF(D396&lt;&gt;0,"中身はずれている。比べると同じ","ずれなし")))</f>
        <v/>
      </c>
      <c r="G396" s="9">
        <f>IF(A396="","",TEXT(B396,"0.00000000000000"))</f>
        <v/>
      </c>
    </row>
    <row r="397">
      <c r="A397" s="6" t="n"/>
      <c r="B397" s="7">
        <f>IF(A397="","",N(B396)+A397)</f>
        <v/>
      </c>
      <c r="C397" s="7">
        <f>IF(A397="","",ROUND(N(C396)+A397,$H$2))</f>
        <v/>
      </c>
      <c r="D397" s="8">
        <f>IF(A397="","",(B397-C397))</f>
        <v/>
      </c>
      <c r="E397" s="9">
        <f>IF(A397="","",B397=C397)</f>
        <v/>
      </c>
      <c r="F397" s="9">
        <f>IF(A397="","",IF(E397=FALSE,"比べると合わない",IF(D397&lt;&gt;0,"中身はずれている。比べると同じ","ずれなし")))</f>
        <v/>
      </c>
      <c r="G397" s="9">
        <f>IF(A397="","",TEXT(B397,"0.00000000000000"))</f>
        <v/>
      </c>
    </row>
    <row r="398">
      <c r="A398" s="6" t="n"/>
      <c r="B398" s="7">
        <f>IF(A398="","",N(B397)+A398)</f>
        <v/>
      </c>
      <c r="C398" s="7">
        <f>IF(A398="","",ROUND(N(C397)+A398,$H$2))</f>
        <v/>
      </c>
      <c r="D398" s="8">
        <f>IF(A398="","",(B398-C398))</f>
        <v/>
      </c>
      <c r="E398" s="9">
        <f>IF(A398="","",B398=C398)</f>
        <v/>
      </c>
      <c r="F398" s="9">
        <f>IF(A398="","",IF(E398=FALSE,"比べると合わない",IF(D398&lt;&gt;0,"中身はずれている。比べると同じ","ずれなし")))</f>
        <v/>
      </c>
      <c r="G398" s="9">
        <f>IF(A398="","",TEXT(B398,"0.00000000000000"))</f>
        <v/>
      </c>
    </row>
    <row r="399">
      <c r="A399" s="6" t="n"/>
      <c r="B399" s="7">
        <f>IF(A399="","",N(B398)+A399)</f>
        <v/>
      </c>
      <c r="C399" s="7">
        <f>IF(A399="","",ROUND(N(C398)+A399,$H$2))</f>
        <v/>
      </c>
      <c r="D399" s="8">
        <f>IF(A399="","",(B399-C399))</f>
        <v/>
      </c>
      <c r="E399" s="9">
        <f>IF(A399="","",B399=C399)</f>
        <v/>
      </c>
      <c r="F399" s="9">
        <f>IF(A399="","",IF(E399=FALSE,"比べると合わない",IF(D399&lt;&gt;0,"中身はずれている。比べると同じ","ずれなし")))</f>
        <v/>
      </c>
      <c r="G399" s="9">
        <f>IF(A399="","",TEXT(B399,"0.00000000000000"))</f>
        <v/>
      </c>
    </row>
    <row r="400">
      <c r="A400" s="6" t="n"/>
      <c r="B400" s="7">
        <f>IF(A400="","",N(B399)+A400)</f>
        <v/>
      </c>
      <c r="C400" s="7">
        <f>IF(A400="","",ROUND(N(C399)+A400,$H$2))</f>
        <v/>
      </c>
      <c r="D400" s="8">
        <f>IF(A400="","",(B400-C400))</f>
        <v/>
      </c>
      <c r="E400" s="9">
        <f>IF(A400="","",B400=C400)</f>
        <v/>
      </c>
      <c r="F400" s="9">
        <f>IF(A400="","",IF(E400=FALSE,"比べると合わない",IF(D400&lt;&gt;0,"中身はずれている。比べると同じ","ずれなし")))</f>
        <v/>
      </c>
      <c r="G400" s="9">
        <f>IF(A400="","",TEXT(B400,"0.00000000000000"))</f>
        <v/>
      </c>
    </row>
    <row r="401">
      <c r="A401" s="6" t="n"/>
      <c r="B401" s="7">
        <f>IF(A401="","",N(B400)+A401)</f>
        <v/>
      </c>
      <c r="C401" s="7">
        <f>IF(A401="","",ROUND(N(C400)+A401,$H$2))</f>
        <v/>
      </c>
      <c r="D401" s="8">
        <f>IF(A401="","",(B401-C401))</f>
        <v/>
      </c>
      <c r="E401" s="9">
        <f>IF(A401="","",B401=C401)</f>
        <v/>
      </c>
      <c r="F401" s="9">
        <f>IF(A401="","",IF(E401=FALSE,"比べると合わない",IF(D401&lt;&gt;0,"中身はずれている。比べると同じ","ずれなし")))</f>
        <v/>
      </c>
      <c r="G401" s="9">
        <f>IF(A401="","",TEXT(B401,"0.00000000000000"))</f>
        <v/>
      </c>
    </row>
    <row r="402">
      <c r="A402" s="6" t="n"/>
      <c r="B402" s="7">
        <f>IF(A402="","",N(B401)+A402)</f>
        <v/>
      </c>
      <c r="C402" s="7">
        <f>IF(A402="","",ROUND(N(C401)+A402,$H$2))</f>
        <v/>
      </c>
      <c r="D402" s="8">
        <f>IF(A402="","",(B402-C402))</f>
        <v/>
      </c>
      <c r="E402" s="9">
        <f>IF(A402="","",B402=C402)</f>
        <v/>
      </c>
      <c r="F402" s="9">
        <f>IF(A402="","",IF(E402=FALSE,"比べると合わない",IF(D402&lt;&gt;0,"中身はずれている。比べると同じ","ずれなし")))</f>
        <v/>
      </c>
      <c r="G402" s="9">
        <f>IF(A402="","",TEXT(B402,"0.00000000000000"))</f>
        <v/>
      </c>
    </row>
    <row r="403">
      <c r="A403" s="6" t="n"/>
      <c r="B403" s="7">
        <f>IF(A403="","",N(B402)+A403)</f>
        <v/>
      </c>
      <c r="C403" s="7">
        <f>IF(A403="","",ROUND(N(C402)+A403,$H$2))</f>
        <v/>
      </c>
      <c r="D403" s="8">
        <f>IF(A403="","",(B403-C403))</f>
        <v/>
      </c>
      <c r="E403" s="9">
        <f>IF(A403="","",B403=C403)</f>
        <v/>
      </c>
      <c r="F403" s="9">
        <f>IF(A403="","",IF(E403=FALSE,"比べると合わない",IF(D403&lt;&gt;0,"中身はずれている。比べると同じ","ずれなし")))</f>
        <v/>
      </c>
      <c r="G403" s="9">
        <f>IF(A403="","",TEXT(B403,"0.00000000000000"))</f>
        <v/>
      </c>
    </row>
    <row r="404">
      <c r="A404" s="6" t="n"/>
      <c r="B404" s="7">
        <f>IF(A404="","",N(B403)+A404)</f>
        <v/>
      </c>
      <c r="C404" s="7">
        <f>IF(A404="","",ROUND(N(C403)+A404,$H$2))</f>
        <v/>
      </c>
      <c r="D404" s="8">
        <f>IF(A404="","",(B404-C404))</f>
        <v/>
      </c>
      <c r="E404" s="9">
        <f>IF(A404="","",B404=C404)</f>
        <v/>
      </c>
      <c r="F404" s="9">
        <f>IF(A404="","",IF(E404=FALSE,"比べると合わない",IF(D404&lt;&gt;0,"中身はずれている。比べると同じ","ずれなし")))</f>
        <v/>
      </c>
      <c r="G404" s="9">
        <f>IF(A404="","",TEXT(B404,"0.00000000000000"))</f>
        <v/>
      </c>
    </row>
    <row r="405">
      <c r="A405" s="6" t="n"/>
      <c r="B405" s="7">
        <f>IF(A405="","",N(B404)+A405)</f>
        <v/>
      </c>
      <c r="C405" s="7">
        <f>IF(A405="","",ROUND(N(C404)+A405,$H$2))</f>
        <v/>
      </c>
      <c r="D405" s="8">
        <f>IF(A405="","",(B405-C405))</f>
        <v/>
      </c>
      <c r="E405" s="9">
        <f>IF(A405="","",B405=C405)</f>
        <v/>
      </c>
      <c r="F405" s="9">
        <f>IF(A405="","",IF(E405=FALSE,"比べると合わない",IF(D405&lt;&gt;0,"中身はずれている。比べると同じ","ずれなし")))</f>
        <v/>
      </c>
      <c r="G405" s="9">
        <f>IF(A405="","",TEXT(B405,"0.00000000000000"))</f>
        <v/>
      </c>
    </row>
    <row r="406">
      <c r="A406" s="6" t="n"/>
      <c r="B406" s="7">
        <f>IF(A406="","",N(B405)+A406)</f>
        <v/>
      </c>
      <c r="C406" s="7">
        <f>IF(A406="","",ROUND(N(C405)+A406,$H$2))</f>
        <v/>
      </c>
      <c r="D406" s="8">
        <f>IF(A406="","",(B406-C406))</f>
        <v/>
      </c>
      <c r="E406" s="9">
        <f>IF(A406="","",B406=C406)</f>
        <v/>
      </c>
      <c r="F406" s="9">
        <f>IF(A406="","",IF(E406=FALSE,"比べると合わない",IF(D406&lt;&gt;0,"中身はずれている。比べると同じ","ずれなし")))</f>
        <v/>
      </c>
      <c r="G406" s="9">
        <f>IF(A406="","",TEXT(B406,"0.00000000000000"))</f>
        <v/>
      </c>
    </row>
    <row r="407">
      <c r="A407" s="6" t="n"/>
      <c r="B407" s="7">
        <f>IF(A407="","",N(B406)+A407)</f>
        <v/>
      </c>
      <c r="C407" s="7">
        <f>IF(A407="","",ROUND(N(C406)+A407,$H$2))</f>
        <v/>
      </c>
      <c r="D407" s="8">
        <f>IF(A407="","",(B407-C407))</f>
        <v/>
      </c>
      <c r="E407" s="9">
        <f>IF(A407="","",B407=C407)</f>
        <v/>
      </c>
      <c r="F407" s="9">
        <f>IF(A407="","",IF(E407=FALSE,"比べると合わない",IF(D407&lt;&gt;0,"中身はずれている。比べると同じ","ずれなし")))</f>
        <v/>
      </c>
      <c r="G407" s="9">
        <f>IF(A407="","",TEXT(B407,"0.00000000000000"))</f>
        <v/>
      </c>
    </row>
    <row r="408">
      <c r="A408" s="6" t="n"/>
      <c r="B408" s="7">
        <f>IF(A408="","",N(B407)+A408)</f>
        <v/>
      </c>
      <c r="C408" s="7">
        <f>IF(A408="","",ROUND(N(C407)+A408,$H$2))</f>
        <v/>
      </c>
      <c r="D408" s="8">
        <f>IF(A408="","",(B408-C408))</f>
        <v/>
      </c>
      <c r="E408" s="9">
        <f>IF(A408="","",B408=C408)</f>
        <v/>
      </c>
      <c r="F408" s="9">
        <f>IF(A408="","",IF(E408=FALSE,"比べると合わない",IF(D408&lt;&gt;0,"中身はずれている。比べると同じ","ずれなし")))</f>
        <v/>
      </c>
      <c r="G408" s="9">
        <f>IF(A408="","",TEXT(B408,"0.00000000000000"))</f>
        <v/>
      </c>
    </row>
    <row r="409">
      <c r="A409" s="6" t="n"/>
      <c r="B409" s="7">
        <f>IF(A409="","",N(B408)+A409)</f>
        <v/>
      </c>
      <c r="C409" s="7">
        <f>IF(A409="","",ROUND(N(C408)+A409,$H$2))</f>
        <v/>
      </c>
      <c r="D409" s="8">
        <f>IF(A409="","",(B409-C409))</f>
        <v/>
      </c>
      <c r="E409" s="9">
        <f>IF(A409="","",B409=C409)</f>
        <v/>
      </c>
      <c r="F409" s="9">
        <f>IF(A409="","",IF(E409=FALSE,"比べると合わない",IF(D409&lt;&gt;0,"中身はずれている。比べると同じ","ずれなし")))</f>
        <v/>
      </c>
      <c r="G409" s="9">
        <f>IF(A409="","",TEXT(B409,"0.00000000000000"))</f>
        <v/>
      </c>
    </row>
    <row r="410">
      <c r="A410" s="6" t="n"/>
      <c r="B410" s="7">
        <f>IF(A410="","",N(B409)+A410)</f>
        <v/>
      </c>
      <c r="C410" s="7">
        <f>IF(A410="","",ROUND(N(C409)+A410,$H$2))</f>
        <v/>
      </c>
      <c r="D410" s="8">
        <f>IF(A410="","",(B410-C410))</f>
        <v/>
      </c>
      <c r="E410" s="9">
        <f>IF(A410="","",B410=C410)</f>
        <v/>
      </c>
      <c r="F410" s="9">
        <f>IF(A410="","",IF(E410=FALSE,"比べると合わない",IF(D410&lt;&gt;0,"中身はずれている。比べると同じ","ずれなし")))</f>
        <v/>
      </c>
      <c r="G410" s="9">
        <f>IF(A410="","",TEXT(B410,"0.00000000000000"))</f>
        <v/>
      </c>
    </row>
    <row r="411">
      <c r="A411" s="6" t="n"/>
      <c r="B411" s="7">
        <f>IF(A411="","",N(B410)+A411)</f>
        <v/>
      </c>
      <c r="C411" s="7">
        <f>IF(A411="","",ROUND(N(C410)+A411,$H$2))</f>
        <v/>
      </c>
      <c r="D411" s="8">
        <f>IF(A411="","",(B411-C411))</f>
        <v/>
      </c>
      <c r="E411" s="9">
        <f>IF(A411="","",B411=C411)</f>
        <v/>
      </c>
      <c r="F411" s="9">
        <f>IF(A411="","",IF(E411=FALSE,"比べると合わない",IF(D411&lt;&gt;0,"中身はずれている。比べると同じ","ずれなし")))</f>
        <v/>
      </c>
      <c r="G411" s="9">
        <f>IF(A411="","",TEXT(B411,"0.00000000000000"))</f>
        <v/>
      </c>
    </row>
    <row r="412">
      <c r="A412" s="6" t="n"/>
      <c r="B412" s="7">
        <f>IF(A412="","",N(B411)+A412)</f>
        <v/>
      </c>
      <c r="C412" s="7">
        <f>IF(A412="","",ROUND(N(C411)+A412,$H$2))</f>
        <v/>
      </c>
      <c r="D412" s="8">
        <f>IF(A412="","",(B412-C412))</f>
        <v/>
      </c>
      <c r="E412" s="9">
        <f>IF(A412="","",B412=C412)</f>
        <v/>
      </c>
      <c r="F412" s="9">
        <f>IF(A412="","",IF(E412=FALSE,"比べると合わない",IF(D412&lt;&gt;0,"中身はずれている。比べると同じ","ずれなし")))</f>
        <v/>
      </c>
      <c r="G412" s="9">
        <f>IF(A412="","",TEXT(B412,"0.00000000000000"))</f>
        <v/>
      </c>
    </row>
    <row r="413">
      <c r="A413" s="6" t="n"/>
      <c r="B413" s="7">
        <f>IF(A413="","",N(B412)+A413)</f>
        <v/>
      </c>
      <c r="C413" s="7">
        <f>IF(A413="","",ROUND(N(C412)+A413,$H$2))</f>
        <v/>
      </c>
      <c r="D413" s="8">
        <f>IF(A413="","",(B413-C413))</f>
        <v/>
      </c>
      <c r="E413" s="9">
        <f>IF(A413="","",B413=C413)</f>
        <v/>
      </c>
      <c r="F413" s="9">
        <f>IF(A413="","",IF(E413=FALSE,"比べると合わない",IF(D413&lt;&gt;0,"中身はずれている。比べると同じ","ずれなし")))</f>
        <v/>
      </c>
      <c r="G413" s="9">
        <f>IF(A413="","",TEXT(B413,"0.00000000000000"))</f>
        <v/>
      </c>
    </row>
    <row r="414">
      <c r="A414" s="6" t="n"/>
      <c r="B414" s="7">
        <f>IF(A414="","",N(B413)+A414)</f>
        <v/>
      </c>
      <c r="C414" s="7">
        <f>IF(A414="","",ROUND(N(C413)+A414,$H$2))</f>
        <v/>
      </c>
      <c r="D414" s="8">
        <f>IF(A414="","",(B414-C414))</f>
        <v/>
      </c>
      <c r="E414" s="9">
        <f>IF(A414="","",B414=C414)</f>
        <v/>
      </c>
      <c r="F414" s="9">
        <f>IF(A414="","",IF(E414=FALSE,"比べると合わない",IF(D414&lt;&gt;0,"中身はずれている。比べると同じ","ずれなし")))</f>
        <v/>
      </c>
      <c r="G414" s="9">
        <f>IF(A414="","",TEXT(B414,"0.00000000000000"))</f>
        <v/>
      </c>
    </row>
    <row r="415">
      <c r="A415" s="6" t="n"/>
      <c r="B415" s="7">
        <f>IF(A415="","",N(B414)+A415)</f>
        <v/>
      </c>
      <c r="C415" s="7">
        <f>IF(A415="","",ROUND(N(C414)+A415,$H$2))</f>
        <v/>
      </c>
      <c r="D415" s="8">
        <f>IF(A415="","",(B415-C415))</f>
        <v/>
      </c>
      <c r="E415" s="9">
        <f>IF(A415="","",B415=C415)</f>
        <v/>
      </c>
      <c r="F415" s="9">
        <f>IF(A415="","",IF(E415=FALSE,"比べると合わない",IF(D415&lt;&gt;0,"中身はずれている。比べると同じ","ずれなし")))</f>
        <v/>
      </c>
      <c r="G415" s="9">
        <f>IF(A415="","",TEXT(B415,"0.00000000000000"))</f>
        <v/>
      </c>
    </row>
    <row r="416">
      <c r="A416" s="6" t="n"/>
      <c r="B416" s="7">
        <f>IF(A416="","",N(B415)+A416)</f>
        <v/>
      </c>
      <c r="C416" s="7">
        <f>IF(A416="","",ROUND(N(C415)+A416,$H$2))</f>
        <v/>
      </c>
      <c r="D416" s="8">
        <f>IF(A416="","",(B416-C416))</f>
        <v/>
      </c>
      <c r="E416" s="9">
        <f>IF(A416="","",B416=C416)</f>
        <v/>
      </c>
      <c r="F416" s="9">
        <f>IF(A416="","",IF(E416=FALSE,"比べると合わない",IF(D416&lt;&gt;0,"中身はずれている。比べると同じ","ずれなし")))</f>
        <v/>
      </c>
      <c r="G416" s="9">
        <f>IF(A416="","",TEXT(B416,"0.00000000000000"))</f>
        <v/>
      </c>
    </row>
    <row r="417">
      <c r="A417" s="6" t="n"/>
      <c r="B417" s="7">
        <f>IF(A417="","",N(B416)+A417)</f>
        <v/>
      </c>
      <c r="C417" s="7">
        <f>IF(A417="","",ROUND(N(C416)+A417,$H$2))</f>
        <v/>
      </c>
      <c r="D417" s="8">
        <f>IF(A417="","",(B417-C417))</f>
        <v/>
      </c>
      <c r="E417" s="9">
        <f>IF(A417="","",B417=C417)</f>
        <v/>
      </c>
      <c r="F417" s="9">
        <f>IF(A417="","",IF(E417=FALSE,"比べると合わない",IF(D417&lt;&gt;0,"中身はずれている。比べると同じ","ずれなし")))</f>
        <v/>
      </c>
      <c r="G417" s="9">
        <f>IF(A417="","",TEXT(B417,"0.00000000000000"))</f>
        <v/>
      </c>
    </row>
    <row r="418">
      <c r="A418" s="6" t="n"/>
      <c r="B418" s="7">
        <f>IF(A418="","",N(B417)+A418)</f>
        <v/>
      </c>
      <c r="C418" s="7">
        <f>IF(A418="","",ROUND(N(C417)+A418,$H$2))</f>
        <v/>
      </c>
      <c r="D418" s="8">
        <f>IF(A418="","",(B418-C418))</f>
        <v/>
      </c>
      <c r="E418" s="9">
        <f>IF(A418="","",B418=C418)</f>
        <v/>
      </c>
      <c r="F418" s="9">
        <f>IF(A418="","",IF(E418=FALSE,"比べると合わない",IF(D418&lt;&gt;0,"中身はずれている。比べると同じ","ずれなし")))</f>
        <v/>
      </c>
      <c r="G418" s="9">
        <f>IF(A418="","",TEXT(B418,"0.00000000000000"))</f>
        <v/>
      </c>
    </row>
    <row r="419">
      <c r="A419" s="6" t="n"/>
      <c r="B419" s="7">
        <f>IF(A419="","",N(B418)+A419)</f>
        <v/>
      </c>
      <c r="C419" s="7">
        <f>IF(A419="","",ROUND(N(C418)+A419,$H$2))</f>
        <v/>
      </c>
      <c r="D419" s="8">
        <f>IF(A419="","",(B419-C419))</f>
        <v/>
      </c>
      <c r="E419" s="9">
        <f>IF(A419="","",B419=C419)</f>
        <v/>
      </c>
      <c r="F419" s="9">
        <f>IF(A419="","",IF(E419=FALSE,"比べると合わない",IF(D419&lt;&gt;0,"中身はずれている。比べると同じ","ずれなし")))</f>
        <v/>
      </c>
      <c r="G419" s="9">
        <f>IF(A419="","",TEXT(B419,"0.00000000000000"))</f>
        <v/>
      </c>
    </row>
    <row r="420">
      <c r="A420" s="6" t="n"/>
      <c r="B420" s="7">
        <f>IF(A420="","",N(B419)+A420)</f>
        <v/>
      </c>
      <c r="C420" s="7">
        <f>IF(A420="","",ROUND(N(C419)+A420,$H$2))</f>
        <v/>
      </c>
      <c r="D420" s="8">
        <f>IF(A420="","",(B420-C420))</f>
        <v/>
      </c>
      <c r="E420" s="9">
        <f>IF(A420="","",B420=C420)</f>
        <v/>
      </c>
      <c r="F420" s="9">
        <f>IF(A420="","",IF(E420=FALSE,"比べると合わない",IF(D420&lt;&gt;0,"中身はずれている。比べると同じ","ずれなし")))</f>
        <v/>
      </c>
      <c r="G420" s="9">
        <f>IF(A420="","",TEXT(B420,"0.00000000000000"))</f>
        <v/>
      </c>
    </row>
    <row r="421">
      <c r="A421" s="6" t="n"/>
      <c r="B421" s="7">
        <f>IF(A421="","",N(B420)+A421)</f>
        <v/>
      </c>
      <c r="C421" s="7">
        <f>IF(A421="","",ROUND(N(C420)+A421,$H$2))</f>
        <v/>
      </c>
      <c r="D421" s="8">
        <f>IF(A421="","",(B421-C421))</f>
        <v/>
      </c>
      <c r="E421" s="9">
        <f>IF(A421="","",B421=C421)</f>
        <v/>
      </c>
      <c r="F421" s="9">
        <f>IF(A421="","",IF(E421=FALSE,"比べると合わない",IF(D421&lt;&gt;0,"中身はずれている。比べると同じ","ずれなし")))</f>
        <v/>
      </c>
      <c r="G421" s="9">
        <f>IF(A421="","",TEXT(B421,"0.00000000000000"))</f>
        <v/>
      </c>
    </row>
    <row r="422">
      <c r="A422" s="6" t="n"/>
      <c r="B422" s="7">
        <f>IF(A422="","",N(B421)+A422)</f>
        <v/>
      </c>
      <c r="C422" s="7">
        <f>IF(A422="","",ROUND(N(C421)+A422,$H$2))</f>
        <v/>
      </c>
      <c r="D422" s="8">
        <f>IF(A422="","",(B422-C422))</f>
        <v/>
      </c>
      <c r="E422" s="9">
        <f>IF(A422="","",B422=C422)</f>
        <v/>
      </c>
      <c r="F422" s="9">
        <f>IF(A422="","",IF(E422=FALSE,"比べると合わない",IF(D422&lt;&gt;0,"中身はずれている。比べると同じ","ずれなし")))</f>
        <v/>
      </c>
      <c r="G422" s="9">
        <f>IF(A422="","",TEXT(B422,"0.00000000000000"))</f>
        <v/>
      </c>
    </row>
    <row r="423">
      <c r="A423" s="6" t="n"/>
      <c r="B423" s="7">
        <f>IF(A423="","",N(B422)+A423)</f>
        <v/>
      </c>
      <c r="C423" s="7">
        <f>IF(A423="","",ROUND(N(C422)+A423,$H$2))</f>
        <v/>
      </c>
      <c r="D423" s="8">
        <f>IF(A423="","",(B423-C423))</f>
        <v/>
      </c>
      <c r="E423" s="9">
        <f>IF(A423="","",B423=C423)</f>
        <v/>
      </c>
      <c r="F423" s="9">
        <f>IF(A423="","",IF(E423=FALSE,"比べると合わない",IF(D423&lt;&gt;0,"中身はずれている。比べると同じ","ずれなし")))</f>
        <v/>
      </c>
      <c r="G423" s="9">
        <f>IF(A423="","",TEXT(B423,"0.00000000000000"))</f>
        <v/>
      </c>
    </row>
    <row r="424">
      <c r="A424" s="6" t="n"/>
      <c r="B424" s="7">
        <f>IF(A424="","",N(B423)+A424)</f>
        <v/>
      </c>
      <c r="C424" s="7">
        <f>IF(A424="","",ROUND(N(C423)+A424,$H$2))</f>
        <v/>
      </c>
      <c r="D424" s="8">
        <f>IF(A424="","",(B424-C424))</f>
        <v/>
      </c>
      <c r="E424" s="9">
        <f>IF(A424="","",B424=C424)</f>
        <v/>
      </c>
      <c r="F424" s="9">
        <f>IF(A424="","",IF(E424=FALSE,"比べると合わない",IF(D424&lt;&gt;0,"中身はずれている。比べると同じ","ずれなし")))</f>
        <v/>
      </c>
      <c r="G424" s="9">
        <f>IF(A424="","",TEXT(B424,"0.00000000000000"))</f>
        <v/>
      </c>
    </row>
    <row r="425">
      <c r="A425" s="6" t="n"/>
      <c r="B425" s="7">
        <f>IF(A425="","",N(B424)+A425)</f>
        <v/>
      </c>
      <c r="C425" s="7">
        <f>IF(A425="","",ROUND(N(C424)+A425,$H$2))</f>
        <v/>
      </c>
      <c r="D425" s="8">
        <f>IF(A425="","",(B425-C425))</f>
        <v/>
      </c>
      <c r="E425" s="9">
        <f>IF(A425="","",B425=C425)</f>
        <v/>
      </c>
      <c r="F425" s="9">
        <f>IF(A425="","",IF(E425=FALSE,"比べると合わない",IF(D425&lt;&gt;0,"中身はずれている。比べると同じ","ずれなし")))</f>
        <v/>
      </c>
      <c r="G425" s="9">
        <f>IF(A425="","",TEXT(B425,"0.00000000000000"))</f>
        <v/>
      </c>
    </row>
    <row r="426">
      <c r="A426" s="6" t="n"/>
      <c r="B426" s="7">
        <f>IF(A426="","",N(B425)+A426)</f>
        <v/>
      </c>
      <c r="C426" s="7">
        <f>IF(A426="","",ROUND(N(C425)+A426,$H$2))</f>
        <v/>
      </c>
      <c r="D426" s="8">
        <f>IF(A426="","",(B426-C426))</f>
        <v/>
      </c>
      <c r="E426" s="9">
        <f>IF(A426="","",B426=C426)</f>
        <v/>
      </c>
      <c r="F426" s="9">
        <f>IF(A426="","",IF(E426=FALSE,"比べると合わない",IF(D426&lt;&gt;0,"中身はずれている。比べると同じ","ずれなし")))</f>
        <v/>
      </c>
      <c r="G426" s="9">
        <f>IF(A426="","",TEXT(B426,"0.00000000000000"))</f>
        <v/>
      </c>
    </row>
    <row r="427">
      <c r="A427" s="6" t="n"/>
      <c r="B427" s="7">
        <f>IF(A427="","",N(B426)+A427)</f>
        <v/>
      </c>
      <c r="C427" s="7">
        <f>IF(A427="","",ROUND(N(C426)+A427,$H$2))</f>
        <v/>
      </c>
      <c r="D427" s="8">
        <f>IF(A427="","",(B427-C427))</f>
        <v/>
      </c>
      <c r="E427" s="9">
        <f>IF(A427="","",B427=C427)</f>
        <v/>
      </c>
      <c r="F427" s="9">
        <f>IF(A427="","",IF(E427=FALSE,"比べると合わない",IF(D427&lt;&gt;0,"中身はずれている。比べると同じ","ずれなし")))</f>
        <v/>
      </c>
      <c r="G427" s="9">
        <f>IF(A427="","",TEXT(B427,"0.00000000000000"))</f>
        <v/>
      </c>
    </row>
    <row r="428">
      <c r="A428" s="6" t="n"/>
      <c r="B428" s="7">
        <f>IF(A428="","",N(B427)+A428)</f>
        <v/>
      </c>
      <c r="C428" s="7">
        <f>IF(A428="","",ROUND(N(C427)+A428,$H$2))</f>
        <v/>
      </c>
      <c r="D428" s="8">
        <f>IF(A428="","",(B428-C428))</f>
        <v/>
      </c>
      <c r="E428" s="9">
        <f>IF(A428="","",B428=C428)</f>
        <v/>
      </c>
      <c r="F428" s="9">
        <f>IF(A428="","",IF(E428=FALSE,"比べると合わない",IF(D428&lt;&gt;0,"中身はずれている。比べると同じ","ずれなし")))</f>
        <v/>
      </c>
      <c r="G428" s="9">
        <f>IF(A428="","",TEXT(B428,"0.00000000000000"))</f>
        <v/>
      </c>
    </row>
    <row r="429">
      <c r="A429" s="6" t="n"/>
      <c r="B429" s="7">
        <f>IF(A429="","",N(B428)+A429)</f>
        <v/>
      </c>
      <c r="C429" s="7">
        <f>IF(A429="","",ROUND(N(C428)+A429,$H$2))</f>
        <v/>
      </c>
      <c r="D429" s="8">
        <f>IF(A429="","",(B429-C429))</f>
        <v/>
      </c>
      <c r="E429" s="9">
        <f>IF(A429="","",B429=C429)</f>
        <v/>
      </c>
      <c r="F429" s="9">
        <f>IF(A429="","",IF(E429=FALSE,"比べると合わない",IF(D429&lt;&gt;0,"中身はずれている。比べると同じ","ずれなし")))</f>
        <v/>
      </c>
      <c r="G429" s="9">
        <f>IF(A429="","",TEXT(B429,"0.00000000000000"))</f>
        <v/>
      </c>
    </row>
    <row r="430">
      <c r="A430" s="6" t="n"/>
      <c r="B430" s="7">
        <f>IF(A430="","",N(B429)+A430)</f>
        <v/>
      </c>
      <c r="C430" s="7">
        <f>IF(A430="","",ROUND(N(C429)+A430,$H$2))</f>
        <v/>
      </c>
      <c r="D430" s="8">
        <f>IF(A430="","",(B430-C430))</f>
        <v/>
      </c>
      <c r="E430" s="9">
        <f>IF(A430="","",B430=C430)</f>
        <v/>
      </c>
      <c r="F430" s="9">
        <f>IF(A430="","",IF(E430=FALSE,"比べると合わない",IF(D430&lt;&gt;0,"中身はずれている。比べると同じ","ずれなし")))</f>
        <v/>
      </c>
      <c r="G430" s="9">
        <f>IF(A430="","",TEXT(B430,"0.00000000000000"))</f>
        <v/>
      </c>
    </row>
    <row r="431">
      <c r="A431" s="6" t="n"/>
      <c r="B431" s="7">
        <f>IF(A431="","",N(B430)+A431)</f>
        <v/>
      </c>
      <c r="C431" s="7">
        <f>IF(A431="","",ROUND(N(C430)+A431,$H$2))</f>
        <v/>
      </c>
      <c r="D431" s="8">
        <f>IF(A431="","",(B431-C431))</f>
        <v/>
      </c>
      <c r="E431" s="9">
        <f>IF(A431="","",B431=C431)</f>
        <v/>
      </c>
      <c r="F431" s="9">
        <f>IF(A431="","",IF(E431=FALSE,"比べると合わない",IF(D431&lt;&gt;0,"中身はずれている。比べると同じ","ずれなし")))</f>
        <v/>
      </c>
      <c r="G431" s="9">
        <f>IF(A431="","",TEXT(B431,"0.00000000000000"))</f>
        <v/>
      </c>
    </row>
    <row r="432">
      <c r="A432" s="6" t="n"/>
      <c r="B432" s="7">
        <f>IF(A432="","",N(B431)+A432)</f>
        <v/>
      </c>
      <c r="C432" s="7">
        <f>IF(A432="","",ROUND(N(C431)+A432,$H$2))</f>
        <v/>
      </c>
      <c r="D432" s="8">
        <f>IF(A432="","",(B432-C432))</f>
        <v/>
      </c>
      <c r="E432" s="9">
        <f>IF(A432="","",B432=C432)</f>
        <v/>
      </c>
      <c r="F432" s="9">
        <f>IF(A432="","",IF(E432=FALSE,"比べると合わない",IF(D432&lt;&gt;0,"中身はずれている。比べると同じ","ずれなし")))</f>
        <v/>
      </c>
      <c r="G432" s="9">
        <f>IF(A432="","",TEXT(B432,"0.00000000000000"))</f>
        <v/>
      </c>
    </row>
    <row r="433">
      <c r="A433" s="6" t="n"/>
      <c r="B433" s="7">
        <f>IF(A433="","",N(B432)+A433)</f>
        <v/>
      </c>
      <c r="C433" s="7">
        <f>IF(A433="","",ROUND(N(C432)+A433,$H$2))</f>
        <v/>
      </c>
      <c r="D433" s="8">
        <f>IF(A433="","",(B433-C433))</f>
        <v/>
      </c>
      <c r="E433" s="9">
        <f>IF(A433="","",B433=C433)</f>
        <v/>
      </c>
      <c r="F433" s="9">
        <f>IF(A433="","",IF(E433=FALSE,"比べると合わない",IF(D433&lt;&gt;0,"中身はずれている。比べると同じ","ずれなし")))</f>
        <v/>
      </c>
      <c r="G433" s="9">
        <f>IF(A433="","",TEXT(B433,"0.00000000000000"))</f>
        <v/>
      </c>
    </row>
    <row r="434">
      <c r="A434" s="6" t="n"/>
      <c r="B434" s="7">
        <f>IF(A434="","",N(B433)+A434)</f>
        <v/>
      </c>
      <c r="C434" s="7">
        <f>IF(A434="","",ROUND(N(C433)+A434,$H$2))</f>
        <v/>
      </c>
      <c r="D434" s="8">
        <f>IF(A434="","",(B434-C434))</f>
        <v/>
      </c>
      <c r="E434" s="9">
        <f>IF(A434="","",B434=C434)</f>
        <v/>
      </c>
      <c r="F434" s="9">
        <f>IF(A434="","",IF(E434=FALSE,"比べると合わない",IF(D434&lt;&gt;0,"中身はずれている。比べると同じ","ずれなし")))</f>
        <v/>
      </c>
      <c r="G434" s="9">
        <f>IF(A434="","",TEXT(B434,"0.00000000000000"))</f>
        <v/>
      </c>
    </row>
    <row r="435">
      <c r="A435" s="6" t="n"/>
      <c r="B435" s="7">
        <f>IF(A435="","",N(B434)+A435)</f>
        <v/>
      </c>
      <c r="C435" s="7">
        <f>IF(A435="","",ROUND(N(C434)+A435,$H$2))</f>
        <v/>
      </c>
      <c r="D435" s="8">
        <f>IF(A435="","",(B435-C435))</f>
        <v/>
      </c>
      <c r="E435" s="9">
        <f>IF(A435="","",B435=C435)</f>
        <v/>
      </c>
      <c r="F435" s="9">
        <f>IF(A435="","",IF(E435=FALSE,"比べると合わない",IF(D435&lt;&gt;0,"中身はずれている。比べると同じ","ずれなし")))</f>
        <v/>
      </c>
      <c r="G435" s="9">
        <f>IF(A435="","",TEXT(B435,"0.00000000000000"))</f>
        <v/>
      </c>
    </row>
    <row r="436">
      <c r="A436" s="6" t="n"/>
      <c r="B436" s="7">
        <f>IF(A436="","",N(B435)+A436)</f>
        <v/>
      </c>
      <c r="C436" s="7">
        <f>IF(A436="","",ROUND(N(C435)+A436,$H$2))</f>
        <v/>
      </c>
      <c r="D436" s="8">
        <f>IF(A436="","",(B436-C436))</f>
        <v/>
      </c>
      <c r="E436" s="9">
        <f>IF(A436="","",B436=C436)</f>
        <v/>
      </c>
      <c r="F436" s="9">
        <f>IF(A436="","",IF(E436=FALSE,"比べると合わない",IF(D436&lt;&gt;0,"中身はずれている。比べると同じ","ずれなし")))</f>
        <v/>
      </c>
      <c r="G436" s="9">
        <f>IF(A436="","",TEXT(B436,"0.00000000000000"))</f>
        <v/>
      </c>
    </row>
    <row r="437">
      <c r="A437" s="6" t="n"/>
      <c r="B437" s="7">
        <f>IF(A437="","",N(B436)+A437)</f>
        <v/>
      </c>
      <c r="C437" s="7">
        <f>IF(A437="","",ROUND(N(C436)+A437,$H$2))</f>
        <v/>
      </c>
      <c r="D437" s="8">
        <f>IF(A437="","",(B437-C437))</f>
        <v/>
      </c>
      <c r="E437" s="9">
        <f>IF(A437="","",B437=C437)</f>
        <v/>
      </c>
      <c r="F437" s="9">
        <f>IF(A437="","",IF(E437=FALSE,"比べると合わない",IF(D437&lt;&gt;0,"中身はずれている。比べると同じ","ずれなし")))</f>
        <v/>
      </c>
      <c r="G437" s="9">
        <f>IF(A437="","",TEXT(B437,"0.00000000000000"))</f>
        <v/>
      </c>
    </row>
    <row r="438">
      <c r="A438" s="6" t="n"/>
      <c r="B438" s="7">
        <f>IF(A438="","",N(B437)+A438)</f>
        <v/>
      </c>
      <c r="C438" s="7">
        <f>IF(A438="","",ROUND(N(C437)+A438,$H$2))</f>
        <v/>
      </c>
      <c r="D438" s="8">
        <f>IF(A438="","",(B438-C438))</f>
        <v/>
      </c>
      <c r="E438" s="9">
        <f>IF(A438="","",B438=C438)</f>
        <v/>
      </c>
      <c r="F438" s="9">
        <f>IF(A438="","",IF(E438=FALSE,"比べると合わない",IF(D438&lt;&gt;0,"中身はずれている。比べると同じ","ずれなし")))</f>
        <v/>
      </c>
      <c r="G438" s="9">
        <f>IF(A438="","",TEXT(B438,"0.00000000000000"))</f>
        <v/>
      </c>
    </row>
    <row r="439">
      <c r="A439" s="6" t="n"/>
      <c r="B439" s="7">
        <f>IF(A439="","",N(B438)+A439)</f>
        <v/>
      </c>
      <c r="C439" s="7">
        <f>IF(A439="","",ROUND(N(C438)+A439,$H$2))</f>
        <v/>
      </c>
      <c r="D439" s="8">
        <f>IF(A439="","",(B439-C439))</f>
        <v/>
      </c>
      <c r="E439" s="9">
        <f>IF(A439="","",B439=C439)</f>
        <v/>
      </c>
      <c r="F439" s="9">
        <f>IF(A439="","",IF(E439=FALSE,"比べると合わない",IF(D439&lt;&gt;0,"中身はずれている。比べると同じ","ずれなし")))</f>
        <v/>
      </c>
      <c r="G439" s="9">
        <f>IF(A439="","",TEXT(B439,"0.00000000000000"))</f>
        <v/>
      </c>
    </row>
    <row r="440">
      <c r="A440" s="6" t="n"/>
      <c r="B440" s="7">
        <f>IF(A440="","",N(B439)+A440)</f>
        <v/>
      </c>
      <c r="C440" s="7">
        <f>IF(A440="","",ROUND(N(C439)+A440,$H$2))</f>
        <v/>
      </c>
      <c r="D440" s="8">
        <f>IF(A440="","",(B440-C440))</f>
        <v/>
      </c>
      <c r="E440" s="9">
        <f>IF(A440="","",B440=C440)</f>
        <v/>
      </c>
      <c r="F440" s="9">
        <f>IF(A440="","",IF(E440=FALSE,"比べると合わない",IF(D440&lt;&gt;0,"中身はずれている。比べると同じ","ずれなし")))</f>
        <v/>
      </c>
      <c r="G440" s="9">
        <f>IF(A440="","",TEXT(B440,"0.00000000000000"))</f>
        <v/>
      </c>
    </row>
    <row r="441">
      <c r="A441" s="6" t="n"/>
      <c r="B441" s="7">
        <f>IF(A441="","",N(B440)+A441)</f>
        <v/>
      </c>
      <c r="C441" s="7">
        <f>IF(A441="","",ROUND(N(C440)+A441,$H$2))</f>
        <v/>
      </c>
      <c r="D441" s="8">
        <f>IF(A441="","",(B441-C441))</f>
        <v/>
      </c>
      <c r="E441" s="9">
        <f>IF(A441="","",B441=C441)</f>
        <v/>
      </c>
      <c r="F441" s="9">
        <f>IF(A441="","",IF(E441=FALSE,"比べると合わない",IF(D441&lt;&gt;0,"中身はずれている。比べると同じ","ずれなし")))</f>
        <v/>
      </c>
      <c r="G441" s="9">
        <f>IF(A441="","",TEXT(B441,"0.00000000000000"))</f>
        <v/>
      </c>
    </row>
    <row r="442">
      <c r="A442" s="6" t="n"/>
      <c r="B442" s="7">
        <f>IF(A442="","",N(B441)+A442)</f>
        <v/>
      </c>
      <c r="C442" s="7">
        <f>IF(A442="","",ROUND(N(C441)+A442,$H$2))</f>
        <v/>
      </c>
      <c r="D442" s="8">
        <f>IF(A442="","",(B442-C442))</f>
        <v/>
      </c>
      <c r="E442" s="9">
        <f>IF(A442="","",B442=C442)</f>
        <v/>
      </c>
      <c r="F442" s="9">
        <f>IF(A442="","",IF(E442=FALSE,"比べると合わない",IF(D442&lt;&gt;0,"中身はずれている。比べると同じ","ずれなし")))</f>
        <v/>
      </c>
      <c r="G442" s="9">
        <f>IF(A442="","",TEXT(B442,"0.00000000000000"))</f>
        <v/>
      </c>
    </row>
    <row r="443">
      <c r="A443" s="6" t="n"/>
      <c r="B443" s="7">
        <f>IF(A443="","",N(B442)+A443)</f>
        <v/>
      </c>
      <c r="C443" s="7">
        <f>IF(A443="","",ROUND(N(C442)+A443,$H$2))</f>
        <v/>
      </c>
      <c r="D443" s="8">
        <f>IF(A443="","",(B443-C443))</f>
        <v/>
      </c>
      <c r="E443" s="9">
        <f>IF(A443="","",B443=C443)</f>
        <v/>
      </c>
      <c r="F443" s="9">
        <f>IF(A443="","",IF(E443=FALSE,"比べると合わない",IF(D443&lt;&gt;0,"中身はずれている。比べると同じ","ずれなし")))</f>
        <v/>
      </c>
      <c r="G443" s="9">
        <f>IF(A443="","",TEXT(B443,"0.00000000000000"))</f>
        <v/>
      </c>
    </row>
    <row r="444">
      <c r="A444" s="6" t="n"/>
      <c r="B444" s="7">
        <f>IF(A444="","",N(B443)+A444)</f>
        <v/>
      </c>
      <c r="C444" s="7">
        <f>IF(A444="","",ROUND(N(C443)+A444,$H$2))</f>
        <v/>
      </c>
      <c r="D444" s="8">
        <f>IF(A444="","",(B444-C444))</f>
        <v/>
      </c>
      <c r="E444" s="9">
        <f>IF(A444="","",B444=C444)</f>
        <v/>
      </c>
      <c r="F444" s="9">
        <f>IF(A444="","",IF(E444=FALSE,"比べると合わない",IF(D444&lt;&gt;0,"中身はずれている。比べると同じ","ずれなし")))</f>
        <v/>
      </c>
      <c r="G444" s="9">
        <f>IF(A444="","",TEXT(B444,"0.00000000000000"))</f>
        <v/>
      </c>
    </row>
    <row r="445">
      <c r="A445" s="6" t="n"/>
      <c r="B445" s="7">
        <f>IF(A445="","",N(B444)+A445)</f>
        <v/>
      </c>
      <c r="C445" s="7">
        <f>IF(A445="","",ROUND(N(C444)+A445,$H$2))</f>
        <v/>
      </c>
      <c r="D445" s="8">
        <f>IF(A445="","",(B445-C445))</f>
        <v/>
      </c>
      <c r="E445" s="9">
        <f>IF(A445="","",B445=C445)</f>
        <v/>
      </c>
      <c r="F445" s="9">
        <f>IF(A445="","",IF(E445=FALSE,"比べると合わない",IF(D445&lt;&gt;0,"中身はずれている。比べると同じ","ずれなし")))</f>
        <v/>
      </c>
      <c r="G445" s="9">
        <f>IF(A445="","",TEXT(B445,"0.00000000000000"))</f>
        <v/>
      </c>
    </row>
    <row r="446">
      <c r="A446" s="6" t="n"/>
      <c r="B446" s="7">
        <f>IF(A446="","",N(B445)+A446)</f>
        <v/>
      </c>
      <c r="C446" s="7">
        <f>IF(A446="","",ROUND(N(C445)+A446,$H$2))</f>
        <v/>
      </c>
      <c r="D446" s="8">
        <f>IF(A446="","",(B446-C446))</f>
        <v/>
      </c>
      <c r="E446" s="9">
        <f>IF(A446="","",B446=C446)</f>
        <v/>
      </c>
      <c r="F446" s="9">
        <f>IF(A446="","",IF(E446=FALSE,"比べると合わない",IF(D446&lt;&gt;0,"中身はずれている。比べると同じ","ずれなし")))</f>
        <v/>
      </c>
      <c r="G446" s="9">
        <f>IF(A446="","",TEXT(B446,"0.00000000000000"))</f>
        <v/>
      </c>
    </row>
    <row r="447">
      <c r="A447" s="6" t="n"/>
      <c r="B447" s="7">
        <f>IF(A447="","",N(B446)+A447)</f>
        <v/>
      </c>
      <c r="C447" s="7">
        <f>IF(A447="","",ROUND(N(C446)+A447,$H$2))</f>
        <v/>
      </c>
      <c r="D447" s="8">
        <f>IF(A447="","",(B447-C447))</f>
        <v/>
      </c>
      <c r="E447" s="9">
        <f>IF(A447="","",B447=C447)</f>
        <v/>
      </c>
      <c r="F447" s="9">
        <f>IF(A447="","",IF(E447=FALSE,"比べると合わない",IF(D447&lt;&gt;0,"中身はずれている。比べると同じ","ずれなし")))</f>
        <v/>
      </c>
      <c r="G447" s="9">
        <f>IF(A447="","",TEXT(B447,"0.00000000000000"))</f>
        <v/>
      </c>
    </row>
    <row r="448">
      <c r="A448" s="6" t="n"/>
      <c r="B448" s="7">
        <f>IF(A448="","",N(B447)+A448)</f>
        <v/>
      </c>
      <c r="C448" s="7">
        <f>IF(A448="","",ROUND(N(C447)+A448,$H$2))</f>
        <v/>
      </c>
      <c r="D448" s="8">
        <f>IF(A448="","",(B448-C448))</f>
        <v/>
      </c>
      <c r="E448" s="9">
        <f>IF(A448="","",B448=C448)</f>
        <v/>
      </c>
      <c r="F448" s="9">
        <f>IF(A448="","",IF(E448=FALSE,"比べると合わない",IF(D448&lt;&gt;0,"中身はずれている。比べると同じ","ずれなし")))</f>
        <v/>
      </c>
      <c r="G448" s="9">
        <f>IF(A448="","",TEXT(B448,"0.00000000000000"))</f>
        <v/>
      </c>
    </row>
    <row r="449">
      <c r="A449" s="6" t="n"/>
      <c r="B449" s="7">
        <f>IF(A449="","",N(B448)+A449)</f>
        <v/>
      </c>
      <c r="C449" s="7">
        <f>IF(A449="","",ROUND(N(C448)+A449,$H$2))</f>
        <v/>
      </c>
      <c r="D449" s="8">
        <f>IF(A449="","",(B449-C449))</f>
        <v/>
      </c>
      <c r="E449" s="9">
        <f>IF(A449="","",B449=C449)</f>
        <v/>
      </c>
      <c r="F449" s="9">
        <f>IF(A449="","",IF(E449=FALSE,"比べると合わない",IF(D449&lt;&gt;0,"中身はずれている。比べると同じ","ずれなし")))</f>
        <v/>
      </c>
      <c r="G449" s="9">
        <f>IF(A449="","",TEXT(B449,"0.00000000000000"))</f>
        <v/>
      </c>
    </row>
    <row r="450">
      <c r="A450" s="6" t="n"/>
      <c r="B450" s="7">
        <f>IF(A450="","",N(B449)+A450)</f>
        <v/>
      </c>
      <c r="C450" s="7">
        <f>IF(A450="","",ROUND(N(C449)+A450,$H$2))</f>
        <v/>
      </c>
      <c r="D450" s="8">
        <f>IF(A450="","",(B450-C450))</f>
        <v/>
      </c>
      <c r="E450" s="9">
        <f>IF(A450="","",B450=C450)</f>
        <v/>
      </c>
      <c r="F450" s="9">
        <f>IF(A450="","",IF(E450=FALSE,"比べると合わない",IF(D450&lt;&gt;0,"中身はずれている。比べると同じ","ずれなし")))</f>
        <v/>
      </c>
      <c r="G450" s="9">
        <f>IF(A450="","",TEXT(B450,"0.00000000000000"))</f>
        <v/>
      </c>
    </row>
    <row r="451">
      <c r="A451" s="6" t="n"/>
      <c r="B451" s="7">
        <f>IF(A451="","",N(B450)+A451)</f>
        <v/>
      </c>
      <c r="C451" s="7">
        <f>IF(A451="","",ROUND(N(C450)+A451,$H$2))</f>
        <v/>
      </c>
      <c r="D451" s="8">
        <f>IF(A451="","",(B451-C451))</f>
        <v/>
      </c>
      <c r="E451" s="9">
        <f>IF(A451="","",B451=C451)</f>
        <v/>
      </c>
      <c r="F451" s="9">
        <f>IF(A451="","",IF(E451=FALSE,"比べると合わない",IF(D451&lt;&gt;0,"中身はずれている。比べると同じ","ずれなし")))</f>
        <v/>
      </c>
      <c r="G451" s="9">
        <f>IF(A451="","",TEXT(B451,"0.00000000000000"))</f>
        <v/>
      </c>
    </row>
    <row r="452">
      <c r="A452" s="6" t="n"/>
      <c r="B452" s="7">
        <f>IF(A452="","",N(B451)+A452)</f>
        <v/>
      </c>
      <c r="C452" s="7">
        <f>IF(A452="","",ROUND(N(C451)+A452,$H$2))</f>
        <v/>
      </c>
      <c r="D452" s="8">
        <f>IF(A452="","",(B452-C452))</f>
        <v/>
      </c>
      <c r="E452" s="9">
        <f>IF(A452="","",B452=C452)</f>
        <v/>
      </c>
      <c r="F452" s="9">
        <f>IF(A452="","",IF(E452=FALSE,"比べると合わない",IF(D452&lt;&gt;0,"中身はずれている。比べると同じ","ずれなし")))</f>
        <v/>
      </c>
      <c r="G452" s="9">
        <f>IF(A452="","",TEXT(B452,"0.00000000000000"))</f>
        <v/>
      </c>
    </row>
    <row r="453">
      <c r="A453" s="6" t="n"/>
      <c r="B453" s="7">
        <f>IF(A453="","",N(B452)+A453)</f>
        <v/>
      </c>
      <c r="C453" s="7">
        <f>IF(A453="","",ROUND(N(C452)+A453,$H$2))</f>
        <v/>
      </c>
      <c r="D453" s="8">
        <f>IF(A453="","",(B453-C453))</f>
        <v/>
      </c>
      <c r="E453" s="9">
        <f>IF(A453="","",B453=C453)</f>
        <v/>
      </c>
      <c r="F453" s="9">
        <f>IF(A453="","",IF(E453=FALSE,"比べると合わない",IF(D453&lt;&gt;0,"中身はずれている。比べると同じ","ずれなし")))</f>
        <v/>
      </c>
      <c r="G453" s="9">
        <f>IF(A453="","",TEXT(B453,"0.00000000000000"))</f>
        <v/>
      </c>
    </row>
    <row r="454">
      <c r="A454" s="6" t="n"/>
      <c r="B454" s="7">
        <f>IF(A454="","",N(B453)+A454)</f>
        <v/>
      </c>
      <c r="C454" s="7">
        <f>IF(A454="","",ROUND(N(C453)+A454,$H$2))</f>
        <v/>
      </c>
      <c r="D454" s="8">
        <f>IF(A454="","",(B454-C454))</f>
        <v/>
      </c>
      <c r="E454" s="9">
        <f>IF(A454="","",B454=C454)</f>
        <v/>
      </c>
      <c r="F454" s="9">
        <f>IF(A454="","",IF(E454=FALSE,"比べると合わない",IF(D454&lt;&gt;0,"中身はずれている。比べると同じ","ずれなし")))</f>
        <v/>
      </c>
      <c r="G454" s="9">
        <f>IF(A454="","",TEXT(B454,"0.00000000000000"))</f>
        <v/>
      </c>
    </row>
    <row r="455">
      <c r="A455" s="6" t="n"/>
      <c r="B455" s="7">
        <f>IF(A455="","",N(B454)+A455)</f>
        <v/>
      </c>
      <c r="C455" s="7">
        <f>IF(A455="","",ROUND(N(C454)+A455,$H$2))</f>
        <v/>
      </c>
      <c r="D455" s="8">
        <f>IF(A455="","",(B455-C455))</f>
        <v/>
      </c>
      <c r="E455" s="9">
        <f>IF(A455="","",B455=C455)</f>
        <v/>
      </c>
      <c r="F455" s="9">
        <f>IF(A455="","",IF(E455=FALSE,"比べると合わない",IF(D455&lt;&gt;0,"中身はずれている。比べると同じ","ずれなし")))</f>
        <v/>
      </c>
      <c r="G455" s="9">
        <f>IF(A455="","",TEXT(B455,"0.00000000000000"))</f>
        <v/>
      </c>
    </row>
    <row r="456">
      <c r="A456" s="6" t="n"/>
      <c r="B456" s="7">
        <f>IF(A456="","",N(B455)+A456)</f>
        <v/>
      </c>
      <c r="C456" s="7">
        <f>IF(A456="","",ROUND(N(C455)+A456,$H$2))</f>
        <v/>
      </c>
      <c r="D456" s="8">
        <f>IF(A456="","",(B456-C456))</f>
        <v/>
      </c>
      <c r="E456" s="9">
        <f>IF(A456="","",B456=C456)</f>
        <v/>
      </c>
      <c r="F456" s="9">
        <f>IF(A456="","",IF(E456=FALSE,"比べると合わない",IF(D456&lt;&gt;0,"中身はずれている。比べると同じ","ずれなし")))</f>
        <v/>
      </c>
      <c r="G456" s="9">
        <f>IF(A456="","",TEXT(B456,"0.00000000000000"))</f>
        <v/>
      </c>
    </row>
    <row r="457">
      <c r="A457" s="6" t="n"/>
      <c r="B457" s="7">
        <f>IF(A457="","",N(B456)+A457)</f>
        <v/>
      </c>
      <c r="C457" s="7">
        <f>IF(A457="","",ROUND(N(C456)+A457,$H$2))</f>
        <v/>
      </c>
      <c r="D457" s="8">
        <f>IF(A457="","",(B457-C457))</f>
        <v/>
      </c>
      <c r="E457" s="9">
        <f>IF(A457="","",B457=C457)</f>
        <v/>
      </c>
      <c r="F457" s="9">
        <f>IF(A457="","",IF(E457=FALSE,"比べると合わない",IF(D457&lt;&gt;0,"中身はずれている。比べると同じ","ずれなし")))</f>
        <v/>
      </c>
      <c r="G457" s="9">
        <f>IF(A457="","",TEXT(B457,"0.00000000000000"))</f>
        <v/>
      </c>
    </row>
    <row r="458">
      <c r="A458" s="6" t="n"/>
      <c r="B458" s="7">
        <f>IF(A458="","",N(B457)+A458)</f>
        <v/>
      </c>
      <c r="C458" s="7">
        <f>IF(A458="","",ROUND(N(C457)+A458,$H$2))</f>
        <v/>
      </c>
      <c r="D458" s="8">
        <f>IF(A458="","",(B458-C458))</f>
        <v/>
      </c>
      <c r="E458" s="9">
        <f>IF(A458="","",B458=C458)</f>
        <v/>
      </c>
      <c r="F458" s="9">
        <f>IF(A458="","",IF(E458=FALSE,"比べると合わない",IF(D458&lt;&gt;0,"中身はずれている。比べると同じ","ずれなし")))</f>
        <v/>
      </c>
      <c r="G458" s="9">
        <f>IF(A458="","",TEXT(B458,"0.00000000000000"))</f>
        <v/>
      </c>
    </row>
    <row r="459">
      <c r="A459" s="6" t="n"/>
      <c r="B459" s="7">
        <f>IF(A459="","",N(B458)+A459)</f>
        <v/>
      </c>
      <c r="C459" s="7">
        <f>IF(A459="","",ROUND(N(C458)+A459,$H$2))</f>
        <v/>
      </c>
      <c r="D459" s="8">
        <f>IF(A459="","",(B459-C459))</f>
        <v/>
      </c>
      <c r="E459" s="9">
        <f>IF(A459="","",B459=C459)</f>
        <v/>
      </c>
      <c r="F459" s="9">
        <f>IF(A459="","",IF(E459=FALSE,"比べると合わない",IF(D459&lt;&gt;0,"中身はずれている。比べると同じ","ずれなし")))</f>
        <v/>
      </c>
      <c r="G459" s="9">
        <f>IF(A459="","",TEXT(B459,"0.00000000000000"))</f>
        <v/>
      </c>
    </row>
    <row r="460">
      <c r="A460" s="6" t="n"/>
      <c r="B460" s="7">
        <f>IF(A460="","",N(B459)+A460)</f>
        <v/>
      </c>
      <c r="C460" s="7">
        <f>IF(A460="","",ROUND(N(C459)+A460,$H$2))</f>
        <v/>
      </c>
      <c r="D460" s="8">
        <f>IF(A460="","",(B460-C460))</f>
        <v/>
      </c>
      <c r="E460" s="9">
        <f>IF(A460="","",B460=C460)</f>
        <v/>
      </c>
      <c r="F460" s="9">
        <f>IF(A460="","",IF(E460=FALSE,"比べると合わない",IF(D460&lt;&gt;0,"中身はずれている。比べると同じ","ずれなし")))</f>
        <v/>
      </c>
      <c r="G460" s="9">
        <f>IF(A460="","",TEXT(B460,"0.00000000000000"))</f>
        <v/>
      </c>
    </row>
    <row r="461">
      <c r="A461" s="6" t="n"/>
      <c r="B461" s="7">
        <f>IF(A461="","",N(B460)+A461)</f>
        <v/>
      </c>
      <c r="C461" s="7">
        <f>IF(A461="","",ROUND(N(C460)+A461,$H$2))</f>
        <v/>
      </c>
      <c r="D461" s="8">
        <f>IF(A461="","",(B461-C461))</f>
        <v/>
      </c>
      <c r="E461" s="9">
        <f>IF(A461="","",B461=C461)</f>
        <v/>
      </c>
      <c r="F461" s="9">
        <f>IF(A461="","",IF(E461=FALSE,"比べると合わない",IF(D461&lt;&gt;0,"中身はずれている。比べると同じ","ずれなし")))</f>
        <v/>
      </c>
      <c r="G461" s="9">
        <f>IF(A461="","",TEXT(B461,"0.00000000000000"))</f>
        <v/>
      </c>
    </row>
    <row r="462">
      <c r="A462" s="6" t="n"/>
      <c r="B462" s="7">
        <f>IF(A462="","",N(B461)+A462)</f>
        <v/>
      </c>
      <c r="C462" s="7">
        <f>IF(A462="","",ROUND(N(C461)+A462,$H$2))</f>
        <v/>
      </c>
      <c r="D462" s="8">
        <f>IF(A462="","",(B462-C462))</f>
        <v/>
      </c>
      <c r="E462" s="9">
        <f>IF(A462="","",B462=C462)</f>
        <v/>
      </c>
      <c r="F462" s="9">
        <f>IF(A462="","",IF(E462=FALSE,"比べると合わない",IF(D462&lt;&gt;0,"中身はずれている。比べると同じ","ずれなし")))</f>
        <v/>
      </c>
      <c r="G462" s="9">
        <f>IF(A462="","",TEXT(B462,"0.00000000000000"))</f>
        <v/>
      </c>
    </row>
    <row r="463">
      <c r="A463" s="6" t="n"/>
      <c r="B463" s="7">
        <f>IF(A463="","",N(B462)+A463)</f>
        <v/>
      </c>
      <c r="C463" s="7">
        <f>IF(A463="","",ROUND(N(C462)+A463,$H$2))</f>
        <v/>
      </c>
      <c r="D463" s="8">
        <f>IF(A463="","",(B463-C463))</f>
        <v/>
      </c>
      <c r="E463" s="9">
        <f>IF(A463="","",B463=C463)</f>
        <v/>
      </c>
      <c r="F463" s="9">
        <f>IF(A463="","",IF(E463=FALSE,"比べると合わない",IF(D463&lt;&gt;0,"中身はずれている。比べると同じ","ずれなし")))</f>
        <v/>
      </c>
      <c r="G463" s="9">
        <f>IF(A463="","",TEXT(B463,"0.00000000000000"))</f>
        <v/>
      </c>
    </row>
    <row r="464">
      <c r="A464" s="6" t="n"/>
      <c r="B464" s="7">
        <f>IF(A464="","",N(B463)+A464)</f>
        <v/>
      </c>
      <c r="C464" s="7">
        <f>IF(A464="","",ROUND(N(C463)+A464,$H$2))</f>
        <v/>
      </c>
      <c r="D464" s="8">
        <f>IF(A464="","",(B464-C464))</f>
        <v/>
      </c>
      <c r="E464" s="9">
        <f>IF(A464="","",B464=C464)</f>
        <v/>
      </c>
      <c r="F464" s="9">
        <f>IF(A464="","",IF(E464=FALSE,"比べると合わない",IF(D464&lt;&gt;0,"中身はずれている。比べると同じ","ずれなし")))</f>
        <v/>
      </c>
      <c r="G464" s="9">
        <f>IF(A464="","",TEXT(B464,"0.00000000000000"))</f>
        <v/>
      </c>
    </row>
    <row r="465">
      <c r="A465" s="6" t="n"/>
      <c r="B465" s="7">
        <f>IF(A465="","",N(B464)+A465)</f>
        <v/>
      </c>
      <c r="C465" s="7">
        <f>IF(A465="","",ROUND(N(C464)+A465,$H$2))</f>
        <v/>
      </c>
      <c r="D465" s="8">
        <f>IF(A465="","",(B465-C465))</f>
        <v/>
      </c>
      <c r="E465" s="9">
        <f>IF(A465="","",B465=C465)</f>
        <v/>
      </c>
      <c r="F465" s="9">
        <f>IF(A465="","",IF(E465=FALSE,"比べると合わない",IF(D465&lt;&gt;0,"中身はずれている。比べると同じ","ずれなし")))</f>
        <v/>
      </c>
      <c r="G465" s="9">
        <f>IF(A465="","",TEXT(B465,"0.00000000000000"))</f>
        <v/>
      </c>
    </row>
    <row r="466">
      <c r="A466" s="6" t="n"/>
      <c r="B466" s="7">
        <f>IF(A466="","",N(B465)+A466)</f>
        <v/>
      </c>
      <c r="C466" s="7">
        <f>IF(A466="","",ROUND(N(C465)+A466,$H$2))</f>
        <v/>
      </c>
      <c r="D466" s="8">
        <f>IF(A466="","",(B466-C466))</f>
        <v/>
      </c>
      <c r="E466" s="9">
        <f>IF(A466="","",B466=C466)</f>
        <v/>
      </c>
      <c r="F466" s="9">
        <f>IF(A466="","",IF(E466=FALSE,"比べると合わない",IF(D466&lt;&gt;0,"中身はずれている。比べると同じ","ずれなし")))</f>
        <v/>
      </c>
      <c r="G466" s="9">
        <f>IF(A466="","",TEXT(B466,"0.00000000000000"))</f>
        <v/>
      </c>
    </row>
    <row r="467">
      <c r="A467" s="6" t="n"/>
      <c r="B467" s="7">
        <f>IF(A467="","",N(B466)+A467)</f>
        <v/>
      </c>
      <c r="C467" s="7">
        <f>IF(A467="","",ROUND(N(C466)+A467,$H$2))</f>
        <v/>
      </c>
      <c r="D467" s="8">
        <f>IF(A467="","",(B467-C467))</f>
        <v/>
      </c>
      <c r="E467" s="9">
        <f>IF(A467="","",B467=C467)</f>
        <v/>
      </c>
      <c r="F467" s="9">
        <f>IF(A467="","",IF(E467=FALSE,"比べると合わない",IF(D467&lt;&gt;0,"中身はずれている。比べると同じ","ずれなし")))</f>
        <v/>
      </c>
      <c r="G467" s="9">
        <f>IF(A467="","",TEXT(B467,"0.00000000000000"))</f>
        <v/>
      </c>
    </row>
    <row r="468">
      <c r="A468" s="6" t="n"/>
      <c r="B468" s="7">
        <f>IF(A468="","",N(B467)+A468)</f>
        <v/>
      </c>
      <c r="C468" s="7">
        <f>IF(A468="","",ROUND(N(C467)+A468,$H$2))</f>
        <v/>
      </c>
      <c r="D468" s="8">
        <f>IF(A468="","",(B468-C468))</f>
        <v/>
      </c>
      <c r="E468" s="9">
        <f>IF(A468="","",B468=C468)</f>
        <v/>
      </c>
      <c r="F468" s="9">
        <f>IF(A468="","",IF(E468=FALSE,"比べると合わない",IF(D468&lt;&gt;0,"中身はずれている。比べると同じ","ずれなし")))</f>
        <v/>
      </c>
      <c r="G468" s="9">
        <f>IF(A468="","",TEXT(B468,"0.00000000000000"))</f>
        <v/>
      </c>
    </row>
    <row r="469">
      <c r="A469" s="6" t="n"/>
      <c r="B469" s="7">
        <f>IF(A469="","",N(B468)+A469)</f>
        <v/>
      </c>
      <c r="C469" s="7">
        <f>IF(A469="","",ROUND(N(C468)+A469,$H$2))</f>
        <v/>
      </c>
      <c r="D469" s="8">
        <f>IF(A469="","",(B469-C469))</f>
        <v/>
      </c>
      <c r="E469" s="9">
        <f>IF(A469="","",B469=C469)</f>
        <v/>
      </c>
      <c r="F469" s="9">
        <f>IF(A469="","",IF(E469=FALSE,"比べると合わない",IF(D469&lt;&gt;0,"中身はずれている。比べると同じ","ずれなし")))</f>
        <v/>
      </c>
      <c r="G469" s="9">
        <f>IF(A469="","",TEXT(B469,"0.00000000000000"))</f>
        <v/>
      </c>
    </row>
    <row r="470">
      <c r="A470" s="6" t="n"/>
      <c r="B470" s="7">
        <f>IF(A470="","",N(B469)+A470)</f>
        <v/>
      </c>
      <c r="C470" s="7">
        <f>IF(A470="","",ROUND(N(C469)+A470,$H$2))</f>
        <v/>
      </c>
      <c r="D470" s="8">
        <f>IF(A470="","",(B470-C470))</f>
        <v/>
      </c>
      <c r="E470" s="9">
        <f>IF(A470="","",B470=C470)</f>
        <v/>
      </c>
      <c r="F470" s="9">
        <f>IF(A470="","",IF(E470=FALSE,"比べると合わない",IF(D470&lt;&gt;0,"中身はずれている。比べると同じ","ずれなし")))</f>
        <v/>
      </c>
      <c r="G470" s="9">
        <f>IF(A470="","",TEXT(B470,"0.00000000000000"))</f>
        <v/>
      </c>
    </row>
    <row r="471">
      <c r="A471" s="6" t="n"/>
      <c r="B471" s="7">
        <f>IF(A471="","",N(B470)+A471)</f>
        <v/>
      </c>
      <c r="C471" s="7">
        <f>IF(A471="","",ROUND(N(C470)+A471,$H$2))</f>
        <v/>
      </c>
      <c r="D471" s="8">
        <f>IF(A471="","",(B471-C471))</f>
        <v/>
      </c>
      <c r="E471" s="9">
        <f>IF(A471="","",B471=C471)</f>
        <v/>
      </c>
      <c r="F471" s="9">
        <f>IF(A471="","",IF(E471=FALSE,"比べると合わない",IF(D471&lt;&gt;0,"中身はずれている。比べると同じ","ずれなし")))</f>
        <v/>
      </c>
      <c r="G471" s="9">
        <f>IF(A471="","",TEXT(B471,"0.00000000000000"))</f>
        <v/>
      </c>
    </row>
    <row r="472">
      <c r="A472" s="6" t="n"/>
      <c r="B472" s="7">
        <f>IF(A472="","",N(B471)+A472)</f>
        <v/>
      </c>
      <c r="C472" s="7">
        <f>IF(A472="","",ROUND(N(C471)+A472,$H$2))</f>
        <v/>
      </c>
      <c r="D472" s="8">
        <f>IF(A472="","",(B472-C472))</f>
        <v/>
      </c>
      <c r="E472" s="9">
        <f>IF(A472="","",B472=C472)</f>
        <v/>
      </c>
      <c r="F472" s="9">
        <f>IF(A472="","",IF(E472=FALSE,"比べると合わない",IF(D472&lt;&gt;0,"中身はずれている。比べると同じ","ずれなし")))</f>
        <v/>
      </c>
      <c r="G472" s="9">
        <f>IF(A472="","",TEXT(B472,"0.00000000000000"))</f>
        <v/>
      </c>
    </row>
    <row r="473">
      <c r="A473" s="6" t="n"/>
      <c r="B473" s="7">
        <f>IF(A473="","",N(B472)+A473)</f>
        <v/>
      </c>
      <c r="C473" s="7">
        <f>IF(A473="","",ROUND(N(C472)+A473,$H$2))</f>
        <v/>
      </c>
      <c r="D473" s="8">
        <f>IF(A473="","",(B473-C473))</f>
        <v/>
      </c>
      <c r="E473" s="9">
        <f>IF(A473="","",B473=C473)</f>
        <v/>
      </c>
      <c r="F473" s="9">
        <f>IF(A473="","",IF(E473=FALSE,"比べると合わない",IF(D473&lt;&gt;0,"中身はずれている。比べると同じ","ずれなし")))</f>
        <v/>
      </c>
      <c r="G473" s="9">
        <f>IF(A473="","",TEXT(B473,"0.00000000000000"))</f>
        <v/>
      </c>
    </row>
    <row r="474">
      <c r="A474" s="6" t="n"/>
      <c r="B474" s="7">
        <f>IF(A474="","",N(B473)+A474)</f>
        <v/>
      </c>
      <c r="C474" s="7">
        <f>IF(A474="","",ROUND(N(C473)+A474,$H$2))</f>
        <v/>
      </c>
      <c r="D474" s="8">
        <f>IF(A474="","",(B474-C474))</f>
        <v/>
      </c>
      <c r="E474" s="9">
        <f>IF(A474="","",B474=C474)</f>
        <v/>
      </c>
      <c r="F474" s="9">
        <f>IF(A474="","",IF(E474=FALSE,"比べると合わない",IF(D474&lt;&gt;0,"中身はずれている。比べると同じ","ずれなし")))</f>
        <v/>
      </c>
      <c r="G474" s="9">
        <f>IF(A474="","",TEXT(B474,"0.00000000000000"))</f>
        <v/>
      </c>
    </row>
    <row r="475">
      <c r="A475" s="6" t="n"/>
      <c r="B475" s="7">
        <f>IF(A475="","",N(B474)+A475)</f>
        <v/>
      </c>
      <c r="C475" s="7">
        <f>IF(A475="","",ROUND(N(C474)+A475,$H$2))</f>
        <v/>
      </c>
      <c r="D475" s="8">
        <f>IF(A475="","",(B475-C475))</f>
        <v/>
      </c>
      <c r="E475" s="9">
        <f>IF(A475="","",B475=C475)</f>
        <v/>
      </c>
      <c r="F475" s="9">
        <f>IF(A475="","",IF(E475=FALSE,"比べると合わない",IF(D475&lt;&gt;0,"中身はずれている。比べると同じ","ずれなし")))</f>
        <v/>
      </c>
      <c r="G475" s="9">
        <f>IF(A475="","",TEXT(B475,"0.00000000000000"))</f>
        <v/>
      </c>
    </row>
    <row r="476">
      <c r="A476" s="6" t="n"/>
      <c r="B476" s="7">
        <f>IF(A476="","",N(B475)+A476)</f>
        <v/>
      </c>
      <c r="C476" s="7">
        <f>IF(A476="","",ROUND(N(C475)+A476,$H$2))</f>
        <v/>
      </c>
      <c r="D476" s="8">
        <f>IF(A476="","",(B476-C476))</f>
        <v/>
      </c>
      <c r="E476" s="9">
        <f>IF(A476="","",B476=C476)</f>
        <v/>
      </c>
      <c r="F476" s="9">
        <f>IF(A476="","",IF(E476=FALSE,"比べると合わない",IF(D476&lt;&gt;0,"中身はずれている。比べると同じ","ずれなし")))</f>
        <v/>
      </c>
      <c r="G476" s="9">
        <f>IF(A476="","",TEXT(B476,"0.00000000000000"))</f>
        <v/>
      </c>
    </row>
    <row r="477">
      <c r="A477" s="6" t="n"/>
      <c r="B477" s="7">
        <f>IF(A477="","",N(B476)+A477)</f>
        <v/>
      </c>
      <c r="C477" s="7">
        <f>IF(A477="","",ROUND(N(C476)+A477,$H$2))</f>
        <v/>
      </c>
      <c r="D477" s="8">
        <f>IF(A477="","",(B477-C477))</f>
        <v/>
      </c>
      <c r="E477" s="9">
        <f>IF(A477="","",B477=C477)</f>
        <v/>
      </c>
      <c r="F477" s="9">
        <f>IF(A477="","",IF(E477=FALSE,"比べると合わない",IF(D477&lt;&gt;0,"中身はずれている。比べると同じ","ずれなし")))</f>
        <v/>
      </c>
      <c r="G477" s="9">
        <f>IF(A477="","",TEXT(B477,"0.00000000000000"))</f>
        <v/>
      </c>
    </row>
    <row r="478">
      <c r="A478" s="6" t="n"/>
      <c r="B478" s="7">
        <f>IF(A478="","",N(B477)+A478)</f>
        <v/>
      </c>
      <c r="C478" s="7">
        <f>IF(A478="","",ROUND(N(C477)+A478,$H$2))</f>
        <v/>
      </c>
      <c r="D478" s="8">
        <f>IF(A478="","",(B478-C478))</f>
        <v/>
      </c>
      <c r="E478" s="9">
        <f>IF(A478="","",B478=C478)</f>
        <v/>
      </c>
      <c r="F478" s="9">
        <f>IF(A478="","",IF(E478=FALSE,"比べると合わない",IF(D478&lt;&gt;0,"中身はずれている。比べると同じ","ずれなし")))</f>
        <v/>
      </c>
      <c r="G478" s="9">
        <f>IF(A478="","",TEXT(B478,"0.00000000000000"))</f>
        <v/>
      </c>
    </row>
    <row r="479">
      <c r="A479" s="6" t="n"/>
      <c r="B479" s="7">
        <f>IF(A479="","",N(B478)+A479)</f>
        <v/>
      </c>
      <c r="C479" s="7">
        <f>IF(A479="","",ROUND(N(C478)+A479,$H$2))</f>
        <v/>
      </c>
      <c r="D479" s="8">
        <f>IF(A479="","",(B479-C479))</f>
        <v/>
      </c>
      <c r="E479" s="9">
        <f>IF(A479="","",B479=C479)</f>
        <v/>
      </c>
      <c r="F479" s="9">
        <f>IF(A479="","",IF(E479=FALSE,"比べると合わない",IF(D479&lt;&gt;0,"中身はずれている。比べると同じ","ずれなし")))</f>
        <v/>
      </c>
      <c r="G479" s="9">
        <f>IF(A479="","",TEXT(B479,"0.00000000000000"))</f>
        <v/>
      </c>
    </row>
    <row r="480">
      <c r="A480" s="6" t="n"/>
      <c r="B480" s="7">
        <f>IF(A480="","",N(B479)+A480)</f>
        <v/>
      </c>
      <c r="C480" s="7">
        <f>IF(A480="","",ROUND(N(C479)+A480,$H$2))</f>
        <v/>
      </c>
      <c r="D480" s="8">
        <f>IF(A480="","",(B480-C480))</f>
        <v/>
      </c>
      <c r="E480" s="9">
        <f>IF(A480="","",B480=C480)</f>
        <v/>
      </c>
      <c r="F480" s="9">
        <f>IF(A480="","",IF(E480=FALSE,"比べると合わない",IF(D480&lt;&gt;0,"中身はずれている。比べると同じ","ずれなし")))</f>
        <v/>
      </c>
      <c r="G480" s="9">
        <f>IF(A480="","",TEXT(B480,"0.00000000000000"))</f>
        <v/>
      </c>
    </row>
    <row r="481">
      <c r="A481" s="6" t="n"/>
      <c r="B481" s="7">
        <f>IF(A481="","",N(B480)+A481)</f>
        <v/>
      </c>
      <c r="C481" s="7">
        <f>IF(A481="","",ROUND(N(C480)+A481,$H$2))</f>
        <v/>
      </c>
      <c r="D481" s="8">
        <f>IF(A481="","",(B481-C481))</f>
        <v/>
      </c>
      <c r="E481" s="9">
        <f>IF(A481="","",B481=C481)</f>
        <v/>
      </c>
      <c r="F481" s="9">
        <f>IF(A481="","",IF(E481=FALSE,"比べると合わない",IF(D481&lt;&gt;0,"中身はずれている。比べると同じ","ずれなし")))</f>
        <v/>
      </c>
      <c r="G481" s="9">
        <f>IF(A481="","",TEXT(B481,"0.00000000000000"))</f>
        <v/>
      </c>
    </row>
    <row r="482">
      <c r="A482" s="6" t="n"/>
      <c r="B482" s="7">
        <f>IF(A482="","",N(B481)+A482)</f>
        <v/>
      </c>
      <c r="C482" s="7">
        <f>IF(A482="","",ROUND(N(C481)+A482,$H$2))</f>
        <v/>
      </c>
      <c r="D482" s="8">
        <f>IF(A482="","",(B482-C482))</f>
        <v/>
      </c>
      <c r="E482" s="9">
        <f>IF(A482="","",B482=C482)</f>
        <v/>
      </c>
      <c r="F482" s="9">
        <f>IF(A482="","",IF(E482=FALSE,"比べると合わない",IF(D482&lt;&gt;0,"中身はずれている。比べると同じ","ずれなし")))</f>
        <v/>
      </c>
      <c r="G482" s="9">
        <f>IF(A482="","",TEXT(B482,"0.00000000000000"))</f>
        <v/>
      </c>
    </row>
    <row r="483">
      <c r="A483" s="6" t="n"/>
      <c r="B483" s="7">
        <f>IF(A483="","",N(B482)+A483)</f>
        <v/>
      </c>
      <c r="C483" s="7">
        <f>IF(A483="","",ROUND(N(C482)+A483,$H$2))</f>
        <v/>
      </c>
      <c r="D483" s="8">
        <f>IF(A483="","",(B483-C483))</f>
        <v/>
      </c>
      <c r="E483" s="9">
        <f>IF(A483="","",B483=C483)</f>
        <v/>
      </c>
      <c r="F483" s="9">
        <f>IF(A483="","",IF(E483=FALSE,"比べると合わない",IF(D483&lt;&gt;0,"中身はずれている。比べると同じ","ずれなし")))</f>
        <v/>
      </c>
      <c r="G483" s="9">
        <f>IF(A483="","",TEXT(B483,"0.00000000000000"))</f>
        <v/>
      </c>
    </row>
    <row r="484">
      <c r="A484" s="6" t="n"/>
      <c r="B484" s="7">
        <f>IF(A484="","",N(B483)+A484)</f>
        <v/>
      </c>
      <c r="C484" s="7">
        <f>IF(A484="","",ROUND(N(C483)+A484,$H$2))</f>
        <v/>
      </c>
      <c r="D484" s="8">
        <f>IF(A484="","",(B484-C484))</f>
        <v/>
      </c>
      <c r="E484" s="9">
        <f>IF(A484="","",B484=C484)</f>
        <v/>
      </c>
      <c r="F484" s="9">
        <f>IF(A484="","",IF(E484=FALSE,"比べると合わない",IF(D484&lt;&gt;0,"中身はずれている。比べると同じ","ずれなし")))</f>
        <v/>
      </c>
      <c r="G484" s="9">
        <f>IF(A484="","",TEXT(B484,"0.00000000000000"))</f>
        <v/>
      </c>
    </row>
    <row r="485">
      <c r="A485" s="6" t="n"/>
      <c r="B485" s="7">
        <f>IF(A485="","",N(B484)+A485)</f>
        <v/>
      </c>
      <c r="C485" s="7">
        <f>IF(A485="","",ROUND(N(C484)+A485,$H$2))</f>
        <v/>
      </c>
      <c r="D485" s="8">
        <f>IF(A485="","",(B485-C485))</f>
        <v/>
      </c>
      <c r="E485" s="9">
        <f>IF(A485="","",B485=C485)</f>
        <v/>
      </c>
      <c r="F485" s="9">
        <f>IF(A485="","",IF(E485=FALSE,"比べると合わない",IF(D485&lt;&gt;0,"中身はずれている。比べると同じ","ずれなし")))</f>
        <v/>
      </c>
      <c r="G485" s="9">
        <f>IF(A485="","",TEXT(B485,"0.00000000000000"))</f>
        <v/>
      </c>
    </row>
    <row r="486">
      <c r="A486" s="6" t="n"/>
      <c r="B486" s="7">
        <f>IF(A486="","",N(B485)+A486)</f>
        <v/>
      </c>
      <c r="C486" s="7">
        <f>IF(A486="","",ROUND(N(C485)+A486,$H$2))</f>
        <v/>
      </c>
      <c r="D486" s="8">
        <f>IF(A486="","",(B486-C486))</f>
        <v/>
      </c>
      <c r="E486" s="9">
        <f>IF(A486="","",B486=C486)</f>
        <v/>
      </c>
      <c r="F486" s="9">
        <f>IF(A486="","",IF(E486=FALSE,"比べると合わない",IF(D486&lt;&gt;0,"中身はずれている。比べると同じ","ずれなし")))</f>
        <v/>
      </c>
      <c r="G486" s="9">
        <f>IF(A486="","",TEXT(B486,"0.00000000000000"))</f>
        <v/>
      </c>
    </row>
    <row r="487">
      <c r="A487" s="6" t="n"/>
      <c r="B487" s="7">
        <f>IF(A487="","",N(B486)+A487)</f>
        <v/>
      </c>
      <c r="C487" s="7">
        <f>IF(A487="","",ROUND(N(C486)+A487,$H$2))</f>
        <v/>
      </c>
      <c r="D487" s="8">
        <f>IF(A487="","",(B487-C487))</f>
        <v/>
      </c>
      <c r="E487" s="9">
        <f>IF(A487="","",B487=C487)</f>
        <v/>
      </c>
      <c r="F487" s="9">
        <f>IF(A487="","",IF(E487=FALSE,"比べると合わない",IF(D487&lt;&gt;0,"中身はずれている。比べると同じ","ずれなし")))</f>
        <v/>
      </c>
      <c r="G487" s="9">
        <f>IF(A487="","",TEXT(B487,"0.00000000000000"))</f>
        <v/>
      </c>
    </row>
    <row r="488">
      <c r="A488" s="6" t="n"/>
      <c r="B488" s="7">
        <f>IF(A488="","",N(B487)+A488)</f>
        <v/>
      </c>
      <c r="C488" s="7">
        <f>IF(A488="","",ROUND(N(C487)+A488,$H$2))</f>
        <v/>
      </c>
      <c r="D488" s="8">
        <f>IF(A488="","",(B488-C488))</f>
        <v/>
      </c>
      <c r="E488" s="9">
        <f>IF(A488="","",B488=C488)</f>
        <v/>
      </c>
      <c r="F488" s="9">
        <f>IF(A488="","",IF(E488=FALSE,"比べると合わない",IF(D488&lt;&gt;0,"中身はずれている。比べると同じ","ずれなし")))</f>
        <v/>
      </c>
      <c r="G488" s="9">
        <f>IF(A488="","",TEXT(B488,"0.00000000000000"))</f>
        <v/>
      </c>
    </row>
    <row r="489">
      <c r="A489" s="6" t="n"/>
      <c r="B489" s="7">
        <f>IF(A489="","",N(B488)+A489)</f>
        <v/>
      </c>
      <c r="C489" s="7">
        <f>IF(A489="","",ROUND(N(C488)+A489,$H$2))</f>
        <v/>
      </c>
      <c r="D489" s="8">
        <f>IF(A489="","",(B489-C489))</f>
        <v/>
      </c>
      <c r="E489" s="9">
        <f>IF(A489="","",B489=C489)</f>
        <v/>
      </c>
      <c r="F489" s="9">
        <f>IF(A489="","",IF(E489=FALSE,"比べると合わない",IF(D489&lt;&gt;0,"中身はずれている。比べると同じ","ずれなし")))</f>
        <v/>
      </c>
      <c r="G489" s="9">
        <f>IF(A489="","",TEXT(B489,"0.00000000000000"))</f>
        <v/>
      </c>
    </row>
    <row r="490">
      <c r="A490" s="6" t="n"/>
      <c r="B490" s="7">
        <f>IF(A490="","",N(B489)+A490)</f>
        <v/>
      </c>
      <c r="C490" s="7">
        <f>IF(A490="","",ROUND(N(C489)+A490,$H$2))</f>
        <v/>
      </c>
      <c r="D490" s="8">
        <f>IF(A490="","",(B490-C490))</f>
        <v/>
      </c>
      <c r="E490" s="9">
        <f>IF(A490="","",B490=C490)</f>
        <v/>
      </c>
      <c r="F490" s="9">
        <f>IF(A490="","",IF(E490=FALSE,"比べると合わない",IF(D490&lt;&gt;0,"中身はずれている。比べると同じ","ずれなし")))</f>
        <v/>
      </c>
      <c r="G490" s="9">
        <f>IF(A490="","",TEXT(B490,"0.00000000000000"))</f>
        <v/>
      </c>
    </row>
    <row r="491">
      <c r="A491" s="6" t="n"/>
      <c r="B491" s="7">
        <f>IF(A491="","",N(B490)+A491)</f>
        <v/>
      </c>
      <c r="C491" s="7">
        <f>IF(A491="","",ROUND(N(C490)+A491,$H$2))</f>
        <v/>
      </c>
      <c r="D491" s="8">
        <f>IF(A491="","",(B491-C491))</f>
        <v/>
      </c>
      <c r="E491" s="9">
        <f>IF(A491="","",B491=C491)</f>
        <v/>
      </c>
      <c r="F491" s="9">
        <f>IF(A491="","",IF(E491=FALSE,"比べると合わない",IF(D491&lt;&gt;0,"中身はずれている。比べると同じ","ずれなし")))</f>
        <v/>
      </c>
      <c r="G491" s="9">
        <f>IF(A491="","",TEXT(B491,"0.00000000000000"))</f>
        <v/>
      </c>
    </row>
    <row r="492">
      <c r="A492" s="6" t="n"/>
      <c r="B492" s="7">
        <f>IF(A492="","",N(B491)+A492)</f>
        <v/>
      </c>
      <c r="C492" s="7">
        <f>IF(A492="","",ROUND(N(C491)+A492,$H$2))</f>
        <v/>
      </c>
      <c r="D492" s="8">
        <f>IF(A492="","",(B492-C492))</f>
        <v/>
      </c>
      <c r="E492" s="9">
        <f>IF(A492="","",B492=C492)</f>
        <v/>
      </c>
      <c r="F492" s="9">
        <f>IF(A492="","",IF(E492=FALSE,"比べると合わない",IF(D492&lt;&gt;0,"中身はずれている。比べると同じ","ずれなし")))</f>
        <v/>
      </c>
      <c r="G492" s="9">
        <f>IF(A492="","",TEXT(B492,"0.00000000000000"))</f>
        <v/>
      </c>
    </row>
    <row r="493">
      <c r="A493" s="6" t="n"/>
      <c r="B493" s="7">
        <f>IF(A493="","",N(B492)+A493)</f>
        <v/>
      </c>
      <c r="C493" s="7">
        <f>IF(A493="","",ROUND(N(C492)+A493,$H$2))</f>
        <v/>
      </c>
      <c r="D493" s="8">
        <f>IF(A493="","",(B493-C493))</f>
        <v/>
      </c>
      <c r="E493" s="9">
        <f>IF(A493="","",B493=C493)</f>
        <v/>
      </c>
      <c r="F493" s="9">
        <f>IF(A493="","",IF(E493=FALSE,"比べると合わない",IF(D493&lt;&gt;0,"中身はずれている。比べると同じ","ずれなし")))</f>
        <v/>
      </c>
      <c r="G493" s="9">
        <f>IF(A493="","",TEXT(B493,"0.00000000000000"))</f>
        <v/>
      </c>
    </row>
    <row r="494">
      <c r="A494" s="6" t="n"/>
      <c r="B494" s="7">
        <f>IF(A494="","",N(B493)+A494)</f>
        <v/>
      </c>
      <c r="C494" s="7">
        <f>IF(A494="","",ROUND(N(C493)+A494,$H$2))</f>
        <v/>
      </c>
      <c r="D494" s="8">
        <f>IF(A494="","",(B494-C494))</f>
        <v/>
      </c>
      <c r="E494" s="9">
        <f>IF(A494="","",B494=C494)</f>
        <v/>
      </c>
      <c r="F494" s="9">
        <f>IF(A494="","",IF(E494=FALSE,"比べると合わない",IF(D494&lt;&gt;0,"中身はずれている。比べると同じ","ずれなし")))</f>
        <v/>
      </c>
      <c r="G494" s="9">
        <f>IF(A494="","",TEXT(B494,"0.00000000000000"))</f>
        <v/>
      </c>
    </row>
    <row r="495">
      <c r="A495" s="6" t="n"/>
      <c r="B495" s="7">
        <f>IF(A495="","",N(B494)+A495)</f>
        <v/>
      </c>
      <c r="C495" s="7">
        <f>IF(A495="","",ROUND(N(C494)+A495,$H$2))</f>
        <v/>
      </c>
      <c r="D495" s="8">
        <f>IF(A495="","",(B495-C495))</f>
        <v/>
      </c>
      <c r="E495" s="9">
        <f>IF(A495="","",B495=C495)</f>
        <v/>
      </c>
      <c r="F495" s="9">
        <f>IF(A495="","",IF(E495=FALSE,"比べると合わない",IF(D495&lt;&gt;0,"中身はずれている。比べると同じ","ずれなし")))</f>
        <v/>
      </c>
      <c r="G495" s="9">
        <f>IF(A495="","",TEXT(B495,"0.00000000000000"))</f>
        <v/>
      </c>
    </row>
    <row r="496">
      <c r="A496" s="6" t="n"/>
      <c r="B496" s="7">
        <f>IF(A496="","",N(B495)+A496)</f>
        <v/>
      </c>
      <c r="C496" s="7">
        <f>IF(A496="","",ROUND(N(C495)+A496,$H$2))</f>
        <v/>
      </c>
      <c r="D496" s="8">
        <f>IF(A496="","",(B496-C496))</f>
        <v/>
      </c>
      <c r="E496" s="9">
        <f>IF(A496="","",B496=C496)</f>
        <v/>
      </c>
      <c r="F496" s="9">
        <f>IF(A496="","",IF(E496=FALSE,"比べると合わない",IF(D496&lt;&gt;0,"中身はずれている。比べると同じ","ずれなし")))</f>
        <v/>
      </c>
      <c r="G496" s="9">
        <f>IF(A496="","",TEXT(B496,"0.00000000000000"))</f>
        <v/>
      </c>
    </row>
    <row r="497">
      <c r="A497" s="6" t="n"/>
      <c r="B497" s="7">
        <f>IF(A497="","",N(B496)+A497)</f>
        <v/>
      </c>
      <c r="C497" s="7">
        <f>IF(A497="","",ROUND(N(C496)+A497,$H$2))</f>
        <v/>
      </c>
      <c r="D497" s="8">
        <f>IF(A497="","",(B497-C497))</f>
        <v/>
      </c>
      <c r="E497" s="9">
        <f>IF(A497="","",B497=C497)</f>
        <v/>
      </c>
      <c r="F497" s="9">
        <f>IF(A497="","",IF(E497=FALSE,"比べると合わない",IF(D497&lt;&gt;0,"中身はずれている。比べると同じ","ずれなし")))</f>
        <v/>
      </c>
      <c r="G497" s="9">
        <f>IF(A497="","",TEXT(B497,"0.00000000000000"))</f>
        <v/>
      </c>
    </row>
    <row r="498">
      <c r="A498" s="6" t="n"/>
      <c r="B498" s="7">
        <f>IF(A498="","",N(B497)+A498)</f>
        <v/>
      </c>
      <c r="C498" s="7">
        <f>IF(A498="","",ROUND(N(C497)+A498,$H$2))</f>
        <v/>
      </c>
      <c r="D498" s="8">
        <f>IF(A498="","",(B498-C498))</f>
        <v/>
      </c>
      <c r="E498" s="9">
        <f>IF(A498="","",B498=C498)</f>
        <v/>
      </c>
      <c r="F498" s="9">
        <f>IF(A498="","",IF(E498=FALSE,"比べると合わない",IF(D498&lt;&gt;0,"中身はずれている。比べると同じ","ずれなし")))</f>
        <v/>
      </c>
      <c r="G498" s="9">
        <f>IF(A498="","",TEXT(B498,"0.00000000000000"))</f>
        <v/>
      </c>
    </row>
    <row r="499">
      <c r="A499" s="6" t="n"/>
      <c r="B499" s="7">
        <f>IF(A499="","",N(B498)+A499)</f>
        <v/>
      </c>
      <c r="C499" s="7">
        <f>IF(A499="","",ROUND(N(C498)+A499,$H$2))</f>
        <v/>
      </c>
      <c r="D499" s="8">
        <f>IF(A499="","",(B499-C499))</f>
        <v/>
      </c>
      <c r="E499" s="9">
        <f>IF(A499="","",B499=C499)</f>
        <v/>
      </c>
      <c r="F499" s="9">
        <f>IF(A499="","",IF(E499=FALSE,"比べると合わない",IF(D499&lt;&gt;0,"中身はずれている。比べると同じ","ずれなし")))</f>
        <v/>
      </c>
      <c r="G499" s="9">
        <f>IF(A499="","",TEXT(B499,"0.00000000000000"))</f>
        <v/>
      </c>
    </row>
    <row r="500">
      <c r="A500" s="6" t="n"/>
      <c r="B500" s="7">
        <f>IF(A500="","",N(B499)+A500)</f>
        <v/>
      </c>
      <c r="C500" s="7">
        <f>IF(A500="","",ROUND(N(C499)+A500,$H$2))</f>
        <v/>
      </c>
      <c r="D500" s="8">
        <f>IF(A500="","",(B500-C500))</f>
        <v/>
      </c>
      <c r="E500" s="9">
        <f>IF(A500="","",B500=C500)</f>
        <v/>
      </c>
      <c r="F500" s="9">
        <f>IF(A500="","",IF(E500=FALSE,"比べると合わない",IF(D500&lt;&gt;0,"中身はずれている。比べると同じ","ずれなし")))</f>
        <v/>
      </c>
      <c r="G500" s="9">
        <f>IF(A500="","",TEXT(B500,"0.00000000000000"))</f>
        <v/>
      </c>
    </row>
    <row r="501">
      <c r="A501" s="6" t="n"/>
      <c r="B501" s="7">
        <f>IF(A501="","",N(B500)+A501)</f>
        <v/>
      </c>
      <c r="C501" s="7">
        <f>IF(A501="","",ROUND(N(C500)+A501,$H$2))</f>
        <v/>
      </c>
      <c r="D501" s="8">
        <f>IF(A501="","",(B501-C501))</f>
        <v/>
      </c>
      <c r="E501" s="9">
        <f>IF(A501="","",B501=C501)</f>
        <v/>
      </c>
      <c r="F501" s="9">
        <f>IF(A501="","",IF(E501=FALSE,"比べると合わない",IF(D501&lt;&gt;0,"中身はずれている。比べると同じ","ずれなし")))</f>
        <v/>
      </c>
      <c r="G501" s="9">
        <f>IF(A501="","",TEXT(B501,"0.00000000000000"))</f>
        <v/>
      </c>
    </row>
    <row r="502">
      <c r="A502" s="6" t="n"/>
      <c r="B502" s="7">
        <f>IF(A502="","",N(B501)+A502)</f>
        <v/>
      </c>
      <c r="C502" s="7">
        <f>IF(A502="","",ROUND(N(C501)+A502,$H$2))</f>
        <v/>
      </c>
      <c r="D502" s="8">
        <f>IF(A502="","",(B502-C502))</f>
        <v/>
      </c>
      <c r="E502" s="9">
        <f>IF(A502="","",B502=C502)</f>
        <v/>
      </c>
      <c r="F502" s="9">
        <f>IF(A502="","",IF(E502=FALSE,"比べると合わない",IF(D502&lt;&gt;0,"中身はずれている。比べると同じ","ずれなし")))</f>
        <v/>
      </c>
      <c r="G502" s="9">
        <f>IF(A502="","",TEXT(B502,"0.00000000000000"))</f>
        <v/>
      </c>
    </row>
    <row r="503">
      <c r="A503" s="6" t="n"/>
      <c r="B503" s="7">
        <f>IF(A503="","",N(B502)+A503)</f>
        <v/>
      </c>
      <c r="C503" s="7">
        <f>IF(A503="","",ROUND(N(C502)+A503,$H$2))</f>
        <v/>
      </c>
      <c r="D503" s="8">
        <f>IF(A503="","",(B503-C503))</f>
        <v/>
      </c>
      <c r="E503" s="9">
        <f>IF(A503="","",B503=C503)</f>
        <v/>
      </c>
      <c r="F503" s="9">
        <f>IF(A503="","",IF(E503=FALSE,"比べると合わない",IF(D503&lt;&gt;0,"中身はずれている。比べると同じ","ずれなし")))</f>
        <v/>
      </c>
      <c r="G503" s="9">
        <f>IF(A503="","",TEXT(B503,"0.00000000000000"))</f>
        <v/>
      </c>
    </row>
    <row r="504">
      <c r="A504" s="6" t="n"/>
      <c r="B504" s="7">
        <f>IF(A504="","",N(B503)+A504)</f>
        <v/>
      </c>
      <c r="C504" s="7">
        <f>IF(A504="","",ROUND(N(C503)+A504,$H$2))</f>
        <v/>
      </c>
      <c r="D504" s="8">
        <f>IF(A504="","",(B504-C504))</f>
        <v/>
      </c>
      <c r="E504" s="9">
        <f>IF(A504="","",B504=C504)</f>
        <v/>
      </c>
      <c r="F504" s="9">
        <f>IF(A504="","",IF(E504=FALSE,"比べると合わない",IF(D504&lt;&gt;0,"中身はずれている。比べると同じ","ずれなし")))</f>
        <v/>
      </c>
      <c r="G504" s="9">
        <f>IF(A504="","",TEXT(B504,"0.00000000000000"))</f>
        <v/>
      </c>
    </row>
    <row r="505">
      <c r="A505" s="6" t="n"/>
      <c r="B505" s="7">
        <f>IF(A505="","",N(B504)+A505)</f>
        <v/>
      </c>
      <c r="C505" s="7">
        <f>IF(A505="","",ROUND(N(C504)+A505,$H$2))</f>
        <v/>
      </c>
      <c r="D505" s="8">
        <f>IF(A505="","",(B505-C505))</f>
        <v/>
      </c>
      <c r="E505" s="9">
        <f>IF(A505="","",B505=C505)</f>
        <v/>
      </c>
      <c r="F505" s="9">
        <f>IF(A505="","",IF(E505=FALSE,"比べると合わない",IF(D505&lt;&gt;0,"中身はずれている。比べると同じ","ずれなし")))</f>
        <v/>
      </c>
      <c r="G505" s="9">
        <f>IF(A505="","",TEXT(B505,"0.00000000000000"))</f>
        <v/>
      </c>
    </row>
  </sheetData>
  <conditionalFormatting sqref="F6:F505">
    <cfRule type="expression" priority="1" dxfId="0">
      <formula>$F6="比べると合わない"</formula>
    </cfRule>
    <cfRule type="expression" priority="2" dxfId="1">
      <formula>$F6="中身はずれている。比べると同じ"</formula>
    </cfRule>
    <cfRule type="expression" priority="3" dxfId="2">
      <formula>$F6="ずれなし"</formula>
    </cfRule>
  </conditionalFormatting>
  <conditionalFormatting sqref="J7">
    <cfRule type="expression" priority="4" dxfId="0">
      <formula>AND($J$7&lt;&gt;"",$J$7&gt;0)</formula>
    </cfRule>
  </conditionalFormatting>
  <conditionalFormatting sqref="J12">
    <cfRule type="expression" priority="5" dxfId="0">
      <formula>J12=FALSE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007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10" customWidth="1" min="3" max="3"/>
    <col width="11" customWidth="1" min="4" max="4"/>
    <col width="16" customWidth="1" min="5" max="5"/>
    <col width="14" customWidth="1" min="6" max="6"/>
    <col width="12" customWidth="1" min="7" max="7"/>
    <col width="16" customWidth="1" min="8" max="8"/>
    <col width="20" customWidth="1" min="9" max="9"/>
  </cols>
  <sheetData>
    <row r="1">
      <c r="A1" s="1" t="inlineStr">
        <is>
          <t>0.1を2,000回足す。B列は =前の行+0.1、C列は回数÷10で出した正しい値</t>
        </is>
      </c>
    </row>
    <row r="2">
      <c r="A2" t="inlineStr">
        <is>
          <t>Microsoft 365のExcel（バージョン16）、Windows 11で確認、2026年10月6日</t>
        </is>
      </c>
    </row>
    <row r="3">
      <c r="B3" s="10" t="inlineStr">
        <is>
          <t>行数</t>
        </is>
      </c>
      <c r="C3" s="10" t="inlineStr">
        <is>
          <t>最初の回</t>
        </is>
      </c>
    </row>
    <row r="4">
      <c r="A4" s="10" t="inlineStr">
        <is>
          <t>比べて合わない行（=）</t>
        </is>
      </c>
      <c r="B4" s="11">
        <f>COUNTIF(D8:D2007,FALSE)</f>
        <v/>
      </c>
      <c r="C4" s="11">
        <f>MATCH(FALSE,D8:D2007,0)</f>
        <v/>
      </c>
    </row>
    <row r="5">
      <c r="A5" s="10" t="inlineStr">
        <is>
          <t>INT(累計×10) が回数と合わない行</t>
        </is>
      </c>
      <c r="B5" s="11">
        <f>COUNTIF(E8:E2007,FALSE)</f>
        <v/>
      </c>
      <c r="C5" s="11">
        <f>MATCH(FALSE,E8:E2007,0)</f>
        <v/>
      </c>
    </row>
    <row r="6">
      <c r="A6" s="10" t="inlineStr">
        <is>
          <t>&gt;= で目標に届かない行</t>
        </is>
      </c>
      <c r="B6" s="11">
        <f>COUNTIF(F8:F2007,FALSE)</f>
        <v/>
      </c>
      <c r="C6" s="11">
        <f>MATCH(FALSE,F8:F2007,0)</f>
        <v/>
      </c>
    </row>
    <row r="7">
      <c r="A7" s="5" t="inlineStr">
        <is>
          <t>回数</t>
        </is>
      </c>
      <c r="B7" s="13" t="inlineStr">
        <is>
          <t>累計（=前+0.1）</t>
        </is>
      </c>
      <c r="C7" s="13" t="inlineStr">
        <is>
          <t>正しい値</t>
        </is>
      </c>
      <c r="D7" s="5" t="inlineStr">
        <is>
          <t>比べる（=）</t>
        </is>
      </c>
      <c r="E7" s="5" t="inlineStr">
        <is>
          <t>INT(累計×10)=回数</t>
        </is>
      </c>
      <c r="F7" s="5" t="inlineStr">
        <is>
          <t>累計&gt;=正しい値</t>
        </is>
      </c>
      <c r="G7" s="5" t="inlineStr">
        <is>
          <t>丸めた累計</t>
        </is>
      </c>
      <c r="H7" s="5" t="inlineStr">
        <is>
          <t>丸めた累計=正しい値</t>
        </is>
      </c>
      <c r="I7" s="5" t="inlineStr">
        <is>
          <t>累計を15桁で見る</t>
        </is>
      </c>
    </row>
    <row r="8">
      <c r="A8" t="n">
        <v>1</v>
      </c>
      <c r="B8">
        <f>0.1</f>
        <v/>
      </c>
      <c r="C8">
        <f>A8/10</f>
        <v/>
      </c>
      <c r="D8">
        <f>B8=C8</f>
        <v/>
      </c>
      <c r="E8">
        <f>INT(B8*10)=A8</f>
        <v/>
      </c>
      <c r="F8">
        <f>B8&gt;=C8</f>
        <v/>
      </c>
      <c r="G8">
        <f>0.1</f>
        <v/>
      </c>
      <c r="H8">
        <f>G8=C8</f>
        <v/>
      </c>
      <c r="I8">
        <f>TEXT(B8,"0.00000000000000")</f>
        <v/>
      </c>
    </row>
    <row r="9">
      <c r="A9" t="n">
        <v>2</v>
      </c>
      <c r="B9">
        <f>B8+0.1</f>
        <v/>
      </c>
      <c r="C9">
        <f>A9/10</f>
        <v/>
      </c>
      <c r="D9">
        <f>B9=C9</f>
        <v/>
      </c>
      <c r="E9">
        <f>INT(B9*10)=A9</f>
        <v/>
      </c>
      <c r="F9">
        <f>B9&gt;=C9</f>
        <v/>
      </c>
      <c r="G9">
        <f>ROUND(G8+0.1,1)</f>
        <v/>
      </c>
      <c r="H9">
        <f>G9=C9</f>
        <v/>
      </c>
      <c r="I9">
        <f>TEXT(B9,"0.00000000000000")</f>
        <v/>
      </c>
    </row>
    <row r="10">
      <c r="A10" t="n">
        <v>3</v>
      </c>
      <c r="B10">
        <f>B9+0.1</f>
        <v/>
      </c>
      <c r="C10">
        <f>A10/10</f>
        <v/>
      </c>
      <c r="D10">
        <f>B10=C10</f>
        <v/>
      </c>
      <c r="E10">
        <f>INT(B10*10)=A10</f>
        <v/>
      </c>
      <c r="F10">
        <f>B10&gt;=C10</f>
        <v/>
      </c>
      <c r="G10">
        <f>ROUND(G9+0.1,1)</f>
        <v/>
      </c>
      <c r="H10">
        <f>G10=C10</f>
        <v/>
      </c>
      <c r="I10">
        <f>TEXT(B10,"0.00000000000000")</f>
        <v/>
      </c>
    </row>
    <row r="11">
      <c r="A11" t="n">
        <v>4</v>
      </c>
      <c r="B11">
        <f>B10+0.1</f>
        <v/>
      </c>
      <c r="C11">
        <f>A11/10</f>
        <v/>
      </c>
      <c r="D11">
        <f>B11=C11</f>
        <v/>
      </c>
      <c r="E11">
        <f>INT(B11*10)=A11</f>
        <v/>
      </c>
      <c r="F11">
        <f>B11&gt;=C11</f>
        <v/>
      </c>
      <c r="G11">
        <f>ROUND(G10+0.1,1)</f>
        <v/>
      </c>
      <c r="H11">
        <f>G11=C11</f>
        <v/>
      </c>
      <c r="I11">
        <f>TEXT(B11,"0.00000000000000")</f>
        <v/>
      </c>
    </row>
    <row r="12">
      <c r="A12" t="n">
        <v>5</v>
      </c>
      <c r="B12">
        <f>B11+0.1</f>
        <v/>
      </c>
      <c r="C12">
        <f>A12/10</f>
        <v/>
      </c>
      <c r="D12">
        <f>B12=C12</f>
        <v/>
      </c>
      <c r="E12">
        <f>INT(B12*10)=A12</f>
        <v/>
      </c>
      <c r="F12">
        <f>B12&gt;=C12</f>
        <v/>
      </c>
      <c r="G12">
        <f>ROUND(G11+0.1,1)</f>
        <v/>
      </c>
      <c r="H12">
        <f>G12=C12</f>
        <v/>
      </c>
      <c r="I12">
        <f>TEXT(B12,"0.00000000000000")</f>
        <v/>
      </c>
    </row>
    <row r="13">
      <c r="A13" t="n">
        <v>6</v>
      </c>
      <c r="B13">
        <f>B12+0.1</f>
        <v/>
      </c>
      <c r="C13">
        <f>A13/10</f>
        <v/>
      </c>
      <c r="D13">
        <f>B13=C13</f>
        <v/>
      </c>
      <c r="E13">
        <f>INT(B13*10)=A13</f>
        <v/>
      </c>
      <c r="F13">
        <f>B13&gt;=C13</f>
        <v/>
      </c>
      <c r="G13">
        <f>ROUND(G12+0.1,1)</f>
        <v/>
      </c>
      <c r="H13">
        <f>G13=C13</f>
        <v/>
      </c>
      <c r="I13">
        <f>TEXT(B13,"0.00000000000000")</f>
        <v/>
      </c>
    </row>
    <row r="14">
      <c r="A14" t="n">
        <v>7</v>
      </c>
      <c r="B14">
        <f>B13+0.1</f>
        <v/>
      </c>
      <c r="C14">
        <f>A14/10</f>
        <v/>
      </c>
      <c r="D14">
        <f>B14=C14</f>
        <v/>
      </c>
      <c r="E14">
        <f>INT(B14*10)=A14</f>
        <v/>
      </c>
      <c r="F14">
        <f>B14&gt;=C14</f>
        <v/>
      </c>
      <c r="G14">
        <f>ROUND(G13+0.1,1)</f>
        <v/>
      </c>
      <c r="H14">
        <f>G14=C14</f>
        <v/>
      </c>
      <c r="I14">
        <f>TEXT(B14,"0.00000000000000")</f>
        <v/>
      </c>
    </row>
    <row r="15">
      <c r="A15" t="n">
        <v>8</v>
      </c>
      <c r="B15">
        <f>B14+0.1</f>
        <v/>
      </c>
      <c r="C15">
        <f>A15/10</f>
        <v/>
      </c>
      <c r="D15">
        <f>B15=C15</f>
        <v/>
      </c>
      <c r="E15">
        <f>INT(B15*10)=A15</f>
        <v/>
      </c>
      <c r="F15">
        <f>B15&gt;=C15</f>
        <v/>
      </c>
      <c r="G15">
        <f>ROUND(G14+0.1,1)</f>
        <v/>
      </c>
      <c r="H15">
        <f>G15=C15</f>
        <v/>
      </c>
      <c r="I15">
        <f>TEXT(B15,"0.00000000000000")</f>
        <v/>
      </c>
    </row>
    <row r="16">
      <c r="A16" t="n">
        <v>9</v>
      </c>
      <c r="B16">
        <f>B15+0.1</f>
        <v/>
      </c>
      <c r="C16">
        <f>A16/10</f>
        <v/>
      </c>
      <c r="D16">
        <f>B16=C16</f>
        <v/>
      </c>
      <c r="E16">
        <f>INT(B16*10)=A16</f>
        <v/>
      </c>
      <c r="F16">
        <f>B16&gt;=C16</f>
        <v/>
      </c>
      <c r="G16">
        <f>ROUND(G15+0.1,1)</f>
        <v/>
      </c>
      <c r="H16">
        <f>G16=C16</f>
        <v/>
      </c>
      <c r="I16">
        <f>TEXT(B16,"0.00000000000000")</f>
        <v/>
      </c>
    </row>
    <row r="17">
      <c r="A17" t="n">
        <v>10</v>
      </c>
      <c r="B17">
        <f>B16+0.1</f>
        <v/>
      </c>
      <c r="C17">
        <f>A17/10</f>
        <v/>
      </c>
      <c r="D17">
        <f>B17=C17</f>
        <v/>
      </c>
      <c r="E17">
        <f>INT(B17*10)=A17</f>
        <v/>
      </c>
      <c r="F17">
        <f>B17&gt;=C17</f>
        <v/>
      </c>
      <c r="G17">
        <f>ROUND(G16+0.1,1)</f>
        <v/>
      </c>
      <c r="H17">
        <f>G17=C17</f>
        <v/>
      </c>
      <c r="I17">
        <f>TEXT(B17,"0.00000000000000")</f>
        <v/>
      </c>
    </row>
    <row r="18">
      <c r="A18" t="n">
        <v>11</v>
      </c>
      <c r="B18">
        <f>B17+0.1</f>
        <v/>
      </c>
      <c r="C18">
        <f>A18/10</f>
        <v/>
      </c>
      <c r="D18">
        <f>B18=C18</f>
        <v/>
      </c>
      <c r="E18">
        <f>INT(B18*10)=A18</f>
        <v/>
      </c>
      <c r="F18">
        <f>B18&gt;=C18</f>
        <v/>
      </c>
      <c r="G18">
        <f>ROUND(G17+0.1,1)</f>
        <v/>
      </c>
      <c r="H18">
        <f>G18=C18</f>
        <v/>
      </c>
      <c r="I18">
        <f>TEXT(B18,"0.00000000000000")</f>
        <v/>
      </c>
    </row>
    <row r="19">
      <c r="A19" t="n">
        <v>12</v>
      </c>
      <c r="B19">
        <f>B18+0.1</f>
        <v/>
      </c>
      <c r="C19">
        <f>A19/10</f>
        <v/>
      </c>
      <c r="D19">
        <f>B19=C19</f>
        <v/>
      </c>
      <c r="E19">
        <f>INT(B19*10)=A19</f>
        <v/>
      </c>
      <c r="F19">
        <f>B19&gt;=C19</f>
        <v/>
      </c>
      <c r="G19">
        <f>ROUND(G18+0.1,1)</f>
        <v/>
      </c>
      <c r="H19">
        <f>G19=C19</f>
        <v/>
      </c>
      <c r="I19">
        <f>TEXT(B19,"0.00000000000000")</f>
        <v/>
      </c>
    </row>
    <row r="20">
      <c r="A20" t="n">
        <v>13</v>
      </c>
      <c r="B20">
        <f>B19+0.1</f>
        <v/>
      </c>
      <c r="C20">
        <f>A20/10</f>
        <v/>
      </c>
      <c r="D20">
        <f>B20=C20</f>
        <v/>
      </c>
      <c r="E20">
        <f>INT(B20*10)=A20</f>
        <v/>
      </c>
      <c r="F20">
        <f>B20&gt;=C20</f>
        <v/>
      </c>
      <c r="G20">
        <f>ROUND(G19+0.1,1)</f>
        <v/>
      </c>
      <c r="H20">
        <f>G20=C20</f>
        <v/>
      </c>
      <c r="I20">
        <f>TEXT(B20,"0.00000000000000")</f>
        <v/>
      </c>
    </row>
    <row r="21">
      <c r="A21" t="n">
        <v>14</v>
      </c>
      <c r="B21">
        <f>B20+0.1</f>
        <v/>
      </c>
      <c r="C21">
        <f>A21/10</f>
        <v/>
      </c>
      <c r="D21">
        <f>B21=C21</f>
        <v/>
      </c>
      <c r="E21">
        <f>INT(B21*10)=A21</f>
        <v/>
      </c>
      <c r="F21">
        <f>B21&gt;=C21</f>
        <v/>
      </c>
      <c r="G21">
        <f>ROUND(G20+0.1,1)</f>
        <v/>
      </c>
      <c r="H21">
        <f>G21=C21</f>
        <v/>
      </c>
      <c r="I21">
        <f>TEXT(B21,"0.00000000000000")</f>
        <v/>
      </c>
    </row>
    <row r="22">
      <c r="A22" t="n">
        <v>15</v>
      </c>
      <c r="B22">
        <f>B21+0.1</f>
        <v/>
      </c>
      <c r="C22">
        <f>A22/10</f>
        <v/>
      </c>
      <c r="D22">
        <f>B22=C22</f>
        <v/>
      </c>
      <c r="E22">
        <f>INT(B22*10)=A22</f>
        <v/>
      </c>
      <c r="F22">
        <f>B22&gt;=C22</f>
        <v/>
      </c>
      <c r="G22">
        <f>ROUND(G21+0.1,1)</f>
        <v/>
      </c>
      <c r="H22">
        <f>G22=C22</f>
        <v/>
      </c>
      <c r="I22">
        <f>TEXT(B22,"0.00000000000000")</f>
        <v/>
      </c>
    </row>
    <row r="23">
      <c r="A23" t="n">
        <v>16</v>
      </c>
      <c r="B23">
        <f>B22+0.1</f>
        <v/>
      </c>
      <c r="C23">
        <f>A23/10</f>
        <v/>
      </c>
      <c r="D23">
        <f>B23=C23</f>
        <v/>
      </c>
      <c r="E23">
        <f>INT(B23*10)=A23</f>
        <v/>
      </c>
      <c r="F23">
        <f>B23&gt;=C23</f>
        <v/>
      </c>
      <c r="G23">
        <f>ROUND(G22+0.1,1)</f>
        <v/>
      </c>
      <c r="H23">
        <f>G23=C23</f>
        <v/>
      </c>
      <c r="I23">
        <f>TEXT(B23,"0.00000000000000")</f>
        <v/>
      </c>
    </row>
    <row r="24">
      <c r="A24" t="n">
        <v>17</v>
      </c>
      <c r="B24">
        <f>B23+0.1</f>
        <v/>
      </c>
      <c r="C24">
        <f>A24/10</f>
        <v/>
      </c>
      <c r="D24">
        <f>B24=C24</f>
        <v/>
      </c>
      <c r="E24">
        <f>INT(B24*10)=A24</f>
        <v/>
      </c>
      <c r="F24">
        <f>B24&gt;=C24</f>
        <v/>
      </c>
      <c r="G24">
        <f>ROUND(G23+0.1,1)</f>
        <v/>
      </c>
      <c r="H24">
        <f>G24=C24</f>
        <v/>
      </c>
      <c r="I24">
        <f>TEXT(B24,"0.00000000000000")</f>
        <v/>
      </c>
    </row>
    <row r="25">
      <c r="A25" t="n">
        <v>18</v>
      </c>
      <c r="B25">
        <f>B24+0.1</f>
        <v/>
      </c>
      <c r="C25">
        <f>A25/10</f>
        <v/>
      </c>
      <c r="D25">
        <f>B25=C25</f>
        <v/>
      </c>
      <c r="E25">
        <f>INT(B25*10)=A25</f>
        <v/>
      </c>
      <c r="F25">
        <f>B25&gt;=C25</f>
        <v/>
      </c>
      <c r="G25">
        <f>ROUND(G24+0.1,1)</f>
        <v/>
      </c>
      <c r="H25">
        <f>G25=C25</f>
        <v/>
      </c>
      <c r="I25">
        <f>TEXT(B25,"0.00000000000000")</f>
        <v/>
      </c>
    </row>
    <row r="26">
      <c r="A26" t="n">
        <v>19</v>
      </c>
      <c r="B26">
        <f>B25+0.1</f>
        <v/>
      </c>
      <c r="C26">
        <f>A26/10</f>
        <v/>
      </c>
      <c r="D26">
        <f>B26=C26</f>
        <v/>
      </c>
      <c r="E26">
        <f>INT(B26*10)=A26</f>
        <v/>
      </c>
      <c r="F26">
        <f>B26&gt;=C26</f>
        <v/>
      </c>
      <c r="G26">
        <f>ROUND(G25+0.1,1)</f>
        <v/>
      </c>
      <c r="H26">
        <f>G26=C26</f>
        <v/>
      </c>
      <c r="I26">
        <f>TEXT(B26,"0.00000000000000")</f>
        <v/>
      </c>
    </row>
    <row r="27">
      <c r="A27" t="n">
        <v>20</v>
      </c>
      <c r="B27">
        <f>B26+0.1</f>
        <v/>
      </c>
      <c r="C27">
        <f>A27/10</f>
        <v/>
      </c>
      <c r="D27">
        <f>B27=C27</f>
        <v/>
      </c>
      <c r="E27">
        <f>INT(B27*10)=A27</f>
        <v/>
      </c>
      <c r="F27">
        <f>B27&gt;=C27</f>
        <v/>
      </c>
      <c r="G27">
        <f>ROUND(G26+0.1,1)</f>
        <v/>
      </c>
      <c r="H27">
        <f>G27=C27</f>
        <v/>
      </c>
      <c r="I27">
        <f>TEXT(B27,"0.00000000000000")</f>
        <v/>
      </c>
    </row>
    <row r="28">
      <c r="A28" t="n">
        <v>21</v>
      </c>
      <c r="B28">
        <f>B27+0.1</f>
        <v/>
      </c>
      <c r="C28">
        <f>A28/10</f>
        <v/>
      </c>
      <c r="D28">
        <f>B28=C28</f>
        <v/>
      </c>
      <c r="E28">
        <f>INT(B28*10)=A28</f>
        <v/>
      </c>
      <c r="F28">
        <f>B28&gt;=C28</f>
        <v/>
      </c>
      <c r="G28">
        <f>ROUND(G27+0.1,1)</f>
        <v/>
      </c>
      <c r="H28">
        <f>G28=C28</f>
        <v/>
      </c>
      <c r="I28">
        <f>TEXT(B28,"0.00000000000000")</f>
        <v/>
      </c>
    </row>
    <row r="29">
      <c r="A29" t="n">
        <v>22</v>
      </c>
      <c r="B29">
        <f>B28+0.1</f>
        <v/>
      </c>
      <c r="C29">
        <f>A29/10</f>
        <v/>
      </c>
      <c r="D29">
        <f>B29=C29</f>
        <v/>
      </c>
      <c r="E29">
        <f>INT(B29*10)=A29</f>
        <v/>
      </c>
      <c r="F29">
        <f>B29&gt;=C29</f>
        <v/>
      </c>
      <c r="G29">
        <f>ROUND(G28+0.1,1)</f>
        <v/>
      </c>
      <c r="H29">
        <f>G29=C29</f>
        <v/>
      </c>
      <c r="I29">
        <f>TEXT(B29,"0.00000000000000")</f>
        <v/>
      </c>
    </row>
    <row r="30">
      <c r="A30" t="n">
        <v>23</v>
      </c>
      <c r="B30">
        <f>B29+0.1</f>
        <v/>
      </c>
      <c r="C30">
        <f>A30/10</f>
        <v/>
      </c>
      <c r="D30">
        <f>B30=C30</f>
        <v/>
      </c>
      <c r="E30">
        <f>INT(B30*10)=A30</f>
        <v/>
      </c>
      <c r="F30">
        <f>B30&gt;=C30</f>
        <v/>
      </c>
      <c r="G30">
        <f>ROUND(G29+0.1,1)</f>
        <v/>
      </c>
      <c r="H30">
        <f>G30=C30</f>
        <v/>
      </c>
      <c r="I30">
        <f>TEXT(B30,"0.00000000000000")</f>
        <v/>
      </c>
    </row>
    <row r="31">
      <c r="A31" t="n">
        <v>24</v>
      </c>
      <c r="B31">
        <f>B30+0.1</f>
        <v/>
      </c>
      <c r="C31">
        <f>A31/10</f>
        <v/>
      </c>
      <c r="D31">
        <f>B31=C31</f>
        <v/>
      </c>
      <c r="E31">
        <f>INT(B31*10)=A31</f>
        <v/>
      </c>
      <c r="F31">
        <f>B31&gt;=C31</f>
        <v/>
      </c>
      <c r="G31">
        <f>ROUND(G30+0.1,1)</f>
        <v/>
      </c>
      <c r="H31">
        <f>G31=C31</f>
        <v/>
      </c>
      <c r="I31">
        <f>TEXT(B31,"0.00000000000000")</f>
        <v/>
      </c>
    </row>
    <row r="32">
      <c r="A32" t="n">
        <v>25</v>
      </c>
      <c r="B32">
        <f>B31+0.1</f>
        <v/>
      </c>
      <c r="C32">
        <f>A32/10</f>
        <v/>
      </c>
      <c r="D32">
        <f>B32=C32</f>
        <v/>
      </c>
      <c r="E32">
        <f>INT(B32*10)=A32</f>
        <v/>
      </c>
      <c r="F32">
        <f>B32&gt;=C32</f>
        <v/>
      </c>
      <c r="G32">
        <f>ROUND(G31+0.1,1)</f>
        <v/>
      </c>
      <c r="H32">
        <f>G32=C32</f>
        <v/>
      </c>
      <c r="I32">
        <f>TEXT(B32,"0.00000000000000")</f>
        <v/>
      </c>
    </row>
    <row r="33">
      <c r="A33" t="n">
        <v>26</v>
      </c>
      <c r="B33">
        <f>B32+0.1</f>
        <v/>
      </c>
      <c r="C33">
        <f>A33/10</f>
        <v/>
      </c>
      <c r="D33">
        <f>B33=C33</f>
        <v/>
      </c>
      <c r="E33">
        <f>INT(B33*10)=A33</f>
        <v/>
      </c>
      <c r="F33">
        <f>B33&gt;=C33</f>
        <v/>
      </c>
      <c r="G33">
        <f>ROUND(G32+0.1,1)</f>
        <v/>
      </c>
      <c r="H33">
        <f>G33=C33</f>
        <v/>
      </c>
      <c r="I33">
        <f>TEXT(B33,"0.00000000000000")</f>
        <v/>
      </c>
    </row>
    <row r="34">
      <c r="A34" t="n">
        <v>27</v>
      </c>
      <c r="B34">
        <f>B33+0.1</f>
        <v/>
      </c>
      <c r="C34">
        <f>A34/10</f>
        <v/>
      </c>
      <c r="D34">
        <f>B34=C34</f>
        <v/>
      </c>
      <c r="E34">
        <f>INT(B34*10)=A34</f>
        <v/>
      </c>
      <c r="F34">
        <f>B34&gt;=C34</f>
        <v/>
      </c>
      <c r="G34">
        <f>ROUND(G33+0.1,1)</f>
        <v/>
      </c>
      <c r="H34">
        <f>G34=C34</f>
        <v/>
      </c>
      <c r="I34">
        <f>TEXT(B34,"0.00000000000000")</f>
        <v/>
      </c>
    </row>
    <row r="35">
      <c r="A35" t="n">
        <v>28</v>
      </c>
      <c r="B35">
        <f>B34+0.1</f>
        <v/>
      </c>
      <c r="C35">
        <f>A35/10</f>
        <v/>
      </c>
      <c r="D35">
        <f>B35=C35</f>
        <v/>
      </c>
      <c r="E35">
        <f>INT(B35*10)=A35</f>
        <v/>
      </c>
      <c r="F35">
        <f>B35&gt;=C35</f>
        <v/>
      </c>
      <c r="G35">
        <f>ROUND(G34+0.1,1)</f>
        <v/>
      </c>
      <c r="H35">
        <f>G35=C35</f>
        <v/>
      </c>
      <c r="I35">
        <f>TEXT(B35,"0.00000000000000")</f>
        <v/>
      </c>
    </row>
    <row r="36">
      <c r="A36" t="n">
        <v>29</v>
      </c>
      <c r="B36">
        <f>B35+0.1</f>
        <v/>
      </c>
      <c r="C36">
        <f>A36/10</f>
        <v/>
      </c>
      <c r="D36">
        <f>B36=C36</f>
        <v/>
      </c>
      <c r="E36">
        <f>INT(B36*10)=A36</f>
        <v/>
      </c>
      <c r="F36">
        <f>B36&gt;=C36</f>
        <v/>
      </c>
      <c r="G36">
        <f>ROUND(G35+0.1,1)</f>
        <v/>
      </c>
      <c r="H36">
        <f>G36=C36</f>
        <v/>
      </c>
      <c r="I36">
        <f>TEXT(B36,"0.00000000000000")</f>
        <v/>
      </c>
    </row>
    <row r="37">
      <c r="A37" t="n">
        <v>30</v>
      </c>
      <c r="B37">
        <f>B36+0.1</f>
        <v/>
      </c>
      <c r="C37">
        <f>A37/10</f>
        <v/>
      </c>
      <c r="D37">
        <f>B37=C37</f>
        <v/>
      </c>
      <c r="E37">
        <f>INT(B37*10)=A37</f>
        <v/>
      </c>
      <c r="F37">
        <f>B37&gt;=C37</f>
        <v/>
      </c>
      <c r="G37">
        <f>ROUND(G36+0.1,1)</f>
        <v/>
      </c>
      <c r="H37">
        <f>G37=C37</f>
        <v/>
      </c>
      <c r="I37">
        <f>TEXT(B37,"0.00000000000000")</f>
        <v/>
      </c>
    </row>
    <row r="38">
      <c r="A38" t="n">
        <v>31</v>
      </c>
      <c r="B38">
        <f>B37+0.1</f>
        <v/>
      </c>
      <c r="C38">
        <f>A38/10</f>
        <v/>
      </c>
      <c r="D38">
        <f>B38=C38</f>
        <v/>
      </c>
      <c r="E38">
        <f>INT(B38*10)=A38</f>
        <v/>
      </c>
      <c r="F38">
        <f>B38&gt;=C38</f>
        <v/>
      </c>
      <c r="G38">
        <f>ROUND(G37+0.1,1)</f>
        <v/>
      </c>
      <c r="H38">
        <f>G38=C38</f>
        <v/>
      </c>
      <c r="I38">
        <f>TEXT(B38,"0.00000000000000")</f>
        <v/>
      </c>
    </row>
    <row r="39">
      <c r="A39" t="n">
        <v>32</v>
      </c>
      <c r="B39">
        <f>B38+0.1</f>
        <v/>
      </c>
      <c r="C39">
        <f>A39/10</f>
        <v/>
      </c>
      <c r="D39">
        <f>B39=C39</f>
        <v/>
      </c>
      <c r="E39">
        <f>INT(B39*10)=A39</f>
        <v/>
      </c>
      <c r="F39">
        <f>B39&gt;=C39</f>
        <v/>
      </c>
      <c r="G39">
        <f>ROUND(G38+0.1,1)</f>
        <v/>
      </c>
      <c r="H39">
        <f>G39=C39</f>
        <v/>
      </c>
      <c r="I39">
        <f>TEXT(B39,"0.00000000000000")</f>
        <v/>
      </c>
    </row>
    <row r="40">
      <c r="A40" t="n">
        <v>33</v>
      </c>
      <c r="B40">
        <f>B39+0.1</f>
        <v/>
      </c>
      <c r="C40">
        <f>A40/10</f>
        <v/>
      </c>
      <c r="D40">
        <f>B40=C40</f>
        <v/>
      </c>
      <c r="E40">
        <f>INT(B40*10)=A40</f>
        <v/>
      </c>
      <c r="F40">
        <f>B40&gt;=C40</f>
        <v/>
      </c>
      <c r="G40">
        <f>ROUND(G39+0.1,1)</f>
        <v/>
      </c>
      <c r="H40">
        <f>G40=C40</f>
        <v/>
      </c>
      <c r="I40">
        <f>TEXT(B40,"0.00000000000000")</f>
        <v/>
      </c>
    </row>
    <row r="41">
      <c r="A41" t="n">
        <v>34</v>
      </c>
      <c r="B41">
        <f>B40+0.1</f>
        <v/>
      </c>
      <c r="C41">
        <f>A41/10</f>
        <v/>
      </c>
      <c r="D41">
        <f>B41=C41</f>
        <v/>
      </c>
      <c r="E41">
        <f>INT(B41*10)=A41</f>
        <v/>
      </c>
      <c r="F41">
        <f>B41&gt;=C41</f>
        <v/>
      </c>
      <c r="G41">
        <f>ROUND(G40+0.1,1)</f>
        <v/>
      </c>
      <c r="H41">
        <f>G41=C41</f>
        <v/>
      </c>
      <c r="I41">
        <f>TEXT(B41,"0.00000000000000")</f>
        <v/>
      </c>
    </row>
    <row r="42">
      <c r="A42" t="n">
        <v>35</v>
      </c>
      <c r="B42">
        <f>B41+0.1</f>
        <v/>
      </c>
      <c r="C42">
        <f>A42/10</f>
        <v/>
      </c>
      <c r="D42">
        <f>B42=C42</f>
        <v/>
      </c>
      <c r="E42">
        <f>INT(B42*10)=A42</f>
        <v/>
      </c>
      <c r="F42">
        <f>B42&gt;=C42</f>
        <v/>
      </c>
      <c r="G42">
        <f>ROUND(G41+0.1,1)</f>
        <v/>
      </c>
      <c r="H42">
        <f>G42=C42</f>
        <v/>
      </c>
      <c r="I42">
        <f>TEXT(B42,"0.00000000000000")</f>
        <v/>
      </c>
    </row>
    <row r="43">
      <c r="A43" t="n">
        <v>36</v>
      </c>
      <c r="B43">
        <f>B42+0.1</f>
        <v/>
      </c>
      <c r="C43">
        <f>A43/10</f>
        <v/>
      </c>
      <c r="D43">
        <f>B43=C43</f>
        <v/>
      </c>
      <c r="E43">
        <f>INT(B43*10)=A43</f>
        <v/>
      </c>
      <c r="F43">
        <f>B43&gt;=C43</f>
        <v/>
      </c>
      <c r="G43">
        <f>ROUND(G42+0.1,1)</f>
        <v/>
      </c>
      <c r="H43">
        <f>G43=C43</f>
        <v/>
      </c>
      <c r="I43">
        <f>TEXT(B43,"0.00000000000000")</f>
        <v/>
      </c>
    </row>
    <row r="44">
      <c r="A44" t="n">
        <v>37</v>
      </c>
      <c r="B44">
        <f>B43+0.1</f>
        <v/>
      </c>
      <c r="C44">
        <f>A44/10</f>
        <v/>
      </c>
      <c r="D44">
        <f>B44=C44</f>
        <v/>
      </c>
      <c r="E44">
        <f>INT(B44*10)=A44</f>
        <v/>
      </c>
      <c r="F44">
        <f>B44&gt;=C44</f>
        <v/>
      </c>
      <c r="G44">
        <f>ROUND(G43+0.1,1)</f>
        <v/>
      </c>
      <c r="H44">
        <f>G44=C44</f>
        <v/>
      </c>
      <c r="I44">
        <f>TEXT(B44,"0.00000000000000")</f>
        <v/>
      </c>
    </row>
    <row r="45">
      <c r="A45" t="n">
        <v>38</v>
      </c>
      <c r="B45">
        <f>B44+0.1</f>
        <v/>
      </c>
      <c r="C45">
        <f>A45/10</f>
        <v/>
      </c>
      <c r="D45">
        <f>B45=C45</f>
        <v/>
      </c>
      <c r="E45">
        <f>INT(B45*10)=A45</f>
        <v/>
      </c>
      <c r="F45">
        <f>B45&gt;=C45</f>
        <v/>
      </c>
      <c r="G45">
        <f>ROUND(G44+0.1,1)</f>
        <v/>
      </c>
      <c r="H45">
        <f>G45=C45</f>
        <v/>
      </c>
      <c r="I45">
        <f>TEXT(B45,"0.00000000000000")</f>
        <v/>
      </c>
    </row>
    <row r="46">
      <c r="A46" t="n">
        <v>39</v>
      </c>
      <c r="B46">
        <f>B45+0.1</f>
        <v/>
      </c>
      <c r="C46">
        <f>A46/10</f>
        <v/>
      </c>
      <c r="D46">
        <f>B46=C46</f>
        <v/>
      </c>
      <c r="E46">
        <f>INT(B46*10)=A46</f>
        <v/>
      </c>
      <c r="F46">
        <f>B46&gt;=C46</f>
        <v/>
      </c>
      <c r="G46">
        <f>ROUND(G45+0.1,1)</f>
        <v/>
      </c>
      <c r="H46">
        <f>G46=C46</f>
        <v/>
      </c>
      <c r="I46">
        <f>TEXT(B46,"0.00000000000000")</f>
        <v/>
      </c>
    </row>
    <row r="47">
      <c r="A47" t="n">
        <v>40</v>
      </c>
      <c r="B47">
        <f>B46+0.1</f>
        <v/>
      </c>
      <c r="C47">
        <f>A47/10</f>
        <v/>
      </c>
      <c r="D47">
        <f>B47=C47</f>
        <v/>
      </c>
      <c r="E47">
        <f>INT(B47*10)=A47</f>
        <v/>
      </c>
      <c r="F47">
        <f>B47&gt;=C47</f>
        <v/>
      </c>
      <c r="G47">
        <f>ROUND(G46+0.1,1)</f>
        <v/>
      </c>
      <c r="H47">
        <f>G47=C47</f>
        <v/>
      </c>
      <c r="I47">
        <f>TEXT(B47,"0.00000000000000")</f>
        <v/>
      </c>
    </row>
    <row r="48">
      <c r="A48" t="n">
        <v>41</v>
      </c>
      <c r="B48">
        <f>B47+0.1</f>
        <v/>
      </c>
      <c r="C48">
        <f>A48/10</f>
        <v/>
      </c>
      <c r="D48">
        <f>B48=C48</f>
        <v/>
      </c>
      <c r="E48">
        <f>INT(B48*10)=A48</f>
        <v/>
      </c>
      <c r="F48">
        <f>B48&gt;=C48</f>
        <v/>
      </c>
      <c r="G48">
        <f>ROUND(G47+0.1,1)</f>
        <v/>
      </c>
      <c r="H48">
        <f>G48=C48</f>
        <v/>
      </c>
      <c r="I48">
        <f>TEXT(B48,"0.00000000000000")</f>
        <v/>
      </c>
    </row>
    <row r="49">
      <c r="A49" t="n">
        <v>42</v>
      </c>
      <c r="B49">
        <f>B48+0.1</f>
        <v/>
      </c>
      <c r="C49">
        <f>A49/10</f>
        <v/>
      </c>
      <c r="D49">
        <f>B49=C49</f>
        <v/>
      </c>
      <c r="E49">
        <f>INT(B49*10)=A49</f>
        <v/>
      </c>
      <c r="F49">
        <f>B49&gt;=C49</f>
        <v/>
      </c>
      <c r="G49">
        <f>ROUND(G48+0.1,1)</f>
        <v/>
      </c>
      <c r="H49">
        <f>G49=C49</f>
        <v/>
      </c>
      <c r="I49">
        <f>TEXT(B49,"0.00000000000000")</f>
        <v/>
      </c>
    </row>
    <row r="50">
      <c r="A50" t="n">
        <v>43</v>
      </c>
      <c r="B50">
        <f>B49+0.1</f>
        <v/>
      </c>
      <c r="C50">
        <f>A50/10</f>
        <v/>
      </c>
      <c r="D50">
        <f>B50=C50</f>
        <v/>
      </c>
      <c r="E50">
        <f>INT(B50*10)=A50</f>
        <v/>
      </c>
      <c r="F50">
        <f>B50&gt;=C50</f>
        <v/>
      </c>
      <c r="G50">
        <f>ROUND(G49+0.1,1)</f>
        <v/>
      </c>
      <c r="H50">
        <f>G50=C50</f>
        <v/>
      </c>
      <c r="I50">
        <f>TEXT(B50,"0.00000000000000")</f>
        <v/>
      </c>
    </row>
    <row r="51">
      <c r="A51" t="n">
        <v>44</v>
      </c>
      <c r="B51">
        <f>B50+0.1</f>
        <v/>
      </c>
      <c r="C51">
        <f>A51/10</f>
        <v/>
      </c>
      <c r="D51">
        <f>B51=C51</f>
        <v/>
      </c>
      <c r="E51">
        <f>INT(B51*10)=A51</f>
        <v/>
      </c>
      <c r="F51">
        <f>B51&gt;=C51</f>
        <v/>
      </c>
      <c r="G51">
        <f>ROUND(G50+0.1,1)</f>
        <v/>
      </c>
      <c r="H51">
        <f>G51=C51</f>
        <v/>
      </c>
      <c r="I51">
        <f>TEXT(B51,"0.00000000000000")</f>
        <v/>
      </c>
    </row>
    <row r="52">
      <c r="A52" t="n">
        <v>45</v>
      </c>
      <c r="B52">
        <f>B51+0.1</f>
        <v/>
      </c>
      <c r="C52">
        <f>A52/10</f>
        <v/>
      </c>
      <c r="D52">
        <f>B52=C52</f>
        <v/>
      </c>
      <c r="E52">
        <f>INT(B52*10)=A52</f>
        <v/>
      </c>
      <c r="F52">
        <f>B52&gt;=C52</f>
        <v/>
      </c>
      <c r="G52">
        <f>ROUND(G51+0.1,1)</f>
        <v/>
      </c>
      <c r="H52">
        <f>G52=C52</f>
        <v/>
      </c>
      <c r="I52">
        <f>TEXT(B52,"0.00000000000000")</f>
        <v/>
      </c>
    </row>
    <row r="53">
      <c r="A53" t="n">
        <v>46</v>
      </c>
      <c r="B53">
        <f>B52+0.1</f>
        <v/>
      </c>
      <c r="C53">
        <f>A53/10</f>
        <v/>
      </c>
      <c r="D53">
        <f>B53=C53</f>
        <v/>
      </c>
      <c r="E53">
        <f>INT(B53*10)=A53</f>
        <v/>
      </c>
      <c r="F53">
        <f>B53&gt;=C53</f>
        <v/>
      </c>
      <c r="G53">
        <f>ROUND(G52+0.1,1)</f>
        <v/>
      </c>
      <c r="H53">
        <f>G53=C53</f>
        <v/>
      </c>
      <c r="I53">
        <f>TEXT(B53,"0.00000000000000")</f>
        <v/>
      </c>
    </row>
    <row r="54">
      <c r="A54" t="n">
        <v>47</v>
      </c>
      <c r="B54">
        <f>B53+0.1</f>
        <v/>
      </c>
      <c r="C54">
        <f>A54/10</f>
        <v/>
      </c>
      <c r="D54">
        <f>B54=C54</f>
        <v/>
      </c>
      <c r="E54">
        <f>INT(B54*10)=A54</f>
        <v/>
      </c>
      <c r="F54">
        <f>B54&gt;=C54</f>
        <v/>
      </c>
      <c r="G54">
        <f>ROUND(G53+0.1,1)</f>
        <v/>
      </c>
      <c r="H54">
        <f>G54=C54</f>
        <v/>
      </c>
      <c r="I54">
        <f>TEXT(B54,"0.00000000000000")</f>
        <v/>
      </c>
    </row>
    <row r="55">
      <c r="A55" t="n">
        <v>48</v>
      </c>
      <c r="B55">
        <f>B54+0.1</f>
        <v/>
      </c>
      <c r="C55">
        <f>A55/10</f>
        <v/>
      </c>
      <c r="D55">
        <f>B55=C55</f>
        <v/>
      </c>
      <c r="E55">
        <f>INT(B55*10)=A55</f>
        <v/>
      </c>
      <c r="F55">
        <f>B55&gt;=C55</f>
        <v/>
      </c>
      <c r="G55">
        <f>ROUND(G54+0.1,1)</f>
        <v/>
      </c>
      <c r="H55">
        <f>G55=C55</f>
        <v/>
      </c>
      <c r="I55">
        <f>TEXT(B55,"0.00000000000000")</f>
        <v/>
      </c>
    </row>
    <row r="56">
      <c r="A56" t="n">
        <v>49</v>
      </c>
      <c r="B56">
        <f>B55+0.1</f>
        <v/>
      </c>
      <c r="C56">
        <f>A56/10</f>
        <v/>
      </c>
      <c r="D56">
        <f>B56=C56</f>
        <v/>
      </c>
      <c r="E56">
        <f>INT(B56*10)=A56</f>
        <v/>
      </c>
      <c r="F56">
        <f>B56&gt;=C56</f>
        <v/>
      </c>
      <c r="G56">
        <f>ROUND(G55+0.1,1)</f>
        <v/>
      </c>
      <c r="H56">
        <f>G56=C56</f>
        <v/>
      </c>
      <c r="I56">
        <f>TEXT(B56,"0.00000000000000")</f>
        <v/>
      </c>
    </row>
    <row r="57">
      <c r="A57" t="n">
        <v>50</v>
      </c>
      <c r="B57">
        <f>B56+0.1</f>
        <v/>
      </c>
      <c r="C57">
        <f>A57/10</f>
        <v/>
      </c>
      <c r="D57">
        <f>B57=C57</f>
        <v/>
      </c>
      <c r="E57">
        <f>INT(B57*10)=A57</f>
        <v/>
      </c>
      <c r="F57">
        <f>B57&gt;=C57</f>
        <v/>
      </c>
      <c r="G57">
        <f>ROUND(G56+0.1,1)</f>
        <v/>
      </c>
      <c r="H57">
        <f>G57=C57</f>
        <v/>
      </c>
      <c r="I57">
        <f>TEXT(B57,"0.00000000000000")</f>
        <v/>
      </c>
    </row>
    <row r="58">
      <c r="A58" t="n">
        <v>51</v>
      </c>
      <c r="B58">
        <f>B57+0.1</f>
        <v/>
      </c>
      <c r="C58">
        <f>A58/10</f>
        <v/>
      </c>
      <c r="D58">
        <f>B58=C58</f>
        <v/>
      </c>
      <c r="E58">
        <f>INT(B58*10)=A58</f>
        <v/>
      </c>
      <c r="F58">
        <f>B58&gt;=C58</f>
        <v/>
      </c>
      <c r="G58">
        <f>ROUND(G57+0.1,1)</f>
        <v/>
      </c>
      <c r="H58">
        <f>G58=C58</f>
        <v/>
      </c>
      <c r="I58">
        <f>TEXT(B58,"0.00000000000000")</f>
        <v/>
      </c>
    </row>
    <row r="59">
      <c r="A59" t="n">
        <v>52</v>
      </c>
      <c r="B59">
        <f>B58+0.1</f>
        <v/>
      </c>
      <c r="C59">
        <f>A59/10</f>
        <v/>
      </c>
      <c r="D59">
        <f>B59=C59</f>
        <v/>
      </c>
      <c r="E59">
        <f>INT(B59*10)=A59</f>
        <v/>
      </c>
      <c r="F59">
        <f>B59&gt;=C59</f>
        <v/>
      </c>
      <c r="G59">
        <f>ROUND(G58+0.1,1)</f>
        <v/>
      </c>
      <c r="H59">
        <f>G59=C59</f>
        <v/>
      </c>
      <c r="I59">
        <f>TEXT(B59,"0.00000000000000")</f>
        <v/>
      </c>
    </row>
    <row r="60">
      <c r="A60" t="n">
        <v>53</v>
      </c>
      <c r="B60">
        <f>B59+0.1</f>
        <v/>
      </c>
      <c r="C60">
        <f>A60/10</f>
        <v/>
      </c>
      <c r="D60">
        <f>B60=C60</f>
        <v/>
      </c>
      <c r="E60">
        <f>INT(B60*10)=A60</f>
        <v/>
      </c>
      <c r="F60">
        <f>B60&gt;=C60</f>
        <v/>
      </c>
      <c r="G60">
        <f>ROUND(G59+0.1,1)</f>
        <v/>
      </c>
      <c r="H60">
        <f>G60=C60</f>
        <v/>
      </c>
      <c r="I60">
        <f>TEXT(B60,"0.00000000000000")</f>
        <v/>
      </c>
    </row>
    <row r="61">
      <c r="A61" t="n">
        <v>54</v>
      </c>
      <c r="B61">
        <f>B60+0.1</f>
        <v/>
      </c>
      <c r="C61">
        <f>A61/10</f>
        <v/>
      </c>
      <c r="D61">
        <f>B61=C61</f>
        <v/>
      </c>
      <c r="E61">
        <f>INT(B61*10)=A61</f>
        <v/>
      </c>
      <c r="F61">
        <f>B61&gt;=C61</f>
        <v/>
      </c>
      <c r="G61">
        <f>ROUND(G60+0.1,1)</f>
        <v/>
      </c>
      <c r="H61">
        <f>G61=C61</f>
        <v/>
      </c>
      <c r="I61">
        <f>TEXT(B61,"0.00000000000000")</f>
        <v/>
      </c>
    </row>
    <row r="62">
      <c r="A62" t="n">
        <v>55</v>
      </c>
      <c r="B62">
        <f>B61+0.1</f>
        <v/>
      </c>
      <c r="C62">
        <f>A62/10</f>
        <v/>
      </c>
      <c r="D62">
        <f>B62=C62</f>
        <v/>
      </c>
      <c r="E62">
        <f>INT(B62*10)=A62</f>
        <v/>
      </c>
      <c r="F62">
        <f>B62&gt;=C62</f>
        <v/>
      </c>
      <c r="G62">
        <f>ROUND(G61+0.1,1)</f>
        <v/>
      </c>
      <c r="H62">
        <f>G62=C62</f>
        <v/>
      </c>
      <c r="I62">
        <f>TEXT(B62,"0.00000000000000")</f>
        <v/>
      </c>
    </row>
    <row r="63">
      <c r="A63" t="n">
        <v>56</v>
      </c>
      <c r="B63">
        <f>B62+0.1</f>
        <v/>
      </c>
      <c r="C63">
        <f>A63/10</f>
        <v/>
      </c>
      <c r="D63">
        <f>B63=C63</f>
        <v/>
      </c>
      <c r="E63">
        <f>INT(B63*10)=A63</f>
        <v/>
      </c>
      <c r="F63">
        <f>B63&gt;=C63</f>
        <v/>
      </c>
      <c r="G63">
        <f>ROUND(G62+0.1,1)</f>
        <v/>
      </c>
      <c r="H63">
        <f>G63=C63</f>
        <v/>
      </c>
      <c r="I63">
        <f>TEXT(B63,"0.00000000000000")</f>
        <v/>
      </c>
    </row>
    <row r="64">
      <c r="A64" t="n">
        <v>57</v>
      </c>
      <c r="B64">
        <f>B63+0.1</f>
        <v/>
      </c>
      <c r="C64">
        <f>A64/10</f>
        <v/>
      </c>
      <c r="D64">
        <f>B64=C64</f>
        <v/>
      </c>
      <c r="E64">
        <f>INT(B64*10)=A64</f>
        <v/>
      </c>
      <c r="F64">
        <f>B64&gt;=C64</f>
        <v/>
      </c>
      <c r="G64">
        <f>ROUND(G63+0.1,1)</f>
        <v/>
      </c>
      <c r="H64">
        <f>G64=C64</f>
        <v/>
      </c>
      <c r="I64">
        <f>TEXT(B64,"0.00000000000000")</f>
        <v/>
      </c>
    </row>
    <row r="65">
      <c r="A65" t="n">
        <v>58</v>
      </c>
      <c r="B65">
        <f>B64+0.1</f>
        <v/>
      </c>
      <c r="C65">
        <f>A65/10</f>
        <v/>
      </c>
      <c r="D65">
        <f>B65=C65</f>
        <v/>
      </c>
      <c r="E65">
        <f>INT(B65*10)=A65</f>
        <v/>
      </c>
      <c r="F65">
        <f>B65&gt;=C65</f>
        <v/>
      </c>
      <c r="G65">
        <f>ROUND(G64+0.1,1)</f>
        <v/>
      </c>
      <c r="H65">
        <f>G65=C65</f>
        <v/>
      </c>
      <c r="I65">
        <f>TEXT(B65,"0.00000000000000")</f>
        <v/>
      </c>
    </row>
    <row r="66">
      <c r="A66" t="n">
        <v>59</v>
      </c>
      <c r="B66">
        <f>B65+0.1</f>
        <v/>
      </c>
      <c r="C66">
        <f>A66/10</f>
        <v/>
      </c>
      <c r="D66">
        <f>B66=C66</f>
        <v/>
      </c>
      <c r="E66">
        <f>INT(B66*10)=A66</f>
        <v/>
      </c>
      <c r="F66">
        <f>B66&gt;=C66</f>
        <v/>
      </c>
      <c r="G66">
        <f>ROUND(G65+0.1,1)</f>
        <v/>
      </c>
      <c r="H66">
        <f>G66=C66</f>
        <v/>
      </c>
      <c r="I66">
        <f>TEXT(B66,"0.00000000000000")</f>
        <v/>
      </c>
    </row>
    <row r="67">
      <c r="A67" t="n">
        <v>60</v>
      </c>
      <c r="B67">
        <f>B66+0.1</f>
        <v/>
      </c>
      <c r="C67">
        <f>A67/10</f>
        <v/>
      </c>
      <c r="D67">
        <f>B67=C67</f>
        <v/>
      </c>
      <c r="E67">
        <f>INT(B67*10)=A67</f>
        <v/>
      </c>
      <c r="F67">
        <f>B67&gt;=C67</f>
        <v/>
      </c>
      <c r="G67">
        <f>ROUND(G66+0.1,1)</f>
        <v/>
      </c>
      <c r="H67">
        <f>G67=C67</f>
        <v/>
      </c>
      <c r="I67">
        <f>TEXT(B67,"0.00000000000000")</f>
        <v/>
      </c>
    </row>
    <row r="68">
      <c r="A68" t="n">
        <v>61</v>
      </c>
      <c r="B68">
        <f>B67+0.1</f>
        <v/>
      </c>
      <c r="C68">
        <f>A68/10</f>
        <v/>
      </c>
      <c r="D68">
        <f>B68=C68</f>
        <v/>
      </c>
      <c r="E68">
        <f>INT(B68*10)=A68</f>
        <v/>
      </c>
      <c r="F68">
        <f>B68&gt;=C68</f>
        <v/>
      </c>
      <c r="G68">
        <f>ROUND(G67+0.1,1)</f>
        <v/>
      </c>
      <c r="H68">
        <f>G68=C68</f>
        <v/>
      </c>
      <c r="I68">
        <f>TEXT(B68,"0.00000000000000")</f>
        <v/>
      </c>
    </row>
    <row r="69">
      <c r="A69" t="n">
        <v>62</v>
      </c>
      <c r="B69">
        <f>B68+0.1</f>
        <v/>
      </c>
      <c r="C69">
        <f>A69/10</f>
        <v/>
      </c>
      <c r="D69">
        <f>B69=C69</f>
        <v/>
      </c>
      <c r="E69">
        <f>INT(B69*10)=A69</f>
        <v/>
      </c>
      <c r="F69">
        <f>B69&gt;=C69</f>
        <v/>
      </c>
      <c r="G69">
        <f>ROUND(G68+0.1,1)</f>
        <v/>
      </c>
      <c r="H69">
        <f>G69=C69</f>
        <v/>
      </c>
      <c r="I69">
        <f>TEXT(B69,"0.00000000000000")</f>
        <v/>
      </c>
    </row>
    <row r="70">
      <c r="A70" t="n">
        <v>63</v>
      </c>
      <c r="B70">
        <f>B69+0.1</f>
        <v/>
      </c>
      <c r="C70">
        <f>A70/10</f>
        <v/>
      </c>
      <c r="D70">
        <f>B70=C70</f>
        <v/>
      </c>
      <c r="E70">
        <f>INT(B70*10)=A70</f>
        <v/>
      </c>
      <c r="F70">
        <f>B70&gt;=C70</f>
        <v/>
      </c>
      <c r="G70">
        <f>ROUND(G69+0.1,1)</f>
        <v/>
      </c>
      <c r="H70">
        <f>G70=C70</f>
        <v/>
      </c>
      <c r="I70">
        <f>TEXT(B70,"0.00000000000000")</f>
        <v/>
      </c>
    </row>
    <row r="71">
      <c r="A71" t="n">
        <v>64</v>
      </c>
      <c r="B71">
        <f>B70+0.1</f>
        <v/>
      </c>
      <c r="C71">
        <f>A71/10</f>
        <v/>
      </c>
      <c r="D71">
        <f>B71=C71</f>
        <v/>
      </c>
      <c r="E71">
        <f>INT(B71*10)=A71</f>
        <v/>
      </c>
      <c r="F71">
        <f>B71&gt;=C71</f>
        <v/>
      </c>
      <c r="G71">
        <f>ROUND(G70+0.1,1)</f>
        <v/>
      </c>
      <c r="H71">
        <f>G71=C71</f>
        <v/>
      </c>
      <c r="I71">
        <f>TEXT(B71,"0.00000000000000")</f>
        <v/>
      </c>
    </row>
    <row r="72">
      <c r="A72" t="n">
        <v>65</v>
      </c>
      <c r="B72">
        <f>B71+0.1</f>
        <v/>
      </c>
      <c r="C72">
        <f>A72/10</f>
        <v/>
      </c>
      <c r="D72">
        <f>B72=C72</f>
        <v/>
      </c>
      <c r="E72">
        <f>INT(B72*10)=A72</f>
        <v/>
      </c>
      <c r="F72">
        <f>B72&gt;=C72</f>
        <v/>
      </c>
      <c r="G72">
        <f>ROUND(G71+0.1,1)</f>
        <v/>
      </c>
      <c r="H72">
        <f>G72=C72</f>
        <v/>
      </c>
      <c r="I72">
        <f>TEXT(B72,"0.00000000000000")</f>
        <v/>
      </c>
    </row>
    <row r="73">
      <c r="A73" t="n">
        <v>66</v>
      </c>
      <c r="B73">
        <f>B72+0.1</f>
        <v/>
      </c>
      <c r="C73">
        <f>A73/10</f>
        <v/>
      </c>
      <c r="D73">
        <f>B73=C73</f>
        <v/>
      </c>
      <c r="E73">
        <f>INT(B73*10)=A73</f>
        <v/>
      </c>
      <c r="F73">
        <f>B73&gt;=C73</f>
        <v/>
      </c>
      <c r="G73">
        <f>ROUND(G72+0.1,1)</f>
        <v/>
      </c>
      <c r="H73">
        <f>G73=C73</f>
        <v/>
      </c>
      <c r="I73">
        <f>TEXT(B73,"0.00000000000000")</f>
        <v/>
      </c>
    </row>
    <row r="74">
      <c r="A74" t="n">
        <v>67</v>
      </c>
      <c r="B74">
        <f>B73+0.1</f>
        <v/>
      </c>
      <c r="C74">
        <f>A74/10</f>
        <v/>
      </c>
      <c r="D74">
        <f>B74=C74</f>
        <v/>
      </c>
      <c r="E74">
        <f>INT(B74*10)=A74</f>
        <v/>
      </c>
      <c r="F74">
        <f>B74&gt;=C74</f>
        <v/>
      </c>
      <c r="G74">
        <f>ROUND(G73+0.1,1)</f>
        <v/>
      </c>
      <c r="H74">
        <f>G74=C74</f>
        <v/>
      </c>
      <c r="I74">
        <f>TEXT(B74,"0.00000000000000")</f>
        <v/>
      </c>
    </row>
    <row r="75">
      <c r="A75" t="n">
        <v>68</v>
      </c>
      <c r="B75">
        <f>B74+0.1</f>
        <v/>
      </c>
      <c r="C75">
        <f>A75/10</f>
        <v/>
      </c>
      <c r="D75">
        <f>B75=C75</f>
        <v/>
      </c>
      <c r="E75">
        <f>INT(B75*10)=A75</f>
        <v/>
      </c>
      <c r="F75">
        <f>B75&gt;=C75</f>
        <v/>
      </c>
      <c r="G75">
        <f>ROUND(G74+0.1,1)</f>
        <v/>
      </c>
      <c r="H75">
        <f>G75=C75</f>
        <v/>
      </c>
      <c r="I75">
        <f>TEXT(B75,"0.00000000000000")</f>
        <v/>
      </c>
    </row>
    <row r="76">
      <c r="A76" t="n">
        <v>69</v>
      </c>
      <c r="B76">
        <f>B75+0.1</f>
        <v/>
      </c>
      <c r="C76">
        <f>A76/10</f>
        <v/>
      </c>
      <c r="D76">
        <f>B76=C76</f>
        <v/>
      </c>
      <c r="E76">
        <f>INT(B76*10)=A76</f>
        <v/>
      </c>
      <c r="F76">
        <f>B76&gt;=C76</f>
        <v/>
      </c>
      <c r="G76">
        <f>ROUND(G75+0.1,1)</f>
        <v/>
      </c>
      <c r="H76">
        <f>G76=C76</f>
        <v/>
      </c>
      <c r="I76">
        <f>TEXT(B76,"0.00000000000000")</f>
        <v/>
      </c>
    </row>
    <row r="77">
      <c r="A77" t="n">
        <v>70</v>
      </c>
      <c r="B77">
        <f>B76+0.1</f>
        <v/>
      </c>
      <c r="C77">
        <f>A77/10</f>
        <v/>
      </c>
      <c r="D77">
        <f>B77=C77</f>
        <v/>
      </c>
      <c r="E77">
        <f>INT(B77*10)=A77</f>
        <v/>
      </c>
      <c r="F77">
        <f>B77&gt;=C77</f>
        <v/>
      </c>
      <c r="G77">
        <f>ROUND(G76+0.1,1)</f>
        <v/>
      </c>
      <c r="H77">
        <f>G77=C77</f>
        <v/>
      </c>
      <c r="I77">
        <f>TEXT(B77,"0.00000000000000")</f>
        <v/>
      </c>
    </row>
    <row r="78">
      <c r="A78" t="n">
        <v>71</v>
      </c>
      <c r="B78">
        <f>B77+0.1</f>
        <v/>
      </c>
      <c r="C78">
        <f>A78/10</f>
        <v/>
      </c>
      <c r="D78">
        <f>B78=C78</f>
        <v/>
      </c>
      <c r="E78">
        <f>INT(B78*10)=A78</f>
        <v/>
      </c>
      <c r="F78">
        <f>B78&gt;=C78</f>
        <v/>
      </c>
      <c r="G78">
        <f>ROUND(G77+0.1,1)</f>
        <v/>
      </c>
      <c r="H78">
        <f>G78=C78</f>
        <v/>
      </c>
      <c r="I78">
        <f>TEXT(B78,"0.00000000000000")</f>
        <v/>
      </c>
    </row>
    <row r="79">
      <c r="A79" t="n">
        <v>72</v>
      </c>
      <c r="B79">
        <f>B78+0.1</f>
        <v/>
      </c>
      <c r="C79">
        <f>A79/10</f>
        <v/>
      </c>
      <c r="D79">
        <f>B79=C79</f>
        <v/>
      </c>
      <c r="E79">
        <f>INT(B79*10)=A79</f>
        <v/>
      </c>
      <c r="F79">
        <f>B79&gt;=C79</f>
        <v/>
      </c>
      <c r="G79">
        <f>ROUND(G78+0.1,1)</f>
        <v/>
      </c>
      <c r="H79">
        <f>G79=C79</f>
        <v/>
      </c>
      <c r="I79">
        <f>TEXT(B79,"0.00000000000000")</f>
        <v/>
      </c>
    </row>
    <row r="80">
      <c r="A80" t="n">
        <v>73</v>
      </c>
      <c r="B80">
        <f>B79+0.1</f>
        <v/>
      </c>
      <c r="C80">
        <f>A80/10</f>
        <v/>
      </c>
      <c r="D80">
        <f>B80=C80</f>
        <v/>
      </c>
      <c r="E80">
        <f>INT(B80*10)=A80</f>
        <v/>
      </c>
      <c r="F80">
        <f>B80&gt;=C80</f>
        <v/>
      </c>
      <c r="G80">
        <f>ROUND(G79+0.1,1)</f>
        <v/>
      </c>
      <c r="H80">
        <f>G80=C80</f>
        <v/>
      </c>
      <c r="I80">
        <f>TEXT(B80,"0.00000000000000")</f>
        <v/>
      </c>
    </row>
    <row r="81">
      <c r="A81" t="n">
        <v>74</v>
      </c>
      <c r="B81">
        <f>B80+0.1</f>
        <v/>
      </c>
      <c r="C81">
        <f>A81/10</f>
        <v/>
      </c>
      <c r="D81">
        <f>B81=C81</f>
        <v/>
      </c>
      <c r="E81">
        <f>INT(B81*10)=A81</f>
        <v/>
      </c>
      <c r="F81">
        <f>B81&gt;=C81</f>
        <v/>
      </c>
      <c r="G81">
        <f>ROUND(G80+0.1,1)</f>
        <v/>
      </c>
      <c r="H81">
        <f>G81=C81</f>
        <v/>
      </c>
      <c r="I81">
        <f>TEXT(B81,"0.00000000000000")</f>
        <v/>
      </c>
    </row>
    <row r="82">
      <c r="A82" t="n">
        <v>75</v>
      </c>
      <c r="B82">
        <f>B81+0.1</f>
        <v/>
      </c>
      <c r="C82">
        <f>A82/10</f>
        <v/>
      </c>
      <c r="D82">
        <f>B82=C82</f>
        <v/>
      </c>
      <c r="E82">
        <f>INT(B82*10)=A82</f>
        <v/>
      </c>
      <c r="F82">
        <f>B82&gt;=C82</f>
        <v/>
      </c>
      <c r="G82">
        <f>ROUND(G81+0.1,1)</f>
        <v/>
      </c>
      <c r="H82">
        <f>G82=C82</f>
        <v/>
      </c>
      <c r="I82">
        <f>TEXT(B82,"0.00000000000000")</f>
        <v/>
      </c>
    </row>
    <row r="83">
      <c r="A83" t="n">
        <v>76</v>
      </c>
      <c r="B83">
        <f>B82+0.1</f>
        <v/>
      </c>
      <c r="C83">
        <f>A83/10</f>
        <v/>
      </c>
      <c r="D83">
        <f>B83=C83</f>
        <v/>
      </c>
      <c r="E83">
        <f>INT(B83*10)=A83</f>
        <v/>
      </c>
      <c r="F83">
        <f>B83&gt;=C83</f>
        <v/>
      </c>
      <c r="G83">
        <f>ROUND(G82+0.1,1)</f>
        <v/>
      </c>
      <c r="H83">
        <f>G83=C83</f>
        <v/>
      </c>
      <c r="I83">
        <f>TEXT(B83,"0.00000000000000")</f>
        <v/>
      </c>
    </row>
    <row r="84">
      <c r="A84" t="n">
        <v>77</v>
      </c>
      <c r="B84">
        <f>B83+0.1</f>
        <v/>
      </c>
      <c r="C84">
        <f>A84/10</f>
        <v/>
      </c>
      <c r="D84">
        <f>B84=C84</f>
        <v/>
      </c>
      <c r="E84">
        <f>INT(B84*10)=A84</f>
        <v/>
      </c>
      <c r="F84">
        <f>B84&gt;=C84</f>
        <v/>
      </c>
      <c r="G84">
        <f>ROUND(G83+0.1,1)</f>
        <v/>
      </c>
      <c r="H84">
        <f>G84=C84</f>
        <v/>
      </c>
      <c r="I84">
        <f>TEXT(B84,"0.00000000000000")</f>
        <v/>
      </c>
    </row>
    <row r="85">
      <c r="A85" t="n">
        <v>78</v>
      </c>
      <c r="B85">
        <f>B84+0.1</f>
        <v/>
      </c>
      <c r="C85">
        <f>A85/10</f>
        <v/>
      </c>
      <c r="D85">
        <f>B85=C85</f>
        <v/>
      </c>
      <c r="E85">
        <f>INT(B85*10)=A85</f>
        <v/>
      </c>
      <c r="F85">
        <f>B85&gt;=C85</f>
        <v/>
      </c>
      <c r="G85">
        <f>ROUND(G84+0.1,1)</f>
        <v/>
      </c>
      <c r="H85">
        <f>G85=C85</f>
        <v/>
      </c>
      <c r="I85">
        <f>TEXT(B85,"0.00000000000000")</f>
        <v/>
      </c>
    </row>
    <row r="86">
      <c r="A86" t="n">
        <v>79</v>
      </c>
      <c r="B86">
        <f>B85+0.1</f>
        <v/>
      </c>
      <c r="C86">
        <f>A86/10</f>
        <v/>
      </c>
      <c r="D86">
        <f>B86=C86</f>
        <v/>
      </c>
      <c r="E86">
        <f>INT(B86*10)=A86</f>
        <v/>
      </c>
      <c r="F86">
        <f>B86&gt;=C86</f>
        <v/>
      </c>
      <c r="G86">
        <f>ROUND(G85+0.1,1)</f>
        <v/>
      </c>
      <c r="H86">
        <f>G86=C86</f>
        <v/>
      </c>
      <c r="I86">
        <f>TEXT(B86,"0.00000000000000")</f>
        <v/>
      </c>
    </row>
    <row r="87">
      <c r="A87" t="n">
        <v>80</v>
      </c>
      <c r="B87">
        <f>B86+0.1</f>
        <v/>
      </c>
      <c r="C87">
        <f>A87/10</f>
        <v/>
      </c>
      <c r="D87">
        <f>B87=C87</f>
        <v/>
      </c>
      <c r="E87">
        <f>INT(B87*10)=A87</f>
        <v/>
      </c>
      <c r="F87">
        <f>B87&gt;=C87</f>
        <v/>
      </c>
      <c r="G87">
        <f>ROUND(G86+0.1,1)</f>
        <v/>
      </c>
      <c r="H87">
        <f>G87=C87</f>
        <v/>
      </c>
      <c r="I87">
        <f>TEXT(B87,"0.00000000000000")</f>
        <v/>
      </c>
    </row>
    <row r="88">
      <c r="A88" t="n">
        <v>81</v>
      </c>
      <c r="B88">
        <f>B87+0.1</f>
        <v/>
      </c>
      <c r="C88">
        <f>A88/10</f>
        <v/>
      </c>
      <c r="D88">
        <f>B88=C88</f>
        <v/>
      </c>
      <c r="E88">
        <f>INT(B88*10)=A88</f>
        <v/>
      </c>
      <c r="F88">
        <f>B88&gt;=C88</f>
        <v/>
      </c>
      <c r="G88">
        <f>ROUND(G87+0.1,1)</f>
        <v/>
      </c>
      <c r="H88">
        <f>G88=C88</f>
        <v/>
      </c>
      <c r="I88">
        <f>TEXT(B88,"0.00000000000000")</f>
        <v/>
      </c>
    </row>
    <row r="89">
      <c r="A89" t="n">
        <v>82</v>
      </c>
      <c r="B89">
        <f>B88+0.1</f>
        <v/>
      </c>
      <c r="C89">
        <f>A89/10</f>
        <v/>
      </c>
      <c r="D89">
        <f>B89=C89</f>
        <v/>
      </c>
      <c r="E89">
        <f>INT(B89*10)=A89</f>
        <v/>
      </c>
      <c r="F89">
        <f>B89&gt;=C89</f>
        <v/>
      </c>
      <c r="G89">
        <f>ROUND(G88+0.1,1)</f>
        <v/>
      </c>
      <c r="H89">
        <f>G89=C89</f>
        <v/>
      </c>
      <c r="I89">
        <f>TEXT(B89,"0.00000000000000")</f>
        <v/>
      </c>
    </row>
    <row r="90">
      <c r="A90" t="n">
        <v>83</v>
      </c>
      <c r="B90">
        <f>B89+0.1</f>
        <v/>
      </c>
      <c r="C90">
        <f>A90/10</f>
        <v/>
      </c>
      <c r="D90">
        <f>B90=C90</f>
        <v/>
      </c>
      <c r="E90">
        <f>INT(B90*10)=A90</f>
        <v/>
      </c>
      <c r="F90">
        <f>B90&gt;=C90</f>
        <v/>
      </c>
      <c r="G90">
        <f>ROUND(G89+0.1,1)</f>
        <v/>
      </c>
      <c r="H90">
        <f>G90=C90</f>
        <v/>
      </c>
      <c r="I90">
        <f>TEXT(B90,"0.00000000000000")</f>
        <v/>
      </c>
    </row>
    <row r="91">
      <c r="A91" t="n">
        <v>84</v>
      </c>
      <c r="B91">
        <f>B90+0.1</f>
        <v/>
      </c>
      <c r="C91">
        <f>A91/10</f>
        <v/>
      </c>
      <c r="D91">
        <f>B91=C91</f>
        <v/>
      </c>
      <c r="E91">
        <f>INT(B91*10)=A91</f>
        <v/>
      </c>
      <c r="F91">
        <f>B91&gt;=C91</f>
        <v/>
      </c>
      <c r="G91">
        <f>ROUND(G90+0.1,1)</f>
        <v/>
      </c>
      <c r="H91">
        <f>G91=C91</f>
        <v/>
      </c>
      <c r="I91">
        <f>TEXT(B91,"0.00000000000000")</f>
        <v/>
      </c>
    </row>
    <row r="92">
      <c r="A92" t="n">
        <v>85</v>
      </c>
      <c r="B92">
        <f>B91+0.1</f>
        <v/>
      </c>
      <c r="C92">
        <f>A92/10</f>
        <v/>
      </c>
      <c r="D92">
        <f>B92=C92</f>
        <v/>
      </c>
      <c r="E92">
        <f>INT(B92*10)=A92</f>
        <v/>
      </c>
      <c r="F92">
        <f>B92&gt;=C92</f>
        <v/>
      </c>
      <c r="G92">
        <f>ROUND(G91+0.1,1)</f>
        <v/>
      </c>
      <c r="H92">
        <f>G92=C92</f>
        <v/>
      </c>
      <c r="I92">
        <f>TEXT(B92,"0.00000000000000")</f>
        <v/>
      </c>
    </row>
    <row r="93">
      <c r="A93" t="n">
        <v>86</v>
      </c>
      <c r="B93">
        <f>B92+0.1</f>
        <v/>
      </c>
      <c r="C93">
        <f>A93/10</f>
        <v/>
      </c>
      <c r="D93">
        <f>B93=C93</f>
        <v/>
      </c>
      <c r="E93">
        <f>INT(B93*10)=A93</f>
        <v/>
      </c>
      <c r="F93">
        <f>B93&gt;=C93</f>
        <v/>
      </c>
      <c r="G93">
        <f>ROUND(G92+0.1,1)</f>
        <v/>
      </c>
      <c r="H93">
        <f>G93=C93</f>
        <v/>
      </c>
      <c r="I93">
        <f>TEXT(B93,"0.00000000000000")</f>
        <v/>
      </c>
    </row>
    <row r="94">
      <c r="A94" t="n">
        <v>87</v>
      </c>
      <c r="B94">
        <f>B93+0.1</f>
        <v/>
      </c>
      <c r="C94">
        <f>A94/10</f>
        <v/>
      </c>
      <c r="D94">
        <f>B94=C94</f>
        <v/>
      </c>
      <c r="E94">
        <f>INT(B94*10)=A94</f>
        <v/>
      </c>
      <c r="F94">
        <f>B94&gt;=C94</f>
        <v/>
      </c>
      <c r="G94">
        <f>ROUND(G93+0.1,1)</f>
        <v/>
      </c>
      <c r="H94">
        <f>G94=C94</f>
        <v/>
      </c>
      <c r="I94">
        <f>TEXT(B94,"0.00000000000000")</f>
        <v/>
      </c>
    </row>
    <row r="95">
      <c r="A95" t="n">
        <v>88</v>
      </c>
      <c r="B95">
        <f>B94+0.1</f>
        <v/>
      </c>
      <c r="C95">
        <f>A95/10</f>
        <v/>
      </c>
      <c r="D95">
        <f>B95=C95</f>
        <v/>
      </c>
      <c r="E95">
        <f>INT(B95*10)=A95</f>
        <v/>
      </c>
      <c r="F95">
        <f>B95&gt;=C95</f>
        <v/>
      </c>
      <c r="G95">
        <f>ROUND(G94+0.1,1)</f>
        <v/>
      </c>
      <c r="H95">
        <f>G95=C95</f>
        <v/>
      </c>
      <c r="I95">
        <f>TEXT(B95,"0.00000000000000")</f>
        <v/>
      </c>
    </row>
    <row r="96">
      <c r="A96" t="n">
        <v>89</v>
      </c>
      <c r="B96">
        <f>B95+0.1</f>
        <v/>
      </c>
      <c r="C96">
        <f>A96/10</f>
        <v/>
      </c>
      <c r="D96">
        <f>B96=C96</f>
        <v/>
      </c>
      <c r="E96">
        <f>INT(B96*10)=A96</f>
        <v/>
      </c>
      <c r="F96">
        <f>B96&gt;=C96</f>
        <v/>
      </c>
      <c r="G96">
        <f>ROUND(G95+0.1,1)</f>
        <v/>
      </c>
      <c r="H96">
        <f>G96=C96</f>
        <v/>
      </c>
      <c r="I96">
        <f>TEXT(B96,"0.00000000000000")</f>
        <v/>
      </c>
    </row>
    <row r="97">
      <c r="A97" t="n">
        <v>90</v>
      </c>
      <c r="B97">
        <f>B96+0.1</f>
        <v/>
      </c>
      <c r="C97">
        <f>A97/10</f>
        <v/>
      </c>
      <c r="D97">
        <f>B97=C97</f>
        <v/>
      </c>
      <c r="E97">
        <f>INT(B97*10)=A97</f>
        <v/>
      </c>
      <c r="F97">
        <f>B97&gt;=C97</f>
        <v/>
      </c>
      <c r="G97">
        <f>ROUND(G96+0.1,1)</f>
        <v/>
      </c>
      <c r="H97">
        <f>G97=C97</f>
        <v/>
      </c>
      <c r="I97">
        <f>TEXT(B97,"0.00000000000000")</f>
        <v/>
      </c>
    </row>
    <row r="98">
      <c r="A98" t="n">
        <v>91</v>
      </c>
      <c r="B98">
        <f>B97+0.1</f>
        <v/>
      </c>
      <c r="C98">
        <f>A98/10</f>
        <v/>
      </c>
      <c r="D98">
        <f>B98=C98</f>
        <v/>
      </c>
      <c r="E98">
        <f>INT(B98*10)=A98</f>
        <v/>
      </c>
      <c r="F98">
        <f>B98&gt;=C98</f>
        <v/>
      </c>
      <c r="G98">
        <f>ROUND(G97+0.1,1)</f>
        <v/>
      </c>
      <c r="H98">
        <f>G98=C98</f>
        <v/>
      </c>
      <c r="I98">
        <f>TEXT(B98,"0.00000000000000")</f>
        <v/>
      </c>
    </row>
    <row r="99">
      <c r="A99" t="n">
        <v>92</v>
      </c>
      <c r="B99">
        <f>B98+0.1</f>
        <v/>
      </c>
      <c r="C99">
        <f>A99/10</f>
        <v/>
      </c>
      <c r="D99">
        <f>B99=C99</f>
        <v/>
      </c>
      <c r="E99">
        <f>INT(B99*10)=A99</f>
        <v/>
      </c>
      <c r="F99">
        <f>B99&gt;=C99</f>
        <v/>
      </c>
      <c r="G99">
        <f>ROUND(G98+0.1,1)</f>
        <v/>
      </c>
      <c r="H99">
        <f>G99=C99</f>
        <v/>
      </c>
      <c r="I99">
        <f>TEXT(B99,"0.00000000000000")</f>
        <v/>
      </c>
    </row>
    <row r="100">
      <c r="A100" t="n">
        <v>93</v>
      </c>
      <c r="B100">
        <f>B99+0.1</f>
        <v/>
      </c>
      <c r="C100">
        <f>A100/10</f>
        <v/>
      </c>
      <c r="D100">
        <f>B100=C100</f>
        <v/>
      </c>
      <c r="E100">
        <f>INT(B100*10)=A100</f>
        <v/>
      </c>
      <c r="F100">
        <f>B100&gt;=C100</f>
        <v/>
      </c>
      <c r="G100">
        <f>ROUND(G99+0.1,1)</f>
        <v/>
      </c>
      <c r="H100">
        <f>G100=C100</f>
        <v/>
      </c>
      <c r="I100">
        <f>TEXT(B100,"0.00000000000000")</f>
        <v/>
      </c>
    </row>
    <row r="101">
      <c r="A101" t="n">
        <v>94</v>
      </c>
      <c r="B101">
        <f>B100+0.1</f>
        <v/>
      </c>
      <c r="C101">
        <f>A101/10</f>
        <v/>
      </c>
      <c r="D101">
        <f>B101=C101</f>
        <v/>
      </c>
      <c r="E101">
        <f>INT(B101*10)=A101</f>
        <v/>
      </c>
      <c r="F101">
        <f>B101&gt;=C101</f>
        <v/>
      </c>
      <c r="G101">
        <f>ROUND(G100+0.1,1)</f>
        <v/>
      </c>
      <c r="H101">
        <f>G101=C101</f>
        <v/>
      </c>
      <c r="I101">
        <f>TEXT(B101,"0.00000000000000")</f>
        <v/>
      </c>
    </row>
    <row r="102">
      <c r="A102" t="n">
        <v>95</v>
      </c>
      <c r="B102">
        <f>B101+0.1</f>
        <v/>
      </c>
      <c r="C102">
        <f>A102/10</f>
        <v/>
      </c>
      <c r="D102">
        <f>B102=C102</f>
        <v/>
      </c>
      <c r="E102">
        <f>INT(B102*10)=A102</f>
        <v/>
      </c>
      <c r="F102">
        <f>B102&gt;=C102</f>
        <v/>
      </c>
      <c r="G102">
        <f>ROUND(G101+0.1,1)</f>
        <v/>
      </c>
      <c r="H102">
        <f>G102=C102</f>
        <v/>
      </c>
      <c r="I102">
        <f>TEXT(B102,"0.00000000000000")</f>
        <v/>
      </c>
    </row>
    <row r="103">
      <c r="A103" t="n">
        <v>96</v>
      </c>
      <c r="B103">
        <f>B102+0.1</f>
        <v/>
      </c>
      <c r="C103">
        <f>A103/10</f>
        <v/>
      </c>
      <c r="D103">
        <f>B103=C103</f>
        <v/>
      </c>
      <c r="E103">
        <f>INT(B103*10)=A103</f>
        <v/>
      </c>
      <c r="F103">
        <f>B103&gt;=C103</f>
        <v/>
      </c>
      <c r="G103">
        <f>ROUND(G102+0.1,1)</f>
        <v/>
      </c>
      <c r="H103">
        <f>G103=C103</f>
        <v/>
      </c>
      <c r="I103">
        <f>TEXT(B103,"0.00000000000000")</f>
        <v/>
      </c>
    </row>
    <row r="104">
      <c r="A104" t="n">
        <v>97</v>
      </c>
      <c r="B104">
        <f>B103+0.1</f>
        <v/>
      </c>
      <c r="C104">
        <f>A104/10</f>
        <v/>
      </c>
      <c r="D104">
        <f>B104=C104</f>
        <v/>
      </c>
      <c r="E104">
        <f>INT(B104*10)=A104</f>
        <v/>
      </c>
      <c r="F104">
        <f>B104&gt;=C104</f>
        <v/>
      </c>
      <c r="G104">
        <f>ROUND(G103+0.1,1)</f>
        <v/>
      </c>
      <c r="H104">
        <f>G104=C104</f>
        <v/>
      </c>
      <c r="I104">
        <f>TEXT(B104,"0.00000000000000")</f>
        <v/>
      </c>
    </row>
    <row r="105">
      <c r="A105" t="n">
        <v>98</v>
      </c>
      <c r="B105">
        <f>B104+0.1</f>
        <v/>
      </c>
      <c r="C105">
        <f>A105/10</f>
        <v/>
      </c>
      <c r="D105">
        <f>B105=C105</f>
        <v/>
      </c>
      <c r="E105">
        <f>INT(B105*10)=A105</f>
        <v/>
      </c>
      <c r="F105">
        <f>B105&gt;=C105</f>
        <v/>
      </c>
      <c r="G105">
        <f>ROUND(G104+0.1,1)</f>
        <v/>
      </c>
      <c r="H105">
        <f>G105=C105</f>
        <v/>
      </c>
      <c r="I105">
        <f>TEXT(B105,"0.00000000000000")</f>
        <v/>
      </c>
    </row>
    <row r="106">
      <c r="A106" t="n">
        <v>99</v>
      </c>
      <c r="B106">
        <f>B105+0.1</f>
        <v/>
      </c>
      <c r="C106">
        <f>A106/10</f>
        <v/>
      </c>
      <c r="D106">
        <f>B106=C106</f>
        <v/>
      </c>
      <c r="E106">
        <f>INT(B106*10)=A106</f>
        <v/>
      </c>
      <c r="F106">
        <f>B106&gt;=C106</f>
        <v/>
      </c>
      <c r="G106">
        <f>ROUND(G105+0.1,1)</f>
        <v/>
      </c>
      <c r="H106">
        <f>G106=C106</f>
        <v/>
      </c>
      <c r="I106">
        <f>TEXT(B106,"0.00000000000000")</f>
        <v/>
      </c>
    </row>
    <row r="107">
      <c r="A107" t="n">
        <v>100</v>
      </c>
      <c r="B107">
        <f>B106+0.1</f>
        <v/>
      </c>
      <c r="C107">
        <f>A107/10</f>
        <v/>
      </c>
      <c r="D107">
        <f>B107=C107</f>
        <v/>
      </c>
      <c r="E107">
        <f>INT(B107*10)=A107</f>
        <v/>
      </c>
      <c r="F107">
        <f>B107&gt;=C107</f>
        <v/>
      </c>
      <c r="G107">
        <f>ROUND(G106+0.1,1)</f>
        <v/>
      </c>
      <c r="H107">
        <f>G107=C107</f>
        <v/>
      </c>
      <c r="I107">
        <f>TEXT(B107,"0.00000000000000")</f>
        <v/>
      </c>
    </row>
    <row r="108">
      <c r="A108" t="n">
        <v>101</v>
      </c>
      <c r="B108">
        <f>B107+0.1</f>
        <v/>
      </c>
      <c r="C108">
        <f>A108/10</f>
        <v/>
      </c>
      <c r="D108">
        <f>B108=C108</f>
        <v/>
      </c>
      <c r="E108">
        <f>INT(B108*10)=A108</f>
        <v/>
      </c>
      <c r="F108">
        <f>B108&gt;=C108</f>
        <v/>
      </c>
      <c r="G108">
        <f>ROUND(G107+0.1,1)</f>
        <v/>
      </c>
      <c r="H108">
        <f>G108=C108</f>
        <v/>
      </c>
      <c r="I108">
        <f>TEXT(B108,"0.00000000000000")</f>
        <v/>
      </c>
    </row>
    <row r="109">
      <c r="A109" t="n">
        <v>102</v>
      </c>
      <c r="B109">
        <f>B108+0.1</f>
        <v/>
      </c>
      <c r="C109">
        <f>A109/10</f>
        <v/>
      </c>
      <c r="D109">
        <f>B109=C109</f>
        <v/>
      </c>
      <c r="E109">
        <f>INT(B109*10)=A109</f>
        <v/>
      </c>
      <c r="F109">
        <f>B109&gt;=C109</f>
        <v/>
      </c>
      <c r="G109">
        <f>ROUND(G108+0.1,1)</f>
        <v/>
      </c>
      <c r="H109">
        <f>G109=C109</f>
        <v/>
      </c>
      <c r="I109">
        <f>TEXT(B109,"0.00000000000000")</f>
        <v/>
      </c>
    </row>
    <row r="110">
      <c r="A110" t="n">
        <v>103</v>
      </c>
      <c r="B110">
        <f>B109+0.1</f>
        <v/>
      </c>
      <c r="C110">
        <f>A110/10</f>
        <v/>
      </c>
      <c r="D110">
        <f>B110=C110</f>
        <v/>
      </c>
      <c r="E110">
        <f>INT(B110*10)=A110</f>
        <v/>
      </c>
      <c r="F110">
        <f>B110&gt;=C110</f>
        <v/>
      </c>
      <c r="G110">
        <f>ROUND(G109+0.1,1)</f>
        <v/>
      </c>
      <c r="H110">
        <f>G110=C110</f>
        <v/>
      </c>
      <c r="I110">
        <f>TEXT(B110,"0.00000000000000")</f>
        <v/>
      </c>
    </row>
    <row r="111">
      <c r="A111" t="n">
        <v>104</v>
      </c>
      <c r="B111">
        <f>B110+0.1</f>
        <v/>
      </c>
      <c r="C111">
        <f>A111/10</f>
        <v/>
      </c>
      <c r="D111">
        <f>B111=C111</f>
        <v/>
      </c>
      <c r="E111">
        <f>INT(B111*10)=A111</f>
        <v/>
      </c>
      <c r="F111">
        <f>B111&gt;=C111</f>
        <v/>
      </c>
      <c r="G111">
        <f>ROUND(G110+0.1,1)</f>
        <v/>
      </c>
      <c r="H111">
        <f>G111=C111</f>
        <v/>
      </c>
      <c r="I111">
        <f>TEXT(B111,"0.00000000000000")</f>
        <v/>
      </c>
    </row>
    <row r="112">
      <c r="A112" t="n">
        <v>105</v>
      </c>
      <c r="B112">
        <f>B111+0.1</f>
        <v/>
      </c>
      <c r="C112">
        <f>A112/10</f>
        <v/>
      </c>
      <c r="D112">
        <f>B112=C112</f>
        <v/>
      </c>
      <c r="E112">
        <f>INT(B112*10)=A112</f>
        <v/>
      </c>
      <c r="F112">
        <f>B112&gt;=C112</f>
        <v/>
      </c>
      <c r="G112">
        <f>ROUND(G111+0.1,1)</f>
        <v/>
      </c>
      <c r="H112">
        <f>G112=C112</f>
        <v/>
      </c>
      <c r="I112">
        <f>TEXT(B112,"0.00000000000000")</f>
        <v/>
      </c>
    </row>
    <row r="113">
      <c r="A113" t="n">
        <v>106</v>
      </c>
      <c r="B113">
        <f>B112+0.1</f>
        <v/>
      </c>
      <c r="C113">
        <f>A113/10</f>
        <v/>
      </c>
      <c r="D113">
        <f>B113=C113</f>
        <v/>
      </c>
      <c r="E113">
        <f>INT(B113*10)=A113</f>
        <v/>
      </c>
      <c r="F113">
        <f>B113&gt;=C113</f>
        <v/>
      </c>
      <c r="G113">
        <f>ROUND(G112+0.1,1)</f>
        <v/>
      </c>
      <c r="H113">
        <f>G113=C113</f>
        <v/>
      </c>
      <c r="I113">
        <f>TEXT(B113,"0.00000000000000")</f>
        <v/>
      </c>
    </row>
    <row r="114">
      <c r="A114" t="n">
        <v>107</v>
      </c>
      <c r="B114">
        <f>B113+0.1</f>
        <v/>
      </c>
      <c r="C114">
        <f>A114/10</f>
        <v/>
      </c>
      <c r="D114">
        <f>B114=C114</f>
        <v/>
      </c>
      <c r="E114">
        <f>INT(B114*10)=A114</f>
        <v/>
      </c>
      <c r="F114">
        <f>B114&gt;=C114</f>
        <v/>
      </c>
      <c r="G114">
        <f>ROUND(G113+0.1,1)</f>
        <v/>
      </c>
      <c r="H114">
        <f>G114=C114</f>
        <v/>
      </c>
      <c r="I114">
        <f>TEXT(B114,"0.00000000000000")</f>
        <v/>
      </c>
    </row>
    <row r="115">
      <c r="A115" t="n">
        <v>108</v>
      </c>
      <c r="B115">
        <f>B114+0.1</f>
        <v/>
      </c>
      <c r="C115">
        <f>A115/10</f>
        <v/>
      </c>
      <c r="D115">
        <f>B115=C115</f>
        <v/>
      </c>
      <c r="E115">
        <f>INT(B115*10)=A115</f>
        <v/>
      </c>
      <c r="F115">
        <f>B115&gt;=C115</f>
        <v/>
      </c>
      <c r="G115">
        <f>ROUND(G114+0.1,1)</f>
        <v/>
      </c>
      <c r="H115">
        <f>G115=C115</f>
        <v/>
      </c>
      <c r="I115">
        <f>TEXT(B115,"0.00000000000000")</f>
        <v/>
      </c>
    </row>
    <row r="116">
      <c r="A116" t="n">
        <v>109</v>
      </c>
      <c r="B116">
        <f>B115+0.1</f>
        <v/>
      </c>
      <c r="C116">
        <f>A116/10</f>
        <v/>
      </c>
      <c r="D116">
        <f>B116=C116</f>
        <v/>
      </c>
      <c r="E116">
        <f>INT(B116*10)=A116</f>
        <v/>
      </c>
      <c r="F116">
        <f>B116&gt;=C116</f>
        <v/>
      </c>
      <c r="G116">
        <f>ROUND(G115+0.1,1)</f>
        <v/>
      </c>
      <c r="H116">
        <f>G116=C116</f>
        <v/>
      </c>
      <c r="I116">
        <f>TEXT(B116,"0.00000000000000")</f>
        <v/>
      </c>
    </row>
    <row r="117">
      <c r="A117" t="n">
        <v>110</v>
      </c>
      <c r="B117">
        <f>B116+0.1</f>
        <v/>
      </c>
      <c r="C117">
        <f>A117/10</f>
        <v/>
      </c>
      <c r="D117">
        <f>B117=C117</f>
        <v/>
      </c>
      <c r="E117">
        <f>INT(B117*10)=A117</f>
        <v/>
      </c>
      <c r="F117">
        <f>B117&gt;=C117</f>
        <v/>
      </c>
      <c r="G117">
        <f>ROUND(G116+0.1,1)</f>
        <v/>
      </c>
      <c r="H117">
        <f>G117=C117</f>
        <v/>
      </c>
      <c r="I117">
        <f>TEXT(B117,"0.00000000000000")</f>
        <v/>
      </c>
    </row>
    <row r="118">
      <c r="A118" t="n">
        <v>111</v>
      </c>
      <c r="B118">
        <f>B117+0.1</f>
        <v/>
      </c>
      <c r="C118">
        <f>A118/10</f>
        <v/>
      </c>
      <c r="D118">
        <f>B118=C118</f>
        <v/>
      </c>
      <c r="E118">
        <f>INT(B118*10)=A118</f>
        <v/>
      </c>
      <c r="F118">
        <f>B118&gt;=C118</f>
        <v/>
      </c>
      <c r="G118">
        <f>ROUND(G117+0.1,1)</f>
        <v/>
      </c>
      <c r="H118">
        <f>G118=C118</f>
        <v/>
      </c>
      <c r="I118">
        <f>TEXT(B118,"0.00000000000000")</f>
        <v/>
      </c>
    </row>
    <row r="119">
      <c r="A119" t="n">
        <v>112</v>
      </c>
      <c r="B119">
        <f>B118+0.1</f>
        <v/>
      </c>
      <c r="C119">
        <f>A119/10</f>
        <v/>
      </c>
      <c r="D119">
        <f>B119=C119</f>
        <v/>
      </c>
      <c r="E119">
        <f>INT(B119*10)=A119</f>
        <v/>
      </c>
      <c r="F119">
        <f>B119&gt;=C119</f>
        <v/>
      </c>
      <c r="G119">
        <f>ROUND(G118+0.1,1)</f>
        <v/>
      </c>
      <c r="H119">
        <f>G119=C119</f>
        <v/>
      </c>
      <c r="I119">
        <f>TEXT(B119,"0.00000000000000")</f>
        <v/>
      </c>
    </row>
    <row r="120">
      <c r="A120" t="n">
        <v>113</v>
      </c>
      <c r="B120">
        <f>B119+0.1</f>
        <v/>
      </c>
      <c r="C120">
        <f>A120/10</f>
        <v/>
      </c>
      <c r="D120">
        <f>B120=C120</f>
        <v/>
      </c>
      <c r="E120">
        <f>INT(B120*10)=A120</f>
        <v/>
      </c>
      <c r="F120">
        <f>B120&gt;=C120</f>
        <v/>
      </c>
      <c r="G120">
        <f>ROUND(G119+0.1,1)</f>
        <v/>
      </c>
      <c r="H120">
        <f>G120=C120</f>
        <v/>
      </c>
      <c r="I120">
        <f>TEXT(B120,"0.00000000000000")</f>
        <v/>
      </c>
    </row>
    <row r="121">
      <c r="A121" t="n">
        <v>114</v>
      </c>
      <c r="B121">
        <f>B120+0.1</f>
        <v/>
      </c>
      <c r="C121">
        <f>A121/10</f>
        <v/>
      </c>
      <c r="D121">
        <f>B121=C121</f>
        <v/>
      </c>
      <c r="E121">
        <f>INT(B121*10)=A121</f>
        <v/>
      </c>
      <c r="F121">
        <f>B121&gt;=C121</f>
        <v/>
      </c>
      <c r="G121">
        <f>ROUND(G120+0.1,1)</f>
        <v/>
      </c>
      <c r="H121">
        <f>G121=C121</f>
        <v/>
      </c>
      <c r="I121">
        <f>TEXT(B121,"0.00000000000000")</f>
        <v/>
      </c>
    </row>
    <row r="122">
      <c r="A122" t="n">
        <v>115</v>
      </c>
      <c r="B122">
        <f>B121+0.1</f>
        <v/>
      </c>
      <c r="C122">
        <f>A122/10</f>
        <v/>
      </c>
      <c r="D122">
        <f>B122=C122</f>
        <v/>
      </c>
      <c r="E122">
        <f>INT(B122*10)=A122</f>
        <v/>
      </c>
      <c r="F122">
        <f>B122&gt;=C122</f>
        <v/>
      </c>
      <c r="G122">
        <f>ROUND(G121+0.1,1)</f>
        <v/>
      </c>
      <c r="H122">
        <f>G122=C122</f>
        <v/>
      </c>
      <c r="I122">
        <f>TEXT(B122,"0.00000000000000")</f>
        <v/>
      </c>
    </row>
    <row r="123">
      <c r="A123" t="n">
        <v>116</v>
      </c>
      <c r="B123">
        <f>B122+0.1</f>
        <v/>
      </c>
      <c r="C123">
        <f>A123/10</f>
        <v/>
      </c>
      <c r="D123">
        <f>B123=C123</f>
        <v/>
      </c>
      <c r="E123">
        <f>INT(B123*10)=A123</f>
        <v/>
      </c>
      <c r="F123">
        <f>B123&gt;=C123</f>
        <v/>
      </c>
      <c r="G123">
        <f>ROUND(G122+0.1,1)</f>
        <v/>
      </c>
      <c r="H123">
        <f>G123=C123</f>
        <v/>
      </c>
      <c r="I123">
        <f>TEXT(B123,"0.00000000000000")</f>
        <v/>
      </c>
    </row>
    <row r="124">
      <c r="A124" t="n">
        <v>117</v>
      </c>
      <c r="B124">
        <f>B123+0.1</f>
        <v/>
      </c>
      <c r="C124">
        <f>A124/10</f>
        <v/>
      </c>
      <c r="D124">
        <f>B124=C124</f>
        <v/>
      </c>
      <c r="E124">
        <f>INT(B124*10)=A124</f>
        <v/>
      </c>
      <c r="F124">
        <f>B124&gt;=C124</f>
        <v/>
      </c>
      <c r="G124">
        <f>ROUND(G123+0.1,1)</f>
        <v/>
      </c>
      <c r="H124">
        <f>G124=C124</f>
        <v/>
      </c>
      <c r="I124">
        <f>TEXT(B124,"0.00000000000000")</f>
        <v/>
      </c>
    </row>
    <row r="125">
      <c r="A125" t="n">
        <v>118</v>
      </c>
      <c r="B125">
        <f>B124+0.1</f>
        <v/>
      </c>
      <c r="C125">
        <f>A125/10</f>
        <v/>
      </c>
      <c r="D125">
        <f>B125=C125</f>
        <v/>
      </c>
      <c r="E125">
        <f>INT(B125*10)=A125</f>
        <v/>
      </c>
      <c r="F125">
        <f>B125&gt;=C125</f>
        <v/>
      </c>
      <c r="G125">
        <f>ROUND(G124+0.1,1)</f>
        <v/>
      </c>
      <c r="H125">
        <f>G125=C125</f>
        <v/>
      </c>
      <c r="I125">
        <f>TEXT(B125,"0.00000000000000")</f>
        <v/>
      </c>
    </row>
    <row r="126">
      <c r="A126" t="n">
        <v>119</v>
      </c>
      <c r="B126">
        <f>B125+0.1</f>
        <v/>
      </c>
      <c r="C126">
        <f>A126/10</f>
        <v/>
      </c>
      <c r="D126">
        <f>B126=C126</f>
        <v/>
      </c>
      <c r="E126">
        <f>INT(B126*10)=A126</f>
        <v/>
      </c>
      <c r="F126">
        <f>B126&gt;=C126</f>
        <v/>
      </c>
      <c r="G126">
        <f>ROUND(G125+0.1,1)</f>
        <v/>
      </c>
      <c r="H126">
        <f>G126=C126</f>
        <v/>
      </c>
      <c r="I126">
        <f>TEXT(B126,"0.00000000000000")</f>
        <v/>
      </c>
    </row>
    <row r="127">
      <c r="A127" t="n">
        <v>120</v>
      </c>
      <c r="B127">
        <f>B126+0.1</f>
        <v/>
      </c>
      <c r="C127">
        <f>A127/10</f>
        <v/>
      </c>
      <c r="D127">
        <f>B127=C127</f>
        <v/>
      </c>
      <c r="E127">
        <f>INT(B127*10)=A127</f>
        <v/>
      </c>
      <c r="F127">
        <f>B127&gt;=C127</f>
        <v/>
      </c>
      <c r="G127">
        <f>ROUND(G126+0.1,1)</f>
        <v/>
      </c>
      <c r="H127">
        <f>G127=C127</f>
        <v/>
      </c>
      <c r="I127">
        <f>TEXT(B127,"0.00000000000000")</f>
        <v/>
      </c>
    </row>
    <row r="128">
      <c r="A128" t="n">
        <v>121</v>
      </c>
      <c r="B128">
        <f>B127+0.1</f>
        <v/>
      </c>
      <c r="C128">
        <f>A128/10</f>
        <v/>
      </c>
      <c r="D128">
        <f>B128=C128</f>
        <v/>
      </c>
      <c r="E128">
        <f>INT(B128*10)=A128</f>
        <v/>
      </c>
      <c r="F128">
        <f>B128&gt;=C128</f>
        <v/>
      </c>
      <c r="G128">
        <f>ROUND(G127+0.1,1)</f>
        <v/>
      </c>
      <c r="H128">
        <f>G128=C128</f>
        <v/>
      </c>
      <c r="I128">
        <f>TEXT(B128,"0.00000000000000")</f>
        <v/>
      </c>
    </row>
    <row r="129">
      <c r="A129" t="n">
        <v>122</v>
      </c>
      <c r="B129">
        <f>B128+0.1</f>
        <v/>
      </c>
      <c r="C129">
        <f>A129/10</f>
        <v/>
      </c>
      <c r="D129">
        <f>B129=C129</f>
        <v/>
      </c>
      <c r="E129">
        <f>INT(B129*10)=A129</f>
        <v/>
      </c>
      <c r="F129">
        <f>B129&gt;=C129</f>
        <v/>
      </c>
      <c r="G129">
        <f>ROUND(G128+0.1,1)</f>
        <v/>
      </c>
      <c r="H129">
        <f>G129=C129</f>
        <v/>
      </c>
      <c r="I129">
        <f>TEXT(B129,"0.00000000000000")</f>
        <v/>
      </c>
    </row>
    <row r="130">
      <c r="A130" t="n">
        <v>123</v>
      </c>
      <c r="B130">
        <f>B129+0.1</f>
        <v/>
      </c>
      <c r="C130">
        <f>A130/10</f>
        <v/>
      </c>
      <c r="D130">
        <f>B130=C130</f>
        <v/>
      </c>
      <c r="E130">
        <f>INT(B130*10)=A130</f>
        <v/>
      </c>
      <c r="F130">
        <f>B130&gt;=C130</f>
        <v/>
      </c>
      <c r="G130">
        <f>ROUND(G129+0.1,1)</f>
        <v/>
      </c>
      <c r="H130">
        <f>G130=C130</f>
        <v/>
      </c>
      <c r="I130">
        <f>TEXT(B130,"0.00000000000000")</f>
        <v/>
      </c>
    </row>
    <row r="131">
      <c r="A131" t="n">
        <v>124</v>
      </c>
      <c r="B131">
        <f>B130+0.1</f>
        <v/>
      </c>
      <c r="C131">
        <f>A131/10</f>
        <v/>
      </c>
      <c r="D131">
        <f>B131=C131</f>
        <v/>
      </c>
      <c r="E131">
        <f>INT(B131*10)=A131</f>
        <v/>
      </c>
      <c r="F131">
        <f>B131&gt;=C131</f>
        <v/>
      </c>
      <c r="G131">
        <f>ROUND(G130+0.1,1)</f>
        <v/>
      </c>
      <c r="H131">
        <f>G131=C131</f>
        <v/>
      </c>
      <c r="I131">
        <f>TEXT(B131,"0.00000000000000")</f>
        <v/>
      </c>
    </row>
    <row r="132">
      <c r="A132" t="n">
        <v>125</v>
      </c>
      <c r="B132">
        <f>B131+0.1</f>
        <v/>
      </c>
      <c r="C132">
        <f>A132/10</f>
        <v/>
      </c>
      <c r="D132">
        <f>B132=C132</f>
        <v/>
      </c>
      <c r="E132">
        <f>INT(B132*10)=A132</f>
        <v/>
      </c>
      <c r="F132">
        <f>B132&gt;=C132</f>
        <v/>
      </c>
      <c r="G132">
        <f>ROUND(G131+0.1,1)</f>
        <v/>
      </c>
      <c r="H132">
        <f>G132=C132</f>
        <v/>
      </c>
      <c r="I132">
        <f>TEXT(B132,"0.00000000000000")</f>
        <v/>
      </c>
    </row>
    <row r="133">
      <c r="A133" t="n">
        <v>126</v>
      </c>
      <c r="B133">
        <f>B132+0.1</f>
        <v/>
      </c>
      <c r="C133">
        <f>A133/10</f>
        <v/>
      </c>
      <c r="D133">
        <f>B133=C133</f>
        <v/>
      </c>
      <c r="E133">
        <f>INT(B133*10)=A133</f>
        <v/>
      </c>
      <c r="F133">
        <f>B133&gt;=C133</f>
        <v/>
      </c>
      <c r="G133">
        <f>ROUND(G132+0.1,1)</f>
        <v/>
      </c>
      <c r="H133">
        <f>G133=C133</f>
        <v/>
      </c>
      <c r="I133">
        <f>TEXT(B133,"0.00000000000000")</f>
        <v/>
      </c>
    </row>
    <row r="134">
      <c r="A134" t="n">
        <v>127</v>
      </c>
      <c r="B134">
        <f>B133+0.1</f>
        <v/>
      </c>
      <c r="C134">
        <f>A134/10</f>
        <v/>
      </c>
      <c r="D134">
        <f>B134=C134</f>
        <v/>
      </c>
      <c r="E134">
        <f>INT(B134*10)=A134</f>
        <v/>
      </c>
      <c r="F134">
        <f>B134&gt;=C134</f>
        <v/>
      </c>
      <c r="G134">
        <f>ROUND(G133+0.1,1)</f>
        <v/>
      </c>
      <c r="H134">
        <f>G134=C134</f>
        <v/>
      </c>
      <c r="I134">
        <f>TEXT(B134,"0.00000000000000")</f>
        <v/>
      </c>
    </row>
    <row r="135">
      <c r="A135" t="n">
        <v>128</v>
      </c>
      <c r="B135">
        <f>B134+0.1</f>
        <v/>
      </c>
      <c r="C135">
        <f>A135/10</f>
        <v/>
      </c>
      <c r="D135">
        <f>B135=C135</f>
        <v/>
      </c>
      <c r="E135">
        <f>INT(B135*10)=A135</f>
        <v/>
      </c>
      <c r="F135">
        <f>B135&gt;=C135</f>
        <v/>
      </c>
      <c r="G135">
        <f>ROUND(G134+0.1,1)</f>
        <v/>
      </c>
      <c r="H135">
        <f>G135=C135</f>
        <v/>
      </c>
      <c r="I135">
        <f>TEXT(B135,"0.00000000000000")</f>
        <v/>
      </c>
    </row>
    <row r="136">
      <c r="A136" t="n">
        <v>129</v>
      </c>
      <c r="B136">
        <f>B135+0.1</f>
        <v/>
      </c>
      <c r="C136">
        <f>A136/10</f>
        <v/>
      </c>
      <c r="D136">
        <f>B136=C136</f>
        <v/>
      </c>
      <c r="E136">
        <f>INT(B136*10)=A136</f>
        <v/>
      </c>
      <c r="F136">
        <f>B136&gt;=C136</f>
        <v/>
      </c>
      <c r="G136">
        <f>ROUND(G135+0.1,1)</f>
        <v/>
      </c>
      <c r="H136">
        <f>G136=C136</f>
        <v/>
      </c>
      <c r="I136">
        <f>TEXT(B136,"0.00000000000000")</f>
        <v/>
      </c>
    </row>
    <row r="137">
      <c r="A137" t="n">
        <v>130</v>
      </c>
      <c r="B137">
        <f>B136+0.1</f>
        <v/>
      </c>
      <c r="C137">
        <f>A137/10</f>
        <v/>
      </c>
      <c r="D137">
        <f>B137=C137</f>
        <v/>
      </c>
      <c r="E137">
        <f>INT(B137*10)=A137</f>
        <v/>
      </c>
      <c r="F137">
        <f>B137&gt;=C137</f>
        <v/>
      </c>
      <c r="G137">
        <f>ROUND(G136+0.1,1)</f>
        <v/>
      </c>
      <c r="H137">
        <f>G137=C137</f>
        <v/>
      </c>
      <c r="I137">
        <f>TEXT(B137,"0.00000000000000")</f>
        <v/>
      </c>
    </row>
    <row r="138">
      <c r="A138" t="n">
        <v>131</v>
      </c>
      <c r="B138">
        <f>B137+0.1</f>
        <v/>
      </c>
      <c r="C138">
        <f>A138/10</f>
        <v/>
      </c>
      <c r="D138">
        <f>B138=C138</f>
        <v/>
      </c>
      <c r="E138">
        <f>INT(B138*10)=A138</f>
        <v/>
      </c>
      <c r="F138">
        <f>B138&gt;=C138</f>
        <v/>
      </c>
      <c r="G138">
        <f>ROUND(G137+0.1,1)</f>
        <v/>
      </c>
      <c r="H138">
        <f>G138=C138</f>
        <v/>
      </c>
      <c r="I138">
        <f>TEXT(B138,"0.00000000000000")</f>
        <v/>
      </c>
    </row>
    <row r="139">
      <c r="A139" t="n">
        <v>132</v>
      </c>
      <c r="B139">
        <f>B138+0.1</f>
        <v/>
      </c>
      <c r="C139">
        <f>A139/10</f>
        <v/>
      </c>
      <c r="D139">
        <f>B139=C139</f>
        <v/>
      </c>
      <c r="E139">
        <f>INT(B139*10)=A139</f>
        <v/>
      </c>
      <c r="F139">
        <f>B139&gt;=C139</f>
        <v/>
      </c>
      <c r="G139">
        <f>ROUND(G138+0.1,1)</f>
        <v/>
      </c>
      <c r="H139">
        <f>G139=C139</f>
        <v/>
      </c>
      <c r="I139">
        <f>TEXT(B139,"0.00000000000000")</f>
        <v/>
      </c>
    </row>
    <row r="140">
      <c r="A140" t="n">
        <v>133</v>
      </c>
      <c r="B140">
        <f>B139+0.1</f>
        <v/>
      </c>
      <c r="C140">
        <f>A140/10</f>
        <v/>
      </c>
      <c r="D140">
        <f>B140=C140</f>
        <v/>
      </c>
      <c r="E140">
        <f>INT(B140*10)=A140</f>
        <v/>
      </c>
      <c r="F140">
        <f>B140&gt;=C140</f>
        <v/>
      </c>
      <c r="G140">
        <f>ROUND(G139+0.1,1)</f>
        <v/>
      </c>
      <c r="H140">
        <f>G140=C140</f>
        <v/>
      </c>
      <c r="I140">
        <f>TEXT(B140,"0.00000000000000")</f>
        <v/>
      </c>
    </row>
    <row r="141">
      <c r="A141" t="n">
        <v>134</v>
      </c>
      <c r="B141">
        <f>B140+0.1</f>
        <v/>
      </c>
      <c r="C141">
        <f>A141/10</f>
        <v/>
      </c>
      <c r="D141">
        <f>B141=C141</f>
        <v/>
      </c>
      <c r="E141">
        <f>INT(B141*10)=A141</f>
        <v/>
      </c>
      <c r="F141">
        <f>B141&gt;=C141</f>
        <v/>
      </c>
      <c r="G141">
        <f>ROUND(G140+0.1,1)</f>
        <v/>
      </c>
      <c r="H141">
        <f>G141=C141</f>
        <v/>
      </c>
      <c r="I141">
        <f>TEXT(B141,"0.00000000000000")</f>
        <v/>
      </c>
    </row>
    <row r="142">
      <c r="A142" t="n">
        <v>135</v>
      </c>
      <c r="B142">
        <f>B141+0.1</f>
        <v/>
      </c>
      <c r="C142">
        <f>A142/10</f>
        <v/>
      </c>
      <c r="D142">
        <f>B142=C142</f>
        <v/>
      </c>
      <c r="E142">
        <f>INT(B142*10)=A142</f>
        <v/>
      </c>
      <c r="F142">
        <f>B142&gt;=C142</f>
        <v/>
      </c>
      <c r="G142">
        <f>ROUND(G141+0.1,1)</f>
        <v/>
      </c>
      <c r="H142">
        <f>G142=C142</f>
        <v/>
      </c>
      <c r="I142">
        <f>TEXT(B142,"0.00000000000000")</f>
        <v/>
      </c>
    </row>
    <row r="143">
      <c r="A143" t="n">
        <v>136</v>
      </c>
      <c r="B143">
        <f>B142+0.1</f>
        <v/>
      </c>
      <c r="C143">
        <f>A143/10</f>
        <v/>
      </c>
      <c r="D143">
        <f>B143=C143</f>
        <v/>
      </c>
      <c r="E143">
        <f>INT(B143*10)=A143</f>
        <v/>
      </c>
      <c r="F143">
        <f>B143&gt;=C143</f>
        <v/>
      </c>
      <c r="G143">
        <f>ROUND(G142+0.1,1)</f>
        <v/>
      </c>
      <c r="H143">
        <f>G143=C143</f>
        <v/>
      </c>
      <c r="I143">
        <f>TEXT(B143,"0.00000000000000")</f>
        <v/>
      </c>
    </row>
    <row r="144">
      <c r="A144" t="n">
        <v>137</v>
      </c>
      <c r="B144">
        <f>B143+0.1</f>
        <v/>
      </c>
      <c r="C144">
        <f>A144/10</f>
        <v/>
      </c>
      <c r="D144">
        <f>B144=C144</f>
        <v/>
      </c>
      <c r="E144">
        <f>INT(B144*10)=A144</f>
        <v/>
      </c>
      <c r="F144">
        <f>B144&gt;=C144</f>
        <v/>
      </c>
      <c r="G144">
        <f>ROUND(G143+0.1,1)</f>
        <v/>
      </c>
      <c r="H144">
        <f>G144=C144</f>
        <v/>
      </c>
      <c r="I144">
        <f>TEXT(B144,"0.00000000000000")</f>
        <v/>
      </c>
    </row>
    <row r="145">
      <c r="A145" t="n">
        <v>138</v>
      </c>
      <c r="B145">
        <f>B144+0.1</f>
        <v/>
      </c>
      <c r="C145">
        <f>A145/10</f>
        <v/>
      </c>
      <c r="D145">
        <f>B145=C145</f>
        <v/>
      </c>
      <c r="E145">
        <f>INT(B145*10)=A145</f>
        <v/>
      </c>
      <c r="F145">
        <f>B145&gt;=C145</f>
        <v/>
      </c>
      <c r="G145">
        <f>ROUND(G144+0.1,1)</f>
        <v/>
      </c>
      <c r="H145">
        <f>G145=C145</f>
        <v/>
      </c>
      <c r="I145">
        <f>TEXT(B145,"0.00000000000000")</f>
        <v/>
      </c>
    </row>
    <row r="146">
      <c r="A146" t="n">
        <v>139</v>
      </c>
      <c r="B146">
        <f>B145+0.1</f>
        <v/>
      </c>
      <c r="C146">
        <f>A146/10</f>
        <v/>
      </c>
      <c r="D146">
        <f>B146=C146</f>
        <v/>
      </c>
      <c r="E146">
        <f>INT(B146*10)=A146</f>
        <v/>
      </c>
      <c r="F146">
        <f>B146&gt;=C146</f>
        <v/>
      </c>
      <c r="G146">
        <f>ROUND(G145+0.1,1)</f>
        <v/>
      </c>
      <c r="H146">
        <f>G146=C146</f>
        <v/>
      </c>
      <c r="I146">
        <f>TEXT(B146,"0.00000000000000")</f>
        <v/>
      </c>
    </row>
    <row r="147">
      <c r="A147" t="n">
        <v>140</v>
      </c>
      <c r="B147">
        <f>B146+0.1</f>
        <v/>
      </c>
      <c r="C147">
        <f>A147/10</f>
        <v/>
      </c>
      <c r="D147">
        <f>B147=C147</f>
        <v/>
      </c>
      <c r="E147">
        <f>INT(B147*10)=A147</f>
        <v/>
      </c>
      <c r="F147">
        <f>B147&gt;=C147</f>
        <v/>
      </c>
      <c r="G147">
        <f>ROUND(G146+0.1,1)</f>
        <v/>
      </c>
      <c r="H147">
        <f>G147=C147</f>
        <v/>
      </c>
      <c r="I147">
        <f>TEXT(B147,"0.00000000000000")</f>
        <v/>
      </c>
    </row>
    <row r="148">
      <c r="A148" t="n">
        <v>141</v>
      </c>
      <c r="B148">
        <f>B147+0.1</f>
        <v/>
      </c>
      <c r="C148">
        <f>A148/10</f>
        <v/>
      </c>
      <c r="D148">
        <f>B148=C148</f>
        <v/>
      </c>
      <c r="E148">
        <f>INT(B148*10)=A148</f>
        <v/>
      </c>
      <c r="F148">
        <f>B148&gt;=C148</f>
        <v/>
      </c>
      <c r="G148">
        <f>ROUND(G147+0.1,1)</f>
        <v/>
      </c>
      <c r="H148">
        <f>G148=C148</f>
        <v/>
      </c>
      <c r="I148">
        <f>TEXT(B148,"0.00000000000000")</f>
        <v/>
      </c>
    </row>
    <row r="149">
      <c r="A149" t="n">
        <v>142</v>
      </c>
      <c r="B149">
        <f>B148+0.1</f>
        <v/>
      </c>
      <c r="C149">
        <f>A149/10</f>
        <v/>
      </c>
      <c r="D149">
        <f>B149=C149</f>
        <v/>
      </c>
      <c r="E149">
        <f>INT(B149*10)=A149</f>
        <v/>
      </c>
      <c r="F149">
        <f>B149&gt;=C149</f>
        <v/>
      </c>
      <c r="G149">
        <f>ROUND(G148+0.1,1)</f>
        <v/>
      </c>
      <c r="H149">
        <f>G149=C149</f>
        <v/>
      </c>
      <c r="I149">
        <f>TEXT(B149,"0.00000000000000")</f>
        <v/>
      </c>
    </row>
    <row r="150">
      <c r="A150" t="n">
        <v>143</v>
      </c>
      <c r="B150">
        <f>B149+0.1</f>
        <v/>
      </c>
      <c r="C150">
        <f>A150/10</f>
        <v/>
      </c>
      <c r="D150">
        <f>B150=C150</f>
        <v/>
      </c>
      <c r="E150">
        <f>INT(B150*10)=A150</f>
        <v/>
      </c>
      <c r="F150">
        <f>B150&gt;=C150</f>
        <v/>
      </c>
      <c r="G150">
        <f>ROUND(G149+0.1,1)</f>
        <v/>
      </c>
      <c r="H150">
        <f>G150=C150</f>
        <v/>
      </c>
      <c r="I150">
        <f>TEXT(B150,"0.00000000000000")</f>
        <v/>
      </c>
    </row>
    <row r="151">
      <c r="A151" t="n">
        <v>144</v>
      </c>
      <c r="B151">
        <f>B150+0.1</f>
        <v/>
      </c>
      <c r="C151">
        <f>A151/10</f>
        <v/>
      </c>
      <c r="D151">
        <f>B151=C151</f>
        <v/>
      </c>
      <c r="E151">
        <f>INT(B151*10)=A151</f>
        <v/>
      </c>
      <c r="F151">
        <f>B151&gt;=C151</f>
        <v/>
      </c>
      <c r="G151">
        <f>ROUND(G150+0.1,1)</f>
        <v/>
      </c>
      <c r="H151">
        <f>G151=C151</f>
        <v/>
      </c>
      <c r="I151">
        <f>TEXT(B151,"0.00000000000000")</f>
        <v/>
      </c>
    </row>
    <row r="152">
      <c r="A152" t="n">
        <v>145</v>
      </c>
      <c r="B152">
        <f>B151+0.1</f>
        <v/>
      </c>
      <c r="C152">
        <f>A152/10</f>
        <v/>
      </c>
      <c r="D152">
        <f>B152=C152</f>
        <v/>
      </c>
      <c r="E152">
        <f>INT(B152*10)=A152</f>
        <v/>
      </c>
      <c r="F152">
        <f>B152&gt;=C152</f>
        <v/>
      </c>
      <c r="G152">
        <f>ROUND(G151+0.1,1)</f>
        <v/>
      </c>
      <c r="H152">
        <f>G152=C152</f>
        <v/>
      </c>
      <c r="I152">
        <f>TEXT(B152,"0.00000000000000")</f>
        <v/>
      </c>
    </row>
    <row r="153">
      <c r="A153" t="n">
        <v>146</v>
      </c>
      <c r="B153">
        <f>B152+0.1</f>
        <v/>
      </c>
      <c r="C153">
        <f>A153/10</f>
        <v/>
      </c>
      <c r="D153">
        <f>B153=C153</f>
        <v/>
      </c>
      <c r="E153">
        <f>INT(B153*10)=A153</f>
        <v/>
      </c>
      <c r="F153">
        <f>B153&gt;=C153</f>
        <v/>
      </c>
      <c r="G153">
        <f>ROUND(G152+0.1,1)</f>
        <v/>
      </c>
      <c r="H153">
        <f>G153=C153</f>
        <v/>
      </c>
      <c r="I153">
        <f>TEXT(B153,"0.00000000000000")</f>
        <v/>
      </c>
    </row>
    <row r="154">
      <c r="A154" t="n">
        <v>147</v>
      </c>
      <c r="B154">
        <f>B153+0.1</f>
        <v/>
      </c>
      <c r="C154">
        <f>A154/10</f>
        <v/>
      </c>
      <c r="D154">
        <f>B154=C154</f>
        <v/>
      </c>
      <c r="E154">
        <f>INT(B154*10)=A154</f>
        <v/>
      </c>
      <c r="F154">
        <f>B154&gt;=C154</f>
        <v/>
      </c>
      <c r="G154">
        <f>ROUND(G153+0.1,1)</f>
        <v/>
      </c>
      <c r="H154">
        <f>G154=C154</f>
        <v/>
      </c>
      <c r="I154">
        <f>TEXT(B154,"0.00000000000000")</f>
        <v/>
      </c>
    </row>
    <row r="155">
      <c r="A155" t="n">
        <v>148</v>
      </c>
      <c r="B155">
        <f>B154+0.1</f>
        <v/>
      </c>
      <c r="C155">
        <f>A155/10</f>
        <v/>
      </c>
      <c r="D155">
        <f>B155=C155</f>
        <v/>
      </c>
      <c r="E155">
        <f>INT(B155*10)=A155</f>
        <v/>
      </c>
      <c r="F155">
        <f>B155&gt;=C155</f>
        <v/>
      </c>
      <c r="G155">
        <f>ROUND(G154+0.1,1)</f>
        <v/>
      </c>
      <c r="H155">
        <f>G155=C155</f>
        <v/>
      </c>
      <c r="I155">
        <f>TEXT(B155,"0.00000000000000")</f>
        <v/>
      </c>
    </row>
    <row r="156">
      <c r="A156" t="n">
        <v>149</v>
      </c>
      <c r="B156">
        <f>B155+0.1</f>
        <v/>
      </c>
      <c r="C156">
        <f>A156/10</f>
        <v/>
      </c>
      <c r="D156">
        <f>B156=C156</f>
        <v/>
      </c>
      <c r="E156">
        <f>INT(B156*10)=A156</f>
        <v/>
      </c>
      <c r="F156">
        <f>B156&gt;=C156</f>
        <v/>
      </c>
      <c r="G156">
        <f>ROUND(G155+0.1,1)</f>
        <v/>
      </c>
      <c r="H156">
        <f>G156=C156</f>
        <v/>
      </c>
      <c r="I156">
        <f>TEXT(B156,"0.00000000000000")</f>
        <v/>
      </c>
    </row>
    <row r="157">
      <c r="A157" t="n">
        <v>150</v>
      </c>
      <c r="B157">
        <f>B156+0.1</f>
        <v/>
      </c>
      <c r="C157">
        <f>A157/10</f>
        <v/>
      </c>
      <c r="D157">
        <f>B157=C157</f>
        <v/>
      </c>
      <c r="E157">
        <f>INT(B157*10)=A157</f>
        <v/>
      </c>
      <c r="F157">
        <f>B157&gt;=C157</f>
        <v/>
      </c>
      <c r="G157">
        <f>ROUND(G156+0.1,1)</f>
        <v/>
      </c>
      <c r="H157">
        <f>G157=C157</f>
        <v/>
      </c>
      <c r="I157">
        <f>TEXT(B157,"0.00000000000000")</f>
        <v/>
      </c>
    </row>
    <row r="158">
      <c r="A158" t="n">
        <v>151</v>
      </c>
      <c r="B158">
        <f>B157+0.1</f>
        <v/>
      </c>
      <c r="C158">
        <f>A158/10</f>
        <v/>
      </c>
      <c r="D158">
        <f>B158=C158</f>
        <v/>
      </c>
      <c r="E158">
        <f>INT(B158*10)=A158</f>
        <v/>
      </c>
      <c r="F158">
        <f>B158&gt;=C158</f>
        <v/>
      </c>
      <c r="G158">
        <f>ROUND(G157+0.1,1)</f>
        <v/>
      </c>
      <c r="H158">
        <f>G158=C158</f>
        <v/>
      </c>
      <c r="I158">
        <f>TEXT(B158,"0.00000000000000")</f>
        <v/>
      </c>
    </row>
    <row r="159">
      <c r="A159" t="n">
        <v>152</v>
      </c>
      <c r="B159">
        <f>B158+0.1</f>
        <v/>
      </c>
      <c r="C159">
        <f>A159/10</f>
        <v/>
      </c>
      <c r="D159">
        <f>B159=C159</f>
        <v/>
      </c>
      <c r="E159">
        <f>INT(B159*10)=A159</f>
        <v/>
      </c>
      <c r="F159">
        <f>B159&gt;=C159</f>
        <v/>
      </c>
      <c r="G159">
        <f>ROUND(G158+0.1,1)</f>
        <v/>
      </c>
      <c r="H159">
        <f>G159=C159</f>
        <v/>
      </c>
      <c r="I159">
        <f>TEXT(B159,"0.00000000000000")</f>
        <v/>
      </c>
    </row>
    <row r="160">
      <c r="A160" t="n">
        <v>153</v>
      </c>
      <c r="B160">
        <f>B159+0.1</f>
        <v/>
      </c>
      <c r="C160">
        <f>A160/10</f>
        <v/>
      </c>
      <c r="D160">
        <f>B160=C160</f>
        <v/>
      </c>
      <c r="E160">
        <f>INT(B160*10)=A160</f>
        <v/>
      </c>
      <c r="F160">
        <f>B160&gt;=C160</f>
        <v/>
      </c>
      <c r="G160">
        <f>ROUND(G159+0.1,1)</f>
        <v/>
      </c>
      <c r="H160">
        <f>G160=C160</f>
        <v/>
      </c>
      <c r="I160">
        <f>TEXT(B160,"0.00000000000000")</f>
        <v/>
      </c>
    </row>
    <row r="161">
      <c r="A161" t="n">
        <v>154</v>
      </c>
      <c r="B161">
        <f>B160+0.1</f>
        <v/>
      </c>
      <c r="C161">
        <f>A161/10</f>
        <v/>
      </c>
      <c r="D161">
        <f>B161=C161</f>
        <v/>
      </c>
      <c r="E161">
        <f>INT(B161*10)=A161</f>
        <v/>
      </c>
      <c r="F161">
        <f>B161&gt;=C161</f>
        <v/>
      </c>
      <c r="G161">
        <f>ROUND(G160+0.1,1)</f>
        <v/>
      </c>
      <c r="H161">
        <f>G161=C161</f>
        <v/>
      </c>
      <c r="I161">
        <f>TEXT(B161,"0.00000000000000")</f>
        <v/>
      </c>
    </row>
    <row r="162">
      <c r="A162" t="n">
        <v>155</v>
      </c>
      <c r="B162">
        <f>B161+0.1</f>
        <v/>
      </c>
      <c r="C162">
        <f>A162/10</f>
        <v/>
      </c>
      <c r="D162">
        <f>B162=C162</f>
        <v/>
      </c>
      <c r="E162">
        <f>INT(B162*10)=A162</f>
        <v/>
      </c>
      <c r="F162">
        <f>B162&gt;=C162</f>
        <v/>
      </c>
      <c r="G162">
        <f>ROUND(G161+0.1,1)</f>
        <v/>
      </c>
      <c r="H162">
        <f>G162=C162</f>
        <v/>
      </c>
      <c r="I162">
        <f>TEXT(B162,"0.00000000000000")</f>
        <v/>
      </c>
    </row>
    <row r="163">
      <c r="A163" t="n">
        <v>156</v>
      </c>
      <c r="B163">
        <f>B162+0.1</f>
        <v/>
      </c>
      <c r="C163">
        <f>A163/10</f>
        <v/>
      </c>
      <c r="D163">
        <f>B163=C163</f>
        <v/>
      </c>
      <c r="E163">
        <f>INT(B163*10)=A163</f>
        <v/>
      </c>
      <c r="F163">
        <f>B163&gt;=C163</f>
        <v/>
      </c>
      <c r="G163">
        <f>ROUND(G162+0.1,1)</f>
        <v/>
      </c>
      <c r="H163">
        <f>G163=C163</f>
        <v/>
      </c>
      <c r="I163">
        <f>TEXT(B163,"0.00000000000000")</f>
        <v/>
      </c>
    </row>
    <row r="164">
      <c r="A164" t="n">
        <v>157</v>
      </c>
      <c r="B164">
        <f>B163+0.1</f>
        <v/>
      </c>
      <c r="C164">
        <f>A164/10</f>
        <v/>
      </c>
      <c r="D164">
        <f>B164=C164</f>
        <v/>
      </c>
      <c r="E164">
        <f>INT(B164*10)=A164</f>
        <v/>
      </c>
      <c r="F164">
        <f>B164&gt;=C164</f>
        <v/>
      </c>
      <c r="G164">
        <f>ROUND(G163+0.1,1)</f>
        <v/>
      </c>
      <c r="H164">
        <f>G164=C164</f>
        <v/>
      </c>
      <c r="I164">
        <f>TEXT(B164,"0.00000000000000")</f>
        <v/>
      </c>
    </row>
    <row r="165">
      <c r="A165" t="n">
        <v>158</v>
      </c>
      <c r="B165">
        <f>B164+0.1</f>
        <v/>
      </c>
      <c r="C165">
        <f>A165/10</f>
        <v/>
      </c>
      <c r="D165">
        <f>B165=C165</f>
        <v/>
      </c>
      <c r="E165">
        <f>INT(B165*10)=A165</f>
        <v/>
      </c>
      <c r="F165">
        <f>B165&gt;=C165</f>
        <v/>
      </c>
      <c r="G165">
        <f>ROUND(G164+0.1,1)</f>
        <v/>
      </c>
      <c r="H165">
        <f>G165=C165</f>
        <v/>
      </c>
      <c r="I165">
        <f>TEXT(B165,"0.00000000000000")</f>
        <v/>
      </c>
    </row>
    <row r="166">
      <c r="A166" t="n">
        <v>159</v>
      </c>
      <c r="B166">
        <f>B165+0.1</f>
        <v/>
      </c>
      <c r="C166">
        <f>A166/10</f>
        <v/>
      </c>
      <c r="D166">
        <f>B166=C166</f>
        <v/>
      </c>
      <c r="E166">
        <f>INT(B166*10)=A166</f>
        <v/>
      </c>
      <c r="F166">
        <f>B166&gt;=C166</f>
        <v/>
      </c>
      <c r="G166">
        <f>ROUND(G165+0.1,1)</f>
        <v/>
      </c>
      <c r="H166">
        <f>G166=C166</f>
        <v/>
      </c>
      <c r="I166">
        <f>TEXT(B166,"0.00000000000000")</f>
        <v/>
      </c>
    </row>
    <row r="167">
      <c r="A167" t="n">
        <v>160</v>
      </c>
      <c r="B167">
        <f>B166+0.1</f>
        <v/>
      </c>
      <c r="C167">
        <f>A167/10</f>
        <v/>
      </c>
      <c r="D167">
        <f>B167=C167</f>
        <v/>
      </c>
      <c r="E167">
        <f>INT(B167*10)=A167</f>
        <v/>
      </c>
      <c r="F167">
        <f>B167&gt;=C167</f>
        <v/>
      </c>
      <c r="G167">
        <f>ROUND(G166+0.1,1)</f>
        <v/>
      </c>
      <c r="H167">
        <f>G167=C167</f>
        <v/>
      </c>
      <c r="I167">
        <f>TEXT(B167,"0.00000000000000")</f>
        <v/>
      </c>
    </row>
    <row r="168">
      <c r="A168" t="n">
        <v>161</v>
      </c>
      <c r="B168">
        <f>B167+0.1</f>
        <v/>
      </c>
      <c r="C168">
        <f>A168/10</f>
        <v/>
      </c>
      <c r="D168">
        <f>B168=C168</f>
        <v/>
      </c>
      <c r="E168">
        <f>INT(B168*10)=A168</f>
        <v/>
      </c>
      <c r="F168">
        <f>B168&gt;=C168</f>
        <v/>
      </c>
      <c r="G168">
        <f>ROUND(G167+0.1,1)</f>
        <v/>
      </c>
      <c r="H168">
        <f>G168=C168</f>
        <v/>
      </c>
      <c r="I168">
        <f>TEXT(B168,"0.00000000000000")</f>
        <v/>
      </c>
    </row>
    <row r="169">
      <c r="A169" t="n">
        <v>162</v>
      </c>
      <c r="B169">
        <f>B168+0.1</f>
        <v/>
      </c>
      <c r="C169">
        <f>A169/10</f>
        <v/>
      </c>
      <c r="D169">
        <f>B169=C169</f>
        <v/>
      </c>
      <c r="E169">
        <f>INT(B169*10)=A169</f>
        <v/>
      </c>
      <c r="F169">
        <f>B169&gt;=C169</f>
        <v/>
      </c>
      <c r="G169">
        <f>ROUND(G168+0.1,1)</f>
        <v/>
      </c>
      <c r="H169">
        <f>G169=C169</f>
        <v/>
      </c>
      <c r="I169">
        <f>TEXT(B169,"0.00000000000000")</f>
        <v/>
      </c>
    </row>
    <row r="170">
      <c r="A170" t="n">
        <v>163</v>
      </c>
      <c r="B170">
        <f>B169+0.1</f>
        <v/>
      </c>
      <c r="C170">
        <f>A170/10</f>
        <v/>
      </c>
      <c r="D170">
        <f>B170=C170</f>
        <v/>
      </c>
      <c r="E170">
        <f>INT(B170*10)=A170</f>
        <v/>
      </c>
      <c r="F170">
        <f>B170&gt;=C170</f>
        <v/>
      </c>
      <c r="G170">
        <f>ROUND(G169+0.1,1)</f>
        <v/>
      </c>
      <c r="H170">
        <f>G170=C170</f>
        <v/>
      </c>
      <c r="I170">
        <f>TEXT(B170,"0.00000000000000")</f>
        <v/>
      </c>
    </row>
    <row r="171">
      <c r="A171" t="n">
        <v>164</v>
      </c>
      <c r="B171">
        <f>B170+0.1</f>
        <v/>
      </c>
      <c r="C171">
        <f>A171/10</f>
        <v/>
      </c>
      <c r="D171">
        <f>B171=C171</f>
        <v/>
      </c>
      <c r="E171">
        <f>INT(B171*10)=A171</f>
        <v/>
      </c>
      <c r="F171">
        <f>B171&gt;=C171</f>
        <v/>
      </c>
      <c r="G171">
        <f>ROUND(G170+0.1,1)</f>
        <v/>
      </c>
      <c r="H171">
        <f>G171=C171</f>
        <v/>
      </c>
      <c r="I171">
        <f>TEXT(B171,"0.00000000000000")</f>
        <v/>
      </c>
    </row>
    <row r="172">
      <c r="A172" t="n">
        <v>165</v>
      </c>
      <c r="B172">
        <f>B171+0.1</f>
        <v/>
      </c>
      <c r="C172">
        <f>A172/10</f>
        <v/>
      </c>
      <c r="D172">
        <f>B172=C172</f>
        <v/>
      </c>
      <c r="E172">
        <f>INT(B172*10)=A172</f>
        <v/>
      </c>
      <c r="F172">
        <f>B172&gt;=C172</f>
        <v/>
      </c>
      <c r="G172">
        <f>ROUND(G171+0.1,1)</f>
        <v/>
      </c>
      <c r="H172">
        <f>G172=C172</f>
        <v/>
      </c>
      <c r="I172">
        <f>TEXT(B172,"0.00000000000000")</f>
        <v/>
      </c>
    </row>
    <row r="173">
      <c r="A173" t="n">
        <v>166</v>
      </c>
      <c r="B173">
        <f>B172+0.1</f>
        <v/>
      </c>
      <c r="C173">
        <f>A173/10</f>
        <v/>
      </c>
      <c r="D173">
        <f>B173=C173</f>
        <v/>
      </c>
      <c r="E173">
        <f>INT(B173*10)=A173</f>
        <v/>
      </c>
      <c r="F173">
        <f>B173&gt;=C173</f>
        <v/>
      </c>
      <c r="G173">
        <f>ROUND(G172+0.1,1)</f>
        <v/>
      </c>
      <c r="H173">
        <f>G173=C173</f>
        <v/>
      </c>
      <c r="I173">
        <f>TEXT(B173,"0.00000000000000")</f>
        <v/>
      </c>
    </row>
    <row r="174">
      <c r="A174" t="n">
        <v>167</v>
      </c>
      <c r="B174">
        <f>B173+0.1</f>
        <v/>
      </c>
      <c r="C174">
        <f>A174/10</f>
        <v/>
      </c>
      <c r="D174">
        <f>B174=C174</f>
        <v/>
      </c>
      <c r="E174">
        <f>INT(B174*10)=A174</f>
        <v/>
      </c>
      <c r="F174">
        <f>B174&gt;=C174</f>
        <v/>
      </c>
      <c r="G174">
        <f>ROUND(G173+0.1,1)</f>
        <v/>
      </c>
      <c r="H174">
        <f>G174=C174</f>
        <v/>
      </c>
      <c r="I174">
        <f>TEXT(B174,"0.00000000000000")</f>
        <v/>
      </c>
    </row>
    <row r="175">
      <c r="A175" t="n">
        <v>168</v>
      </c>
      <c r="B175">
        <f>B174+0.1</f>
        <v/>
      </c>
      <c r="C175">
        <f>A175/10</f>
        <v/>
      </c>
      <c r="D175">
        <f>B175=C175</f>
        <v/>
      </c>
      <c r="E175">
        <f>INT(B175*10)=A175</f>
        <v/>
      </c>
      <c r="F175">
        <f>B175&gt;=C175</f>
        <v/>
      </c>
      <c r="G175">
        <f>ROUND(G174+0.1,1)</f>
        <v/>
      </c>
      <c r="H175">
        <f>G175=C175</f>
        <v/>
      </c>
      <c r="I175">
        <f>TEXT(B175,"0.00000000000000")</f>
        <v/>
      </c>
    </row>
    <row r="176">
      <c r="A176" t="n">
        <v>169</v>
      </c>
      <c r="B176">
        <f>B175+0.1</f>
        <v/>
      </c>
      <c r="C176">
        <f>A176/10</f>
        <v/>
      </c>
      <c r="D176">
        <f>B176=C176</f>
        <v/>
      </c>
      <c r="E176">
        <f>INT(B176*10)=A176</f>
        <v/>
      </c>
      <c r="F176">
        <f>B176&gt;=C176</f>
        <v/>
      </c>
      <c r="G176">
        <f>ROUND(G175+0.1,1)</f>
        <v/>
      </c>
      <c r="H176">
        <f>G176=C176</f>
        <v/>
      </c>
      <c r="I176">
        <f>TEXT(B176,"0.00000000000000")</f>
        <v/>
      </c>
    </row>
    <row r="177">
      <c r="A177" t="n">
        <v>170</v>
      </c>
      <c r="B177">
        <f>B176+0.1</f>
        <v/>
      </c>
      <c r="C177">
        <f>A177/10</f>
        <v/>
      </c>
      <c r="D177">
        <f>B177=C177</f>
        <v/>
      </c>
      <c r="E177">
        <f>INT(B177*10)=A177</f>
        <v/>
      </c>
      <c r="F177">
        <f>B177&gt;=C177</f>
        <v/>
      </c>
      <c r="G177">
        <f>ROUND(G176+0.1,1)</f>
        <v/>
      </c>
      <c r="H177">
        <f>G177=C177</f>
        <v/>
      </c>
      <c r="I177">
        <f>TEXT(B177,"0.00000000000000")</f>
        <v/>
      </c>
    </row>
    <row r="178">
      <c r="A178" t="n">
        <v>171</v>
      </c>
      <c r="B178">
        <f>B177+0.1</f>
        <v/>
      </c>
      <c r="C178">
        <f>A178/10</f>
        <v/>
      </c>
      <c r="D178">
        <f>B178=C178</f>
        <v/>
      </c>
      <c r="E178">
        <f>INT(B178*10)=A178</f>
        <v/>
      </c>
      <c r="F178">
        <f>B178&gt;=C178</f>
        <v/>
      </c>
      <c r="G178">
        <f>ROUND(G177+0.1,1)</f>
        <v/>
      </c>
      <c r="H178">
        <f>G178=C178</f>
        <v/>
      </c>
      <c r="I178">
        <f>TEXT(B178,"0.00000000000000")</f>
        <v/>
      </c>
    </row>
    <row r="179">
      <c r="A179" t="n">
        <v>172</v>
      </c>
      <c r="B179">
        <f>B178+0.1</f>
        <v/>
      </c>
      <c r="C179">
        <f>A179/10</f>
        <v/>
      </c>
      <c r="D179">
        <f>B179=C179</f>
        <v/>
      </c>
      <c r="E179">
        <f>INT(B179*10)=A179</f>
        <v/>
      </c>
      <c r="F179">
        <f>B179&gt;=C179</f>
        <v/>
      </c>
      <c r="G179">
        <f>ROUND(G178+0.1,1)</f>
        <v/>
      </c>
      <c r="H179">
        <f>G179=C179</f>
        <v/>
      </c>
      <c r="I179">
        <f>TEXT(B179,"0.00000000000000")</f>
        <v/>
      </c>
    </row>
    <row r="180">
      <c r="A180" t="n">
        <v>173</v>
      </c>
      <c r="B180">
        <f>B179+0.1</f>
        <v/>
      </c>
      <c r="C180">
        <f>A180/10</f>
        <v/>
      </c>
      <c r="D180">
        <f>B180=C180</f>
        <v/>
      </c>
      <c r="E180">
        <f>INT(B180*10)=A180</f>
        <v/>
      </c>
      <c r="F180">
        <f>B180&gt;=C180</f>
        <v/>
      </c>
      <c r="G180">
        <f>ROUND(G179+0.1,1)</f>
        <v/>
      </c>
      <c r="H180">
        <f>G180=C180</f>
        <v/>
      </c>
      <c r="I180">
        <f>TEXT(B180,"0.00000000000000")</f>
        <v/>
      </c>
    </row>
    <row r="181">
      <c r="A181" t="n">
        <v>174</v>
      </c>
      <c r="B181">
        <f>B180+0.1</f>
        <v/>
      </c>
      <c r="C181">
        <f>A181/10</f>
        <v/>
      </c>
      <c r="D181">
        <f>B181=C181</f>
        <v/>
      </c>
      <c r="E181">
        <f>INT(B181*10)=A181</f>
        <v/>
      </c>
      <c r="F181">
        <f>B181&gt;=C181</f>
        <v/>
      </c>
      <c r="G181">
        <f>ROUND(G180+0.1,1)</f>
        <v/>
      </c>
      <c r="H181">
        <f>G181=C181</f>
        <v/>
      </c>
      <c r="I181">
        <f>TEXT(B181,"0.00000000000000")</f>
        <v/>
      </c>
    </row>
    <row r="182">
      <c r="A182" t="n">
        <v>175</v>
      </c>
      <c r="B182">
        <f>B181+0.1</f>
        <v/>
      </c>
      <c r="C182">
        <f>A182/10</f>
        <v/>
      </c>
      <c r="D182">
        <f>B182=C182</f>
        <v/>
      </c>
      <c r="E182">
        <f>INT(B182*10)=A182</f>
        <v/>
      </c>
      <c r="F182">
        <f>B182&gt;=C182</f>
        <v/>
      </c>
      <c r="G182">
        <f>ROUND(G181+0.1,1)</f>
        <v/>
      </c>
      <c r="H182">
        <f>G182=C182</f>
        <v/>
      </c>
      <c r="I182">
        <f>TEXT(B182,"0.00000000000000")</f>
        <v/>
      </c>
    </row>
    <row r="183">
      <c r="A183" t="n">
        <v>176</v>
      </c>
      <c r="B183">
        <f>B182+0.1</f>
        <v/>
      </c>
      <c r="C183">
        <f>A183/10</f>
        <v/>
      </c>
      <c r="D183">
        <f>B183=C183</f>
        <v/>
      </c>
      <c r="E183">
        <f>INT(B183*10)=A183</f>
        <v/>
      </c>
      <c r="F183">
        <f>B183&gt;=C183</f>
        <v/>
      </c>
      <c r="G183">
        <f>ROUND(G182+0.1,1)</f>
        <v/>
      </c>
      <c r="H183">
        <f>G183=C183</f>
        <v/>
      </c>
      <c r="I183">
        <f>TEXT(B183,"0.00000000000000")</f>
        <v/>
      </c>
    </row>
    <row r="184">
      <c r="A184" t="n">
        <v>177</v>
      </c>
      <c r="B184">
        <f>B183+0.1</f>
        <v/>
      </c>
      <c r="C184">
        <f>A184/10</f>
        <v/>
      </c>
      <c r="D184">
        <f>B184=C184</f>
        <v/>
      </c>
      <c r="E184">
        <f>INT(B184*10)=A184</f>
        <v/>
      </c>
      <c r="F184">
        <f>B184&gt;=C184</f>
        <v/>
      </c>
      <c r="G184">
        <f>ROUND(G183+0.1,1)</f>
        <v/>
      </c>
      <c r="H184">
        <f>G184=C184</f>
        <v/>
      </c>
      <c r="I184">
        <f>TEXT(B184,"0.00000000000000")</f>
        <v/>
      </c>
    </row>
    <row r="185">
      <c r="A185" t="n">
        <v>178</v>
      </c>
      <c r="B185">
        <f>B184+0.1</f>
        <v/>
      </c>
      <c r="C185">
        <f>A185/10</f>
        <v/>
      </c>
      <c r="D185">
        <f>B185=C185</f>
        <v/>
      </c>
      <c r="E185">
        <f>INT(B185*10)=A185</f>
        <v/>
      </c>
      <c r="F185">
        <f>B185&gt;=C185</f>
        <v/>
      </c>
      <c r="G185">
        <f>ROUND(G184+0.1,1)</f>
        <v/>
      </c>
      <c r="H185">
        <f>G185=C185</f>
        <v/>
      </c>
      <c r="I185">
        <f>TEXT(B185,"0.00000000000000")</f>
        <v/>
      </c>
    </row>
    <row r="186">
      <c r="A186" t="n">
        <v>179</v>
      </c>
      <c r="B186">
        <f>B185+0.1</f>
        <v/>
      </c>
      <c r="C186">
        <f>A186/10</f>
        <v/>
      </c>
      <c r="D186">
        <f>B186=C186</f>
        <v/>
      </c>
      <c r="E186">
        <f>INT(B186*10)=A186</f>
        <v/>
      </c>
      <c r="F186">
        <f>B186&gt;=C186</f>
        <v/>
      </c>
      <c r="G186">
        <f>ROUND(G185+0.1,1)</f>
        <v/>
      </c>
      <c r="H186">
        <f>G186=C186</f>
        <v/>
      </c>
      <c r="I186">
        <f>TEXT(B186,"0.00000000000000")</f>
        <v/>
      </c>
    </row>
    <row r="187">
      <c r="A187" t="n">
        <v>180</v>
      </c>
      <c r="B187">
        <f>B186+0.1</f>
        <v/>
      </c>
      <c r="C187">
        <f>A187/10</f>
        <v/>
      </c>
      <c r="D187">
        <f>B187=C187</f>
        <v/>
      </c>
      <c r="E187">
        <f>INT(B187*10)=A187</f>
        <v/>
      </c>
      <c r="F187">
        <f>B187&gt;=C187</f>
        <v/>
      </c>
      <c r="G187">
        <f>ROUND(G186+0.1,1)</f>
        <v/>
      </c>
      <c r="H187">
        <f>G187=C187</f>
        <v/>
      </c>
      <c r="I187">
        <f>TEXT(B187,"0.00000000000000")</f>
        <v/>
      </c>
    </row>
    <row r="188">
      <c r="A188" t="n">
        <v>181</v>
      </c>
      <c r="B188">
        <f>B187+0.1</f>
        <v/>
      </c>
      <c r="C188">
        <f>A188/10</f>
        <v/>
      </c>
      <c r="D188">
        <f>B188=C188</f>
        <v/>
      </c>
      <c r="E188">
        <f>INT(B188*10)=A188</f>
        <v/>
      </c>
      <c r="F188">
        <f>B188&gt;=C188</f>
        <v/>
      </c>
      <c r="G188">
        <f>ROUND(G187+0.1,1)</f>
        <v/>
      </c>
      <c r="H188">
        <f>G188=C188</f>
        <v/>
      </c>
      <c r="I188">
        <f>TEXT(B188,"0.00000000000000")</f>
        <v/>
      </c>
    </row>
    <row r="189">
      <c r="A189" t="n">
        <v>182</v>
      </c>
      <c r="B189">
        <f>B188+0.1</f>
        <v/>
      </c>
      <c r="C189">
        <f>A189/10</f>
        <v/>
      </c>
      <c r="D189">
        <f>B189=C189</f>
        <v/>
      </c>
      <c r="E189">
        <f>INT(B189*10)=A189</f>
        <v/>
      </c>
      <c r="F189">
        <f>B189&gt;=C189</f>
        <v/>
      </c>
      <c r="G189">
        <f>ROUND(G188+0.1,1)</f>
        <v/>
      </c>
      <c r="H189">
        <f>G189=C189</f>
        <v/>
      </c>
      <c r="I189">
        <f>TEXT(B189,"0.00000000000000")</f>
        <v/>
      </c>
    </row>
    <row r="190">
      <c r="A190" t="n">
        <v>183</v>
      </c>
      <c r="B190">
        <f>B189+0.1</f>
        <v/>
      </c>
      <c r="C190">
        <f>A190/10</f>
        <v/>
      </c>
      <c r="D190">
        <f>B190=C190</f>
        <v/>
      </c>
      <c r="E190">
        <f>INT(B190*10)=A190</f>
        <v/>
      </c>
      <c r="F190">
        <f>B190&gt;=C190</f>
        <v/>
      </c>
      <c r="G190">
        <f>ROUND(G189+0.1,1)</f>
        <v/>
      </c>
      <c r="H190">
        <f>G190=C190</f>
        <v/>
      </c>
      <c r="I190">
        <f>TEXT(B190,"0.00000000000000")</f>
        <v/>
      </c>
    </row>
    <row r="191">
      <c r="A191" t="n">
        <v>184</v>
      </c>
      <c r="B191">
        <f>B190+0.1</f>
        <v/>
      </c>
      <c r="C191">
        <f>A191/10</f>
        <v/>
      </c>
      <c r="D191">
        <f>B191=C191</f>
        <v/>
      </c>
      <c r="E191">
        <f>INT(B191*10)=A191</f>
        <v/>
      </c>
      <c r="F191">
        <f>B191&gt;=C191</f>
        <v/>
      </c>
      <c r="G191">
        <f>ROUND(G190+0.1,1)</f>
        <v/>
      </c>
      <c r="H191">
        <f>G191=C191</f>
        <v/>
      </c>
      <c r="I191">
        <f>TEXT(B191,"0.00000000000000")</f>
        <v/>
      </c>
    </row>
    <row r="192">
      <c r="A192" t="n">
        <v>185</v>
      </c>
      <c r="B192">
        <f>B191+0.1</f>
        <v/>
      </c>
      <c r="C192">
        <f>A192/10</f>
        <v/>
      </c>
      <c r="D192">
        <f>B192=C192</f>
        <v/>
      </c>
      <c r="E192">
        <f>INT(B192*10)=A192</f>
        <v/>
      </c>
      <c r="F192">
        <f>B192&gt;=C192</f>
        <v/>
      </c>
      <c r="G192">
        <f>ROUND(G191+0.1,1)</f>
        <v/>
      </c>
      <c r="H192">
        <f>G192=C192</f>
        <v/>
      </c>
      <c r="I192">
        <f>TEXT(B192,"0.00000000000000")</f>
        <v/>
      </c>
    </row>
    <row r="193">
      <c r="A193" t="n">
        <v>186</v>
      </c>
      <c r="B193">
        <f>B192+0.1</f>
        <v/>
      </c>
      <c r="C193">
        <f>A193/10</f>
        <v/>
      </c>
      <c r="D193">
        <f>B193=C193</f>
        <v/>
      </c>
      <c r="E193">
        <f>INT(B193*10)=A193</f>
        <v/>
      </c>
      <c r="F193">
        <f>B193&gt;=C193</f>
        <v/>
      </c>
      <c r="G193">
        <f>ROUND(G192+0.1,1)</f>
        <v/>
      </c>
      <c r="H193">
        <f>G193=C193</f>
        <v/>
      </c>
      <c r="I193">
        <f>TEXT(B193,"0.00000000000000")</f>
        <v/>
      </c>
    </row>
    <row r="194">
      <c r="A194" t="n">
        <v>187</v>
      </c>
      <c r="B194">
        <f>B193+0.1</f>
        <v/>
      </c>
      <c r="C194">
        <f>A194/10</f>
        <v/>
      </c>
      <c r="D194">
        <f>B194=C194</f>
        <v/>
      </c>
      <c r="E194">
        <f>INT(B194*10)=A194</f>
        <v/>
      </c>
      <c r="F194">
        <f>B194&gt;=C194</f>
        <v/>
      </c>
      <c r="G194">
        <f>ROUND(G193+0.1,1)</f>
        <v/>
      </c>
      <c r="H194">
        <f>G194=C194</f>
        <v/>
      </c>
      <c r="I194">
        <f>TEXT(B194,"0.00000000000000")</f>
        <v/>
      </c>
    </row>
    <row r="195">
      <c r="A195" t="n">
        <v>188</v>
      </c>
      <c r="B195">
        <f>B194+0.1</f>
        <v/>
      </c>
      <c r="C195">
        <f>A195/10</f>
        <v/>
      </c>
      <c r="D195">
        <f>B195=C195</f>
        <v/>
      </c>
      <c r="E195">
        <f>INT(B195*10)=A195</f>
        <v/>
      </c>
      <c r="F195">
        <f>B195&gt;=C195</f>
        <v/>
      </c>
      <c r="G195">
        <f>ROUND(G194+0.1,1)</f>
        <v/>
      </c>
      <c r="H195">
        <f>G195=C195</f>
        <v/>
      </c>
      <c r="I195">
        <f>TEXT(B195,"0.00000000000000")</f>
        <v/>
      </c>
    </row>
    <row r="196">
      <c r="A196" t="n">
        <v>189</v>
      </c>
      <c r="B196">
        <f>B195+0.1</f>
        <v/>
      </c>
      <c r="C196">
        <f>A196/10</f>
        <v/>
      </c>
      <c r="D196">
        <f>B196=C196</f>
        <v/>
      </c>
      <c r="E196">
        <f>INT(B196*10)=A196</f>
        <v/>
      </c>
      <c r="F196">
        <f>B196&gt;=C196</f>
        <v/>
      </c>
      <c r="G196">
        <f>ROUND(G195+0.1,1)</f>
        <v/>
      </c>
      <c r="H196">
        <f>G196=C196</f>
        <v/>
      </c>
      <c r="I196">
        <f>TEXT(B196,"0.00000000000000")</f>
        <v/>
      </c>
    </row>
    <row r="197">
      <c r="A197" t="n">
        <v>190</v>
      </c>
      <c r="B197">
        <f>B196+0.1</f>
        <v/>
      </c>
      <c r="C197">
        <f>A197/10</f>
        <v/>
      </c>
      <c r="D197">
        <f>B197=C197</f>
        <v/>
      </c>
      <c r="E197">
        <f>INT(B197*10)=A197</f>
        <v/>
      </c>
      <c r="F197">
        <f>B197&gt;=C197</f>
        <v/>
      </c>
      <c r="G197">
        <f>ROUND(G196+0.1,1)</f>
        <v/>
      </c>
      <c r="H197">
        <f>G197=C197</f>
        <v/>
      </c>
      <c r="I197">
        <f>TEXT(B197,"0.00000000000000")</f>
        <v/>
      </c>
    </row>
    <row r="198">
      <c r="A198" t="n">
        <v>191</v>
      </c>
      <c r="B198">
        <f>B197+0.1</f>
        <v/>
      </c>
      <c r="C198">
        <f>A198/10</f>
        <v/>
      </c>
      <c r="D198">
        <f>B198=C198</f>
        <v/>
      </c>
      <c r="E198">
        <f>INT(B198*10)=A198</f>
        <v/>
      </c>
      <c r="F198">
        <f>B198&gt;=C198</f>
        <v/>
      </c>
      <c r="G198">
        <f>ROUND(G197+0.1,1)</f>
        <v/>
      </c>
      <c r="H198">
        <f>G198=C198</f>
        <v/>
      </c>
      <c r="I198">
        <f>TEXT(B198,"0.00000000000000")</f>
        <v/>
      </c>
    </row>
    <row r="199">
      <c r="A199" t="n">
        <v>192</v>
      </c>
      <c r="B199">
        <f>B198+0.1</f>
        <v/>
      </c>
      <c r="C199">
        <f>A199/10</f>
        <v/>
      </c>
      <c r="D199">
        <f>B199=C199</f>
        <v/>
      </c>
      <c r="E199">
        <f>INT(B199*10)=A199</f>
        <v/>
      </c>
      <c r="F199">
        <f>B199&gt;=C199</f>
        <v/>
      </c>
      <c r="G199">
        <f>ROUND(G198+0.1,1)</f>
        <v/>
      </c>
      <c r="H199">
        <f>G199=C199</f>
        <v/>
      </c>
      <c r="I199">
        <f>TEXT(B199,"0.00000000000000")</f>
        <v/>
      </c>
    </row>
    <row r="200">
      <c r="A200" t="n">
        <v>193</v>
      </c>
      <c r="B200">
        <f>B199+0.1</f>
        <v/>
      </c>
      <c r="C200">
        <f>A200/10</f>
        <v/>
      </c>
      <c r="D200">
        <f>B200=C200</f>
        <v/>
      </c>
      <c r="E200">
        <f>INT(B200*10)=A200</f>
        <v/>
      </c>
      <c r="F200">
        <f>B200&gt;=C200</f>
        <v/>
      </c>
      <c r="G200">
        <f>ROUND(G199+0.1,1)</f>
        <v/>
      </c>
      <c r="H200">
        <f>G200=C200</f>
        <v/>
      </c>
      <c r="I200">
        <f>TEXT(B200,"0.00000000000000")</f>
        <v/>
      </c>
    </row>
    <row r="201">
      <c r="A201" t="n">
        <v>194</v>
      </c>
      <c r="B201">
        <f>B200+0.1</f>
        <v/>
      </c>
      <c r="C201">
        <f>A201/10</f>
        <v/>
      </c>
      <c r="D201">
        <f>B201=C201</f>
        <v/>
      </c>
      <c r="E201">
        <f>INT(B201*10)=A201</f>
        <v/>
      </c>
      <c r="F201">
        <f>B201&gt;=C201</f>
        <v/>
      </c>
      <c r="G201">
        <f>ROUND(G200+0.1,1)</f>
        <v/>
      </c>
      <c r="H201">
        <f>G201=C201</f>
        <v/>
      </c>
      <c r="I201">
        <f>TEXT(B201,"0.00000000000000")</f>
        <v/>
      </c>
    </row>
    <row r="202">
      <c r="A202" t="n">
        <v>195</v>
      </c>
      <c r="B202">
        <f>B201+0.1</f>
        <v/>
      </c>
      <c r="C202">
        <f>A202/10</f>
        <v/>
      </c>
      <c r="D202">
        <f>B202=C202</f>
        <v/>
      </c>
      <c r="E202">
        <f>INT(B202*10)=A202</f>
        <v/>
      </c>
      <c r="F202">
        <f>B202&gt;=C202</f>
        <v/>
      </c>
      <c r="G202">
        <f>ROUND(G201+0.1,1)</f>
        <v/>
      </c>
      <c r="H202">
        <f>G202=C202</f>
        <v/>
      </c>
      <c r="I202">
        <f>TEXT(B202,"0.00000000000000")</f>
        <v/>
      </c>
    </row>
    <row r="203">
      <c r="A203" t="n">
        <v>196</v>
      </c>
      <c r="B203">
        <f>B202+0.1</f>
        <v/>
      </c>
      <c r="C203">
        <f>A203/10</f>
        <v/>
      </c>
      <c r="D203">
        <f>B203=C203</f>
        <v/>
      </c>
      <c r="E203">
        <f>INT(B203*10)=A203</f>
        <v/>
      </c>
      <c r="F203">
        <f>B203&gt;=C203</f>
        <v/>
      </c>
      <c r="G203">
        <f>ROUND(G202+0.1,1)</f>
        <v/>
      </c>
      <c r="H203">
        <f>G203=C203</f>
        <v/>
      </c>
      <c r="I203">
        <f>TEXT(B203,"0.00000000000000")</f>
        <v/>
      </c>
    </row>
    <row r="204">
      <c r="A204" t="n">
        <v>197</v>
      </c>
      <c r="B204">
        <f>B203+0.1</f>
        <v/>
      </c>
      <c r="C204">
        <f>A204/10</f>
        <v/>
      </c>
      <c r="D204">
        <f>B204=C204</f>
        <v/>
      </c>
      <c r="E204">
        <f>INT(B204*10)=A204</f>
        <v/>
      </c>
      <c r="F204">
        <f>B204&gt;=C204</f>
        <v/>
      </c>
      <c r="G204">
        <f>ROUND(G203+0.1,1)</f>
        <v/>
      </c>
      <c r="H204">
        <f>G204=C204</f>
        <v/>
      </c>
      <c r="I204">
        <f>TEXT(B204,"0.00000000000000")</f>
        <v/>
      </c>
    </row>
    <row r="205">
      <c r="A205" t="n">
        <v>198</v>
      </c>
      <c r="B205">
        <f>B204+0.1</f>
        <v/>
      </c>
      <c r="C205">
        <f>A205/10</f>
        <v/>
      </c>
      <c r="D205">
        <f>B205=C205</f>
        <v/>
      </c>
      <c r="E205">
        <f>INT(B205*10)=A205</f>
        <v/>
      </c>
      <c r="F205">
        <f>B205&gt;=C205</f>
        <v/>
      </c>
      <c r="G205">
        <f>ROUND(G204+0.1,1)</f>
        <v/>
      </c>
      <c r="H205">
        <f>G205=C205</f>
        <v/>
      </c>
      <c r="I205">
        <f>TEXT(B205,"0.00000000000000")</f>
        <v/>
      </c>
    </row>
    <row r="206">
      <c r="A206" t="n">
        <v>199</v>
      </c>
      <c r="B206">
        <f>B205+0.1</f>
        <v/>
      </c>
      <c r="C206">
        <f>A206/10</f>
        <v/>
      </c>
      <c r="D206">
        <f>B206=C206</f>
        <v/>
      </c>
      <c r="E206">
        <f>INT(B206*10)=A206</f>
        <v/>
      </c>
      <c r="F206">
        <f>B206&gt;=C206</f>
        <v/>
      </c>
      <c r="G206">
        <f>ROUND(G205+0.1,1)</f>
        <v/>
      </c>
      <c r="H206">
        <f>G206=C206</f>
        <v/>
      </c>
      <c r="I206">
        <f>TEXT(B206,"0.00000000000000")</f>
        <v/>
      </c>
    </row>
    <row r="207">
      <c r="A207" t="n">
        <v>200</v>
      </c>
      <c r="B207">
        <f>B206+0.1</f>
        <v/>
      </c>
      <c r="C207">
        <f>A207/10</f>
        <v/>
      </c>
      <c r="D207">
        <f>B207=C207</f>
        <v/>
      </c>
      <c r="E207">
        <f>INT(B207*10)=A207</f>
        <v/>
      </c>
      <c r="F207">
        <f>B207&gt;=C207</f>
        <v/>
      </c>
      <c r="G207">
        <f>ROUND(G206+0.1,1)</f>
        <v/>
      </c>
      <c r="H207">
        <f>G207=C207</f>
        <v/>
      </c>
      <c r="I207">
        <f>TEXT(B207,"0.00000000000000")</f>
        <v/>
      </c>
    </row>
    <row r="208">
      <c r="A208" t="n">
        <v>201</v>
      </c>
      <c r="B208">
        <f>B207+0.1</f>
        <v/>
      </c>
      <c r="C208">
        <f>A208/10</f>
        <v/>
      </c>
      <c r="D208">
        <f>B208=C208</f>
        <v/>
      </c>
      <c r="E208">
        <f>INT(B208*10)=A208</f>
        <v/>
      </c>
      <c r="F208">
        <f>B208&gt;=C208</f>
        <v/>
      </c>
      <c r="G208">
        <f>ROUND(G207+0.1,1)</f>
        <v/>
      </c>
      <c r="H208">
        <f>G208=C208</f>
        <v/>
      </c>
      <c r="I208">
        <f>TEXT(B208,"0.00000000000000")</f>
        <v/>
      </c>
    </row>
    <row r="209">
      <c r="A209" t="n">
        <v>202</v>
      </c>
      <c r="B209">
        <f>B208+0.1</f>
        <v/>
      </c>
      <c r="C209">
        <f>A209/10</f>
        <v/>
      </c>
      <c r="D209">
        <f>B209=C209</f>
        <v/>
      </c>
      <c r="E209">
        <f>INT(B209*10)=A209</f>
        <v/>
      </c>
      <c r="F209">
        <f>B209&gt;=C209</f>
        <v/>
      </c>
      <c r="G209">
        <f>ROUND(G208+0.1,1)</f>
        <v/>
      </c>
      <c r="H209">
        <f>G209=C209</f>
        <v/>
      </c>
      <c r="I209">
        <f>TEXT(B209,"0.00000000000000")</f>
        <v/>
      </c>
    </row>
    <row r="210">
      <c r="A210" t="n">
        <v>203</v>
      </c>
      <c r="B210">
        <f>B209+0.1</f>
        <v/>
      </c>
      <c r="C210">
        <f>A210/10</f>
        <v/>
      </c>
      <c r="D210">
        <f>B210=C210</f>
        <v/>
      </c>
      <c r="E210">
        <f>INT(B210*10)=A210</f>
        <v/>
      </c>
      <c r="F210">
        <f>B210&gt;=C210</f>
        <v/>
      </c>
      <c r="G210">
        <f>ROUND(G209+0.1,1)</f>
        <v/>
      </c>
      <c r="H210">
        <f>G210=C210</f>
        <v/>
      </c>
      <c r="I210">
        <f>TEXT(B210,"0.00000000000000")</f>
        <v/>
      </c>
    </row>
    <row r="211">
      <c r="A211" t="n">
        <v>204</v>
      </c>
      <c r="B211">
        <f>B210+0.1</f>
        <v/>
      </c>
      <c r="C211">
        <f>A211/10</f>
        <v/>
      </c>
      <c r="D211">
        <f>B211=C211</f>
        <v/>
      </c>
      <c r="E211">
        <f>INT(B211*10)=A211</f>
        <v/>
      </c>
      <c r="F211">
        <f>B211&gt;=C211</f>
        <v/>
      </c>
      <c r="G211">
        <f>ROUND(G210+0.1,1)</f>
        <v/>
      </c>
      <c r="H211">
        <f>G211=C211</f>
        <v/>
      </c>
      <c r="I211">
        <f>TEXT(B211,"0.00000000000000")</f>
        <v/>
      </c>
    </row>
    <row r="212">
      <c r="A212" t="n">
        <v>205</v>
      </c>
      <c r="B212">
        <f>B211+0.1</f>
        <v/>
      </c>
      <c r="C212">
        <f>A212/10</f>
        <v/>
      </c>
      <c r="D212">
        <f>B212=C212</f>
        <v/>
      </c>
      <c r="E212">
        <f>INT(B212*10)=A212</f>
        <v/>
      </c>
      <c r="F212">
        <f>B212&gt;=C212</f>
        <v/>
      </c>
      <c r="G212">
        <f>ROUND(G211+0.1,1)</f>
        <v/>
      </c>
      <c r="H212">
        <f>G212=C212</f>
        <v/>
      </c>
      <c r="I212">
        <f>TEXT(B212,"0.00000000000000")</f>
        <v/>
      </c>
    </row>
    <row r="213">
      <c r="A213" t="n">
        <v>206</v>
      </c>
      <c r="B213">
        <f>B212+0.1</f>
        <v/>
      </c>
      <c r="C213">
        <f>A213/10</f>
        <v/>
      </c>
      <c r="D213">
        <f>B213=C213</f>
        <v/>
      </c>
      <c r="E213">
        <f>INT(B213*10)=A213</f>
        <v/>
      </c>
      <c r="F213">
        <f>B213&gt;=C213</f>
        <v/>
      </c>
      <c r="G213">
        <f>ROUND(G212+0.1,1)</f>
        <v/>
      </c>
      <c r="H213">
        <f>G213=C213</f>
        <v/>
      </c>
      <c r="I213">
        <f>TEXT(B213,"0.00000000000000")</f>
        <v/>
      </c>
    </row>
    <row r="214">
      <c r="A214" t="n">
        <v>207</v>
      </c>
      <c r="B214">
        <f>B213+0.1</f>
        <v/>
      </c>
      <c r="C214">
        <f>A214/10</f>
        <v/>
      </c>
      <c r="D214">
        <f>B214=C214</f>
        <v/>
      </c>
      <c r="E214">
        <f>INT(B214*10)=A214</f>
        <v/>
      </c>
      <c r="F214">
        <f>B214&gt;=C214</f>
        <v/>
      </c>
      <c r="G214">
        <f>ROUND(G213+0.1,1)</f>
        <v/>
      </c>
      <c r="H214">
        <f>G214=C214</f>
        <v/>
      </c>
      <c r="I214">
        <f>TEXT(B214,"0.00000000000000")</f>
        <v/>
      </c>
    </row>
    <row r="215">
      <c r="A215" t="n">
        <v>208</v>
      </c>
      <c r="B215">
        <f>B214+0.1</f>
        <v/>
      </c>
      <c r="C215">
        <f>A215/10</f>
        <v/>
      </c>
      <c r="D215">
        <f>B215=C215</f>
        <v/>
      </c>
      <c r="E215">
        <f>INT(B215*10)=A215</f>
        <v/>
      </c>
      <c r="F215">
        <f>B215&gt;=C215</f>
        <v/>
      </c>
      <c r="G215">
        <f>ROUND(G214+0.1,1)</f>
        <v/>
      </c>
      <c r="H215">
        <f>G215=C215</f>
        <v/>
      </c>
      <c r="I215">
        <f>TEXT(B215,"0.00000000000000")</f>
        <v/>
      </c>
    </row>
    <row r="216">
      <c r="A216" t="n">
        <v>209</v>
      </c>
      <c r="B216">
        <f>B215+0.1</f>
        <v/>
      </c>
      <c r="C216">
        <f>A216/10</f>
        <v/>
      </c>
      <c r="D216">
        <f>B216=C216</f>
        <v/>
      </c>
      <c r="E216">
        <f>INT(B216*10)=A216</f>
        <v/>
      </c>
      <c r="F216">
        <f>B216&gt;=C216</f>
        <v/>
      </c>
      <c r="G216">
        <f>ROUND(G215+0.1,1)</f>
        <v/>
      </c>
      <c r="H216">
        <f>G216=C216</f>
        <v/>
      </c>
      <c r="I216">
        <f>TEXT(B216,"0.00000000000000")</f>
        <v/>
      </c>
    </row>
    <row r="217">
      <c r="A217" t="n">
        <v>210</v>
      </c>
      <c r="B217">
        <f>B216+0.1</f>
        <v/>
      </c>
      <c r="C217">
        <f>A217/10</f>
        <v/>
      </c>
      <c r="D217">
        <f>B217=C217</f>
        <v/>
      </c>
      <c r="E217">
        <f>INT(B217*10)=A217</f>
        <v/>
      </c>
      <c r="F217">
        <f>B217&gt;=C217</f>
        <v/>
      </c>
      <c r="G217">
        <f>ROUND(G216+0.1,1)</f>
        <v/>
      </c>
      <c r="H217">
        <f>G217=C217</f>
        <v/>
      </c>
      <c r="I217">
        <f>TEXT(B217,"0.00000000000000")</f>
        <v/>
      </c>
    </row>
    <row r="218">
      <c r="A218" t="n">
        <v>211</v>
      </c>
      <c r="B218">
        <f>B217+0.1</f>
        <v/>
      </c>
      <c r="C218">
        <f>A218/10</f>
        <v/>
      </c>
      <c r="D218">
        <f>B218=C218</f>
        <v/>
      </c>
      <c r="E218">
        <f>INT(B218*10)=A218</f>
        <v/>
      </c>
      <c r="F218">
        <f>B218&gt;=C218</f>
        <v/>
      </c>
      <c r="G218">
        <f>ROUND(G217+0.1,1)</f>
        <v/>
      </c>
      <c r="H218">
        <f>G218=C218</f>
        <v/>
      </c>
      <c r="I218">
        <f>TEXT(B218,"0.00000000000000")</f>
        <v/>
      </c>
    </row>
    <row r="219">
      <c r="A219" t="n">
        <v>212</v>
      </c>
      <c r="B219">
        <f>B218+0.1</f>
        <v/>
      </c>
      <c r="C219">
        <f>A219/10</f>
        <v/>
      </c>
      <c r="D219">
        <f>B219=C219</f>
        <v/>
      </c>
      <c r="E219">
        <f>INT(B219*10)=A219</f>
        <v/>
      </c>
      <c r="F219">
        <f>B219&gt;=C219</f>
        <v/>
      </c>
      <c r="G219">
        <f>ROUND(G218+0.1,1)</f>
        <v/>
      </c>
      <c r="H219">
        <f>G219=C219</f>
        <v/>
      </c>
      <c r="I219">
        <f>TEXT(B219,"0.00000000000000")</f>
        <v/>
      </c>
    </row>
    <row r="220">
      <c r="A220" t="n">
        <v>213</v>
      </c>
      <c r="B220">
        <f>B219+0.1</f>
        <v/>
      </c>
      <c r="C220">
        <f>A220/10</f>
        <v/>
      </c>
      <c r="D220">
        <f>B220=C220</f>
        <v/>
      </c>
      <c r="E220">
        <f>INT(B220*10)=A220</f>
        <v/>
      </c>
      <c r="F220">
        <f>B220&gt;=C220</f>
        <v/>
      </c>
      <c r="G220">
        <f>ROUND(G219+0.1,1)</f>
        <v/>
      </c>
      <c r="H220">
        <f>G220=C220</f>
        <v/>
      </c>
      <c r="I220">
        <f>TEXT(B220,"0.00000000000000")</f>
        <v/>
      </c>
    </row>
    <row r="221">
      <c r="A221" t="n">
        <v>214</v>
      </c>
      <c r="B221">
        <f>B220+0.1</f>
        <v/>
      </c>
      <c r="C221">
        <f>A221/10</f>
        <v/>
      </c>
      <c r="D221">
        <f>B221=C221</f>
        <v/>
      </c>
      <c r="E221">
        <f>INT(B221*10)=A221</f>
        <v/>
      </c>
      <c r="F221">
        <f>B221&gt;=C221</f>
        <v/>
      </c>
      <c r="G221">
        <f>ROUND(G220+0.1,1)</f>
        <v/>
      </c>
      <c r="H221">
        <f>G221=C221</f>
        <v/>
      </c>
      <c r="I221">
        <f>TEXT(B221,"0.00000000000000")</f>
        <v/>
      </c>
    </row>
    <row r="222">
      <c r="A222" t="n">
        <v>215</v>
      </c>
      <c r="B222">
        <f>B221+0.1</f>
        <v/>
      </c>
      <c r="C222">
        <f>A222/10</f>
        <v/>
      </c>
      <c r="D222">
        <f>B222=C222</f>
        <v/>
      </c>
      <c r="E222">
        <f>INT(B222*10)=A222</f>
        <v/>
      </c>
      <c r="F222">
        <f>B222&gt;=C222</f>
        <v/>
      </c>
      <c r="G222">
        <f>ROUND(G221+0.1,1)</f>
        <v/>
      </c>
      <c r="H222">
        <f>G222=C222</f>
        <v/>
      </c>
      <c r="I222">
        <f>TEXT(B222,"0.00000000000000")</f>
        <v/>
      </c>
    </row>
    <row r="223">
      <c r="A223" t="n">
        <v>216</v>
      </c>
      <c r="B223">
        <f>B222+0.1</f>
        <v/>
      </c>
      <c r="C223">
        <f>A223/10</f>
        <v/>
      </c>
      <c r="D223">
        <f>B223=C223</f>
        <v/>
      </c>
      <c r="E223">
        <f>INT(B223*10)=A223</f>
        <v/>
      </c>
      <c r="F223">
        <f>B223&gt;=C223</f>
        <v/>
      </c>
      <c r="G223">
        <f>ROUND(G222+0.1,1)</f>
        <v/>
      </c>
      <c r="H223">
        <f>G223=C223</f>
        <v/>
      </c>
      <c r="I223">
        <f>TEXT(B223,"0.00000000000000")</f>
        <v/>
      </c>
    </row>
    <row r="224">
      <c r="A224" t="n">
        <v>217</v>
      </c>
      <c r="B224">
        <f>B223+0.1</f>
        <v/>
      </c>
      <c r="C224">
        <f>A224/10</f>
        <v/>
      </c>
      <c r="D224">
        <f>B224=C224</f>
        <v/>
      </c>
      <c r="E224">
        <f>INT(B224*10)=A224</f>
        <v/>
      </c>
      <c r="F224">
        <f>B224&gt;=C224</f>
        <v/>
      </c>
      <c r="G224">
        <f>ROUND(G223+0.1,1)</f>
        <v/>
      </c>
      <c r="H224">
        <f>G224=C224</f>
        <v/>
      </c>
      <c r="I224">
        <f>TEXT(B224,"0.00000000000000")</f>
        <v/>
      </c>
    </row>
    <row r="225">
      <c r="A225" t="n">
        <v>218</v>
      </c>
      <c r="B225">
        <f>B224+0.1</f>
        <v/>
      </c>
      <c r="C225">
        <f>A225/10</f>
        <v/>
      </c>
      <c r="D225">
        <f>B225=C225</f>
        <v/>
      </c>
      <c r="E225">
        <f>INT(B225*10)=A225</f>
        <v/>
      </c>
      <c r="F225">
        <f>B225&gt;=C225</f>
        <v/>
      </c>
      <c r="G225">
        <f>ROUND(G224+0.1,1)</f>
        <v/>
      </c>
      <c r="H225">
        <f>G225=C225</f>
        <v/>
      </c>
      <c r="I225">
        <f>TEXT(B225,"0.00000000000000")</f>
        <v/>
      </c>
    </row>
    <row r="226">
      <c r="A226" t="n">
        <v>219</v>
      </c>
      <c r="B226">
        <f>B225+0.1</f>
        <v/>
      </c>
      <c r="C226">
        <f>A226/10</f>
        <v/>
      </c>
      <c r="D226">
        <f>B226=C226</f>
        <v/>
      </c>
      <c r="E226">
        <f>INT(B226*10)=A226</f>
        <v/>
      </c>
      <c r="F226">
        <f>B226&gt;=C226</f>
        <v/>
      </c>
      <c r="G226">
        <f>ROUND(G225+0.1,1)</f>
        <v/>
      </c>
      <c r="H226">
        <f>G226=C226</f>
        <v/>
      </c>
      <c r="I226">
        <f>TEXT(B226,"0.00000000000000")</f>
        <v/>
      </c>
    </row>
    <row r="227">
      <c r="A227" t="n">
        <v>220</v>
      </c>
      <c r="B227">
        <f>B226+0.1</f>
        <v/>
      </c>
      <c r="C227">
        <f>A227/10</f>
        <v/>
      </c>
      <c r="D227">
        <f>B227=C227</f>
        <v/>
      </c>
      <c r="E227">
        <f>INT(B227*10)=A227</f>
        <v/>
      </c>
      <c r="F227">
        <f>B227&gt;=C227</f>
        <v/>
      </c>
      <c r="G227">
        <f>ROUND(G226+0.1,1)</f>
        <v/>
      </c>
      <c r="H227">
        <f>G227=C227</f>
        <v/>
      </c>
      <c r="I227">
        <f>TEXT(B227,"0.00000000000000")</f>
        <v/>
      </c>
    </row>
    <row r="228">
      <c r="A228" t="n">
        <v>221</v>
      </c>
      <c r="B228">
        <f>B227+0.1</f>
        <v/>
      </c>
      <c r="C228">
        <f>A228/10</f>
        <v/>
      </c>
      <c r="D228">
        <f>B228=C228</f>
        <v/>
      </c>
      <c r="E228">
        <f>INT(B228*10)=A228</f>
        <v/>
      </c>
      <c r="F228">
        <f>B228&gt;=C228</f>
        <v/>
      </c>
      <c r="G228">
        <f>ROUND(G227+0.1,1)</f>
        <v/>
      </c>
      <c r="H228">
        <f>G228=C228</f>
        <v/>
      </c>
      <c r="I228">
        <f>TEXT(B228,"0.00000000000000")</f>
        <v/>
      </c>
    </row>
    <row r="229">
      <c r="A229" t="n">
        <v>222</v>
      </c>
      <c r="B229">
        <f>B228+0.1</f>
        <v/>
      </c>
      <c r="C229">
        <f>A229/10</f>
        <v/>
      </c>
      <c r="D229">
        <f>B229=C229</f>
        <v/>
      </c>
      <c r="E229">
        <f>INT(B229*10)=A229</f>
        <v/>
      </c>
      <c r="F229">
        <f>B229&gt;=C229</f>
        <v/>
      </c>
      <c r="G229">
        <f>ROUND(G228+0.1,1)</f>
        <v/>
      </c>
      <c r="H229">
        <f>G229=C229</f>
        <v/>
      </c>
      <c r="I229">
        <f>TEXT(B229,"0.00000000000000")</f>
        <v/>
      </c>
    </row>
    <row r="230">
      <c r="A230" t="n">
        <v>223</v>
      </c>
      <c r="B230">
        <f>B229+0.1</f>
        <v/>
      </c>
      <c r="C230">
        <f>A230/10</f>
        <v/>
      </c>
      <c r="D230">
        <f>B230=C230</f>
        <v/>
      </c>
      <c r="E230">
        <f>INT(B230*10)=A230</f>
        <v/>
      </c>
      <c r="F230">
        <f>B230&gt;=C230</f>
        <v/>
      </c>
      <c r="G230">
        <f>ROUND(G229+0.1,1)</f>
        <v/>
      </c>
      <c r="H230">
        <f>G230=C230</f>
        <v/>
      </c>
      <c r="I230">
        <f>TEXT(B230,"0.00000000000000")</f>
        <v/>
      </c>
    </row>
    <row r="231">
      <c r="A231" t="n">
        <v>224</v>
      </c>
      <c r="B231">
        <f>B230+0.1</f>
        <v/>
      </c>
      <c r="C231">
        <f>A231/10</f>
        <v/>
      </c>
      <c r="D231">
        <f>B231=C231</f>
        <v/>
      </c>
      <c r="E231">
        <f>INT(B231*10)=A231</f>
        <v/>
      </c>
      <c r="F231">
        <f>B231&gt;=C231</f>
        <v/>
      </c>
      <c r="G231">
        <f>ROUND(G230+0.1,1)</f>
        <v/>
      </c>
      <c r="H231">
        <f>G231=C231</f>
        <v/>
      </c>
      <c r="I231">
        <f>TEXT(B231,"0.00000000000000")</f>
        <v/>
      </c>
    </row>
    <row r="232">
      <c r="A232" t="n">
        <v>225</v>
      </c>
      <c r="B232">
        <f>B231+0.1</f>
        <v/>
      </c>
      <c r="C232">
        <f>A232/10</f>
        <v/>
      </c>
      <c r="D232">
        <f>B232=C232</f>
        <v/>
      </c>
      <c r="E232">
        <f>INT(B232*10)=A232</f>
        <v/>
      </c>
      <c r="F232">
        <f>B232&gt;=C232</f>
        <v/>
      </c>
      <c r="G232">
        <f>ROUND(G231+0.1,1)</f>
        <v/>
      </c>
      <c r="H232">
        <f>G232=C232</f>
        <v/>
      </c>
      <c r="I232">
        <f>TEXT(B232,"0.00000000000000")</f>
        <v/>
      </c>
    </row>
    <row r="233">
      <c r="A233" t="n">
        <v>226</v>
      </c>
      <c r="B233">
        <f>B232+0.1</f>
        <v/>
      </c>
      <c r="C233">
        <f>A233/10</f>
        <v/>
      </c>
      <c r="D233">
        <f>B233=C233</f>
        <v/>
      </c>
      <c r="E233">
        <f>INT(B233*10)=A233</f>
        <v/>
      </c>
      <c r="F233">
        <f>B233&gt;=C233</f>
        <v/>
      </c>
      <c r="G233">
        <f>ROUND(G232+0.1,1)</f>
        <v/>
      </c>
      <c r="H233">
        <f>G233=C233</f>
        <v/>
      </c>
      <c r="I233">
        <f>TEXT(B233,"0.00000000000000")</f>
        <v/>
      </c>
    </row>
    <row r="234">
      <c r="A234" t="n">
        <v>227</v>
      </c>
      <c r="B234">
        <f>B233+0.1</f>
        <v/>
      </c>
      <c r="C234">
        <f>A234/10</f>
        <v/>
      </c>
      <c r="D234">
        <f>B234=C234</f>
        <v/>
      </c>
      <c r="E234">
        <f>INT(B234*10)=A234</f>
        <v/>
      </c>
      <c r="F234">
        <f>B234&gt;=C234</f>
        <v/>
      </c>
      <c r="G234">
        <f>ROUND(G233+0.1,1)</f>
        <v/>
      </c>
      <c r="H234">
        <f>G234=C234</f>
        <v/>
      </c>
      <c r="I234">
        <f>TEXT(B234,"0.00000000000000")</f>
        <v/>
      </c>
    </row>
    <row r="235">
      <c r="A235" t="n">
        <v>228</v>
      </c>
      <c r="B235">
        <f>B234+0.1</f>
        <v/>
      </c>
      <c r="C235">
        <f>A235/10</f>
        <v/>
      </c>
      <c r="D235">
        <f>B235=C235</f>
        <v/>
      </c>
      <c r="E235">
        <f>INT(B235*10)=A235</f>
        <v/>
      </c>
      <c r="F235">
        <f>B235&gt;=C235</f>
        <v/>
      </c>
      <c r="G235">
        <f>ROUND(G234+0.1,1)</f>
        <v/>
      </c>
      <c r="H235">
        <f>G235=C235</f>
        <v/>
      </c>
      <c r="I235">
        <f>TEXT(B235,"0.00000000000000")</f>
        <v/>
      </c>
    </row>
    <row r="236">
      <c r="A236" t="n">
        <v>229</v>
      </c>
      <c r="B236">
        <f>B235+0.1</f>
        <v/>
      </c>
      <c r="C236">
        <f>A236/10</f>
        <v/>
      </c>
      <c r="D236">
        <f>B236=C236</f>
        <v/>
      </c>
      <c r="E236">
        <f>INT(B236*10)=A236</f>
        <v/>
      </c>
      <c r="F236">
        <f>B236&gt;=C236</f>
        <v/>
      </c>
      <c r="G236">
        <f>ROUND(G235+0.1,1)</f>
        <v/>
      </c>
      <c r="H236">
        <f>G236=C236</f>
        <v/>
      </c>
      <c r="I236">
        <f>TEXT(B236,"0.00000000000000")</f>
        <v/>
      </c>
    </row>
    <row r="237">
      <c r="A237" t="n">
        <v>230</v>
      </c>
      <c r="B237">
        <f>B236+0.1</f>
        <v/>
      </c>
      <c r="C237">
        <f>A237/10</f>
        <v/>
      </c>
      <c r="D237">
        <f>B237=C237</f>
        <v/>
      </c>
      <c r="E237">
        <f>INT(B237*10)=A237</f>
        <v/>
      </c>
      <c r="F237">
        <f>B237&gt;=C237</f>
        <v/>
      </c>
      <c r="G237">
        <f>ROUND(G236+0.1,1)</f>
        <v/>
      </c>
      <c r="H237">
        <f>G237=C237</f>
        <v/>
      </c>
      <c r="I237">
        <f>TEXT(B237,"0.00000000000000")</f>
        <v/>
      </c>
    </row>
    <row r="238">
      <c r="A238" t="n">
        <v>231</v>
      </c>
      <c r="B238">
        <f>B237+0.1</f>
        <v/>
      </c>
      <c r="C238">
        <f>A238/10</f>
        <v/>
      </c>
      <c r="D238">
        <f>B238=C238</f>
        <v/>
      </c>
      <c r="E238">
        <f>INT(B238*10)=A238</f>
        <v/>
      </c>
      <c r="F238">
        <f>B238&gt;=C238</f>
        <v/>
      </c>
      <c r="G238">
        <f>ROUND(G237+0.1,1)</f>
        <v/>
      </c>
      <c r="H238">
        <f>G238=C238</f>
        <v/>
      </c>
      <c r="I238">
        <f>TEXT(B238,"0.00000000000000")</f>
        <v/>
      </c>
    </row>
    <row r="239">
      <c r="A239" t="n">
        <v>232</v>
      </c>
      <c r="B239">
        <f>B238+0.1</f>
        <v/>
      </c>
      <c r="C239">
        <f>A239/10</f>
        <v/>
      </c>
      <c r="D239">
        <f>B239=C239</f>
        <v/>
      </c>
      <c r="E239">
        <f>INT(B239*10)=A239</f>
        <v/>
      </c>
      <c r="F239">
        <f>B239&gt;=C239</f>
        <v/>
      </c>
      <c r="G239">
        <f>ROUND(G238+0.1,1)</f>
        <v/>
      </c>
      <c r="H239">
        <f>G239=C239</f>
        <v/>
      </c>
      <c r="I239">
        <f>TEXT(B239,"0.00000000000000")</f>
        <v/>
      </c>
    </row>
    <row r="240">
      <c r="A240" t="n">
        <v>233</v>
      </c>
      <c r="B240">
        <f>B239+0.1</f>
        <v/>
      </c>
      <c r="C240">
        <f>A240/10</f>
        <v/>
      </c>
      <c r="D240">
        <f>B240=C240</f>
        <v/>
      </c>
      <c r="E240">
        <f>INT(B240*10)=A240</f>
        <v/>
      </c>
      <c r="F240">
        <f>B240&gt;=C240</f>
        <v/>
      </c>
      <c r="G240">
        <f>ROUND(G239+0.1,1)</f>
        <v/>
      </c>
      <c r="H240">
        <f>G240=C240</f>
        <v/>
      </c>
      <c r="I240">
        <f>TEXT(B240,"0.00000000000000")</f>
        <v/>
      </c>
    </row>
    <row r="241">
      <c r="A241" t="n">
        <v>234</v>
      </c>
      <c r="B241">
        <f>B240+0.1</f>
        <v/>
      </c>
      <c r="C241">
        <f>A241/10</f>
        <v/>
      </c>
      <c r="D241">
        <f>B241=C241</f>
        <v/>
      </c>
      <c r="E241">
        <f>INT(B241*10)=A241</f>
        <v/>
      </c>
      <c r="F241">
        <f>B241&gt;=C241</f>
        <v/>
      </c>
      <c r="G241">
        <f>ROUND(G240+0.1,1)</f>
        <v/>
      </c>
      <c r="H241">
        <f>G241=C241</f>
        <v/>
      </c>
      <c r="I241">
        <f>TEXT(B241,"0.00000000000000")</f>
        <v/>
      </c>
    </row>
    <row r="242">
      <c r="A242" t="n">
        <v>235</v>
      </c>
      <c r="B242">
        <f>B241+0.1</f>
        <v/>
      </c>
      <c r="C242">
        <f>A242/10</f>
        <v/>
      </c>
      <c r="D242">
        <f>B242=C242</f>
        <v/>
      </c>
      <c r="E242">
        <f>INT(B242*10)=A242</f>
        <v/>
      </c>
      <c r="F242">
        <f>B242&gt;=C242</f>
        <v/>
      </c>
      <c r="G242">
        <f>ROUND(G241+0.1,1)</f>
        <v/>
      </c>
      <c r="H242">
        <f>G242=C242</f>
        <v/>
      </c>
      <c r="I242">
        <f>TEXT(B242,"0.00000000000000")</f>
        <v/>
      </c>
    </row>
    <row r="243">
      <c r="A243" t="n">
        <v>236</v>
      </c>
      <c r="B243">
        <f>B242+0.1</f>
        <v/>
      </c>
      <c r="C243">
        <f>A243/10</f>
        <v/>
      </c>
      <c r="D243">
        <f>B243=C243</f>
        <v/>
      </c>
      <c r="E243">
        <f>INT(B243*10)=A243</f>
        <v/>
      </c>
      <c r="F243">
        <f>B243&gt;=C243</f>
        <v/>
      </c>
      <c r="G243">
        <f>ROUND(G242+0.1,1)</f>
        <v/>
      </c>
      <c r="H243">
        <f>G243=C243</f>
        <v/>
      </c>
      <c r="I243">
        <f>TEXT(B243,"0.00000000000000")</f>
        <v/>
      </c>
    </row>
    <row r="244">
      <c r="A244" t="n">
        <v>237</v>
      </c>
      <c r="B244">
        <f>B243+0.1</f>
        <v/>
      </c>
      <c r="C244">
        <f>A244/10</f>
        <v/>
      </c>
      <c r="D244">
        <f>B244=C244</f>
        <v/>
      </c>
      <c r="E244">
        <f>INT(B244*10)=A244</f>
        <v/>
      </c>
      <c r="F244">
        <f>B244&gt;=C244</f>
        <v/>
      </c>
      <c r="G244">
        <f>ROUND(G243+0.1,1)</f>
        <v/>
      </c>
      <c r="H244">
        <f>G244=C244</f>
        <v/>
      </c>
      <c r="I244">
        <f>TEXT(B244,"0.00000000000000")</f>
        <v/>
      </c>
    </row>
    <row r="245">
      <c r="A245" t="n">
        <v>238</v>
      </c>
      <c r="B245">
        <f>B244+0.1</f>
        <v/>
      </c>
      <c r="C245">
        <f>A245/10</f>
        <v/>
      </c>
      <c r="D245">
        <f>B245=C245</f>
        <v/>
      </c>
      <c r="E245">
        <f>INT(B245*10)=A245</f>
        <v/>
      </c>
      <c r="F245">
        <f>B245&gt;=C245</f>
        <v/>
      </c>
      <c r="G245">
        <f>ROUND(G244+0.1,1)</f>
        <v/>
      </c>
      <c r="H245">
        <f>G245=C245</f>
        <v/>
      </c>
      <c r="I245">
        <f>TEXT(B245,"0.00000000000000")</f>
        <v/>
      </c>
    </row>
    <row r="246">
      <c r="A246" t="n">
        <v>239</v>
      </c>
      <c r="B246">
        <f>B245+0.1</f>
        <v/>
      </c>
      <c r="C246">
        <f>A246/10</f>
        <v/>
      </c>
      <c r="D246">
        <f>B246=C246</f>
        <v/>
      </c>
      <c r="E246">
        <f>INT(B246*10)=A246</f>
        <v/>
      </c>
      <c r="F246">
        <f>B246&gt;=C246</f>
        <v/>
      </c>
      <c r="G246">
        <f>ROUND(G245+0.1,1)</f>
        <v/>
      </c>
      <c r="H246">
        <f>G246=C246</f>
        <v/>
      </c>
      <c r="I246">
        <f>TEXT(B246,"0.00000000000000")</f>
        <v/>
      </c>
    </row>
    <row r="247">
      <c r="A247" t="n">
        <v>240</v>
      </c>
      <c r="B247">
        <f>B246+0.1</f>
        <v/>
      </c>
      <c r="C247">
        <f>A247/10</f>
        <v/>
      </c>
      <c r="D247">
        <f>B247=C247</f>
        <v/>
      </c>
      <c r="E247">
        <f>INT(B247*10)=A247</f>
        <v/>
      </c>
      <c r="F247">
        <f>B247&gt;=C247</f>
        <v/>
      </c>
      <c r="G247">
        <f>ROUND(G246+0.1,1)</f>
        <v/>
      </c>
      <c r="H247">
        <f>G247=C247</f>
        <v/>
      </c>
      <c r="I247">
        <f>TEXT(B247,"0.00000000000000")</f>
        <v/>
      </c>
    </row>
    <row r="248">
      <c r="A248" t="n">
        <v>241</v>
      </c>
      <c r="B248">
        <f>B247+0.1</f>
        <v/>
      </c>
      <c r="C248">
        <f>A248/10</f>
        <v/>
      </c>
      <c r="D248">
        <f>B248=C248</f>
        <v/>
      </c>
      <c r="E248">
        <f>INT(B248*10)=A248</f>
        <v/>
      </c>
      <c r="F248">
        <f>B248&gt;=C248</f>
        <v/>
      </c>
      <c r="G248">
        <f>ROUND(G247+0.1,1)</f>
        <v/>
      </c>
      <c r="H248">
        <f>G248=C248</f>
        <v/>
      </c>
      <c r="I248">
        <f>TEXT(B248,"0.00000000000000")</f>
        <v/>
      </c>
    </row>
    <row r="249">
      <c r="A249" t="n">
        <v>242</v>
      </c>
      <c r="B249">
        <f>B248+0.1</f>
        <v/>
      </c>
      <c r="C249">
        <f>A249/10</f>
        <v/>
      </c>
      <c r="D249">
        <f>B249=C249</f>
        <v/>
      </c>
      <c r="E249">
        <f>INT(B249*10)=A249</f>
        <v/>
      </c>
      <c r="F249">
        <f>B249&gt;=C249</f>
        <v/>
      </c>
      <c r="G249">
        <f>ROUND(G248+0.1,1)</f>
        <v/>
      </c>
      <c r="H249">
        <f>G249=C249</f>
        <v/>
      </c>
      <c r="I249">
        <f>TEXT(B249,"0.00000000000000")</f>
        <v/>
      </c>
    </row>
    <row r="250">
      <c r="A250" t="n">
        <v>243</v>
      </c>
      <c r="B250">
        <f>B249+0.1</f>
        <v/>
      </c>
      <c r="C250">
        <f>A250/10</f>
        <v/>
      </c>
      <c r="D250">
        <f>B250=C250</f>
        <v/>
      </c>
      <c r="E250">
        <f>INT(B250*10)=A250</f>
        <v/>
      </c>
      <c r="F250">
        <f>B250&gt;=C250</f>
        <v/>
      </c>
      <c r="G250">
        <f>ROUND(G249+0.1,1)</f>
        <v/>
      </c>
      <c r="H250">
        <f>G250=C250</f>
        <v/>
      </c>
      <c r="I250">
        <f>TEXT(B250,"0.00000000000000")</f>
        <v/>
      </c>
    </row>
    <row r="251">
      <c r="A251" t="n">
        <v>244</v>
      </c>
      <c r="B251">
        <f>B250+0.1</f>
        <v/>
      </c>
      <c r="C251">
        <f>A251/10</f>
        <v/>
      </c>
      <c r="D251">
        <f>B251=C251</f>
        <v/>
      </c>
      <c r="E251">
        <f>INT(B251*10)=A251</f>
        <v/>
      </c>
      <c r="F251">
        <f>B251&gt;=C251</f>
        <v/>
      </c>
      <c r="G251">
        <f>ROUND(G250+0.1,1)</f>
        <v/>
      </c>
      <c r="H251">
        <f>G251=C251</f>
        <v/>
      </c>
      <c r="I251">
        <f>TEXT(B251,"0.00000000000000")</f>
        <v/>
      </c>
    </row>
    <row r="252">
      <c r="A252" t="n">
        <v>245</v>
      </c>
      <c r="B252">
        <f>B251+0.1</f>
        <v/>
      </c>
      <c r="C252">
        <f>A252/10</f>
        <v/>
      </c>
      <c r="D252">
        <f>B252=C252</f>
        <v/>
      </c>
      <c r="E252">
        <f>INT(B252*10)=A252</f>
        <v/>
      </c>
      <c r="F252">
        <f>B252&gt;=C252</f>
        <v/>
      </c>
      <c r="G252">
        <f>ROUND(G251+0.1,1)</f>
        <v/>
      </c>
      <c r="H252">
        <f>G252=C252</f>
        <v/>
      </c>
      <c r="I252">
        <f>TEXT(B252,"0.00000000000000")</f>
        <v/>
      </c>
    </row>
    <row r="253">
      <c r="A253" t="n">
        <v>246</v>
      </c>
      <c r="B253">
        <f>B252+0.1</f>
        <v/>
      </c>
      <c r="C253">
        <f>A253/10</f>
        <v/>
      </c>
      <c r="D253">
        <f>B253=C253</f>
        <v/>
      </c>
      <c r="E253">
        <f>INT(B253*10)=A253</f>
        <v/>
      </c>
      <c r="F253">
        <f>B253&gt;=C253</f>
        <v/>
      </c>
      <c r="G253">
        <f>ROUND(G252+0.1,1)</f>
        <v/>
      </c>
      <c r="H253">
        <f>G253=C253</f>
        <v/>
      </c>
      <c r="I253">
        <f>TEXT(B253,"0.00000000000000")</f>
        <v/>
      </c>
    </row>
    <row r="254">
      <c r="A254" t="n">
        <v>247</v>
      </c>
      <c r="B254">
        <f>B253+0.1</f>
        <v/>
      </c>
      <c r="C254">
        <f>A254/10</f>
        <v/>
      </c>
      <c r="D254">
        <f>B254=C254</f>
        <v/>
      </c>
      <c r="E254">
        <f>INT(B254*10)=A254</f>
        <v/>
      </c>
      <c r="F254">
        <f>B254&gt;=C254</f>
        <v/>
      </c>
      <c r="G254">
        <f>ROUND(G253+0.1,1)</f>
        <v/>
      </c>
      <c r="H254">
        <f>G254=C254</f>
        <v/>
      </c>
      <c r="I254">
        <f>TEXT(B254,"0.00000000000000")</f>
        <v/>
      </c>
    </row>
    <row r="255">
      <c r="A255" t="n">
        <v>248</v>
      </c>
      <c r="B255">
        <f>B254+0.1</f>
        <v/>
      </c>
      <c r="C255">
        <f>A255/10</f>
        <v/>
      </c>
      <c r="D255">
        <f>B255=C255</f>
        <v/>
      </c>
      <c r="E255">
        <f>INT(B255*10)=A255</f>
        <v/>
      </c>
      <c r="F255">
        <f>B255&gt;=C255</f>
        <v/>
      </c>
      <c r="G255">
        <f>ROUND(G254+0.1,1)</f>
        <v/>
      </c>
      <c r="H255">
        <f>G255=C255</f>
        <v/>
      </c>
      <c r="I255">
        <f>TEXT(B255,"0.00000000000000")</f>
        <v/>
      </c>
    </row>
    <row r="256">
      <c r="A256" t="n">
        <v>249</v>
      </c>
      <c r="B256">
        <f>B255+0.1</f>
        <v/>
      </c>
      <c r="C256">
        <f>A256/10</f>
        <v/>
      </c>
      <c r="D256">
        <f>B256=C256</f>
        <v/>
      </c>
      <c r="E256">
        <f>INT(B256*10)=A256</f>
        <v/>
      </c>
      <c r="F256">
        <f>B256&gt;=C256</f>
        <v/>
      </c>
      <c r="G256">
        <f>ROUND(G255+0.1,1)</f>
        <v/>
      </c>
      <c r="H256">
        <f>G256=C256</f>
        <v/>
      </c>
      <c r="I256">
        <f>TEXT(B256,"0.00000000000000")</f>
        <v/>
      </c>
    </row>
    <row r="257">
      <c r="A257" t="n">
        <v>250</v>
      </c>
      <c r="B257">
        <f>B256+0.1</f>
        <v/>
      </c>
      <c r="C257">
        <f>A257/10</f>
        <v/>
      </c>
      <c r="D257">
        <f>B257=C257</f>
        <v/>
      </c>
      <c r="E257">
        <f>INT(B257*10)=A257</f>
        <v/>
      </c>
      <c r="F257">
        <f>B257&gt;=C257</f>
        <v/>
      </c>
      <c r="G257">
        <f>ROUND(G256+0.1,1)</f>
        <v/>
      </c>
      <c r="H257">
        <f>G257=C257</f>
        <v/>
      </c>
      <c r="I257">
        <f>TEXT(B257,"0.00000000000000")</f>
        <v/>
      </c>
    </row>
    <row r="258">
      <c r="A258" t="n">
        <v>251</v>
      </c>
      <c r="B258">
        <f>B257+0.1</f>
        <v/>
      </c>
      <c r="C258">
        <f>A258/10</f>
        <v/>
      </c>
      <c r="D258">
        <f>B258=C258</f>
        <v/>
      </c>
      <c r="E258">
        <f>INT(B258*10)=A258</f>
        <v/>
      </c>
      <c r="F258">
        <f>B258&gt;=C258</f>
        <v/>
      </c>
      <c r="G258">
        <f>ROUND(G257+0.1,1)</f>
        <v/>
      </c>
      <c r="H258">
        <f>G258=C258</f>
        <v/>
      </c>
      <c r="I258">
        <f>TEXT(B258,"0.00000000000000")</f>
        <v/>
      </c>
    </row>
    <row r="259">
      <c r="A259" t="n">
        <v>252</v>
      </c>
      <c r="B259">
        <f>B258+0.1</f>
        <v/>
      </c>
      <c r="C259">
        <f>A259/10</f>
        <v/>
      </c>
      <c r="D259">
        <f>B259=C259</f>
        <v/>
      </c>
      <c r="E259">
        <f>INT(B259*10)=A259</f>
        <v/>
      </c>
      <c r="F259">
        <f>B259&gt;=C259</f>
        <v/>
      </c>
      <c r="G259">
        <f>ROUND(G258+0.1,1)</f>
        <v/>
      </c>
      <c r="H259">
        <f>G259=C259</f>
        <v/>
      </c>
      <c r="I259">
        <f>TEXT(B259,"0.00000000000000")</f>
        <v/>
      </c>
    </row>
    <row r="260">
      <c r="A260" t="n">
        <v>253</v>
      </c>
      <c r="B260">
        <f>B259+0.1</f>
        <v/>
      </c>
      <c r="C260">
        <f>A260/10</f>
        <v/>
      </c>
      <c r="D260">
        <f>B260=C260</f>
        <v/>
      </c>
      <c r="E260">
        <f>INT(B260*10)=A260</f>
        <v/>
      </c>
      <c r="F260">
        <f>B260&gt;=C260</f>
        <v/>
      </c>
      <c r="G260">
        <f>ROUND(G259+0.1,1)</f>
        <v/>
      </c>
      <c r="H260">
        <f>G260=C260</f>
        <v/>
      </c>
      <c r="I260">
        <f>TEXT(B260,"0.00000000000000")</f>
        <v/>
      </c>
    </row>
    <row r="261">
      <c r="A261" t="n">
        <v>254</v>
      </c>
      <c r="B261">
        <f>B260+0.1</f>
        <v/>
      </c>
      <c r="C261">
        <f>A261/10</f>
        <v/>
      </c>
      <c r="D261">
        <f>B261=C261</f>
        <v/>
      </c>
      <c r="E261">
        <f>INT(B261*10)=A261</f>
        <v/>
      </c>
      <c r="F261">
        <f>B261&gt;=C261</f>
        <v/>
      </c>
      <c r="G261">
        <f>ROUND(G260+0.1,1)</f>
        <v/>
      </c>
      <c r="H261">
        <f>G261=C261</f>
        <v/>
      </c>
      <c r="I261">
        <f>TEXT(B261,"0.00000000000000")</f>
        <v/>
      </c>
    </row>
    <row r="262">
      <c r="A262" t="n">
        <v>255</v>
      </c>
      <c r="B262">
        <f>B261+0.1</f>
        <v/>
      </c>
      <c r="C262">
        <f>A262/10</f>
        <v/>
      </c>
      <c r="D262">
        <f>B262=C262</f>
        <v/>
      </c>
      <c r="E262">
        <f>INT(B262*10)=A262</f>
        <v/>
      </c>
      <c r="F262">
        <f>B262&gt;=C262</f>
        <v/>
      </c>
      <c r="G262">
        <f>ROUND(G261+0.1,1)</f>
        <v/>
      </c>
      <c r="H262">
        <f>G262=C262</f>
        <v/>
      </c>
      <c r="I262">
        <f>TEXT(B262,"0.00000000000000")</f>
        <v/>
      </c>
    </row>
    <row r="263">
      <c r="A263" t="n">
        <v>256</v>
      </c>
      <c r="B263">
        <f>B262+0.1</f>
        <v/>
      </c>
      <c r="C263">
        <f>A263/10</f>
        <v/>
      </c>
      <c r="D263">
        <f>B263=C263</f>
        <v/>
      </c>
      <c r="E263">
        <f>INT(B263*10)=A263</f>
        <v/>
      </c>
      <c r="F263">
        <f>B263&gt;=C263</f>
        <v/>
      </c>
      <c r="G263">
        <f>ROUND(G262+0.1,1)</f>
        <v/>
      </c>
      <c r="H263">
        <f>G263=C263</f>
        <v/>
      </c>
      <c r="I263">
        <f>TEXT(B263,"0.00000000000000")</f>
        <v/>
      </c>
    </row>
    <row r="264">
      <c r="A264" t="n">
        <v>257</v>
      </c>
      <c r="B264">
        <f>B263+0.1</f>
        <v/>
      </c>
      <c r="C264">
        <f>A264/10</f>
        <v/>
      </c>
      <c r="D264">
        <f>B264=C264</f>
        <v/>
      </c>
      <c r="E264">
        <f>INT(B264*10)=A264</f>
        <v/>
      </c>
      <c r="F264">
        <f>B264&gt;=C264</f>
        <v/>
      </c>
      <c r="G264">
        <f>ROUND(G263+0.1,1)</f>
        <v/>
      </c>
      <c r="H264">
        <f>G264=C264</f>
        <v/>
      </c>
      <c r="I264">
        <f>TEXT(B264,"0.00000000000000")</f>
        <v/>
      </c>
    </row>
    <row r="265">
      <c r="A265" t="n">
        <v>258</v>
      </c>
      <c r="B265">
        <f>B264+0.1</f>
        <v/>
      </c>
      <c r="C265">
        <f>A265/10</f>
        <v/>
      </c>
      <c r="D265">
        <f>B265=C265</f>
        <v/>
      </c>
      <c r="E265">
        <f>INT(B265*10)=A265</f>
        <v/>
      </c>
      <c r="F265">
        <f>B265&gt;=C265</f>
        <v/>
      </c>
      <c r="G265">
        <f>ROUND(G264+0.1,1)</f>
        <v/>
      </c>
      <c r="H265">
        <f>G265=C265</f>
        <v/>
      </c>
      <c r="I265">
        <f>TEXT(B265,"0.00000000000000")</f>
        <v/>
      </c>
    </row>
    <row r="266">
      <c r="A266" t="n">
        <v>259</v>
      </c>
      <c r="B266">
        <f>B265+0.1</f>
        <v/>
      </c>
      <c r="C266">
        <f>A266/10</f>
        <v/>
      </c>
      <c r="D266">
        <f>B266=C266</f>
        <v/>
      </c>
      <c r="E266">
        <f>INT(B266*10)=A266</f>
        <v/>
      </c>
      <c r="F266">
        <f>B266&gt;=C266</f>
        <v/>
      </c>
      <c r="G266">
        <f>ROUND(G265+0.1,1)</f>
        <v/>
      </c>
      <c r="H266">
        <f>G266=C266</f>
        <v/>
      </c>
      <c r="I266">
        <f>TEXT(B266,"0.00000000000000")</f>
        <v/>
      </c>
    </row>
    <row r="267">
      <c r="A267" t="n">
        <v>260</v>
      </c>
      <c r="B267">
        <f>B266+0.1</f>
        <v/>
      </c>
      <c r="C267">
        <f>A267/10</f>
        <v/>
      </c>
      <c r="D267">
        <f>B267=C267</f>
        <v/>
      </c>
      <c r="E267">
        <f>INT(B267*10)=A267</f>
        <v/>
      </c>
      <c r="F267">
        <f>B267&gt;=C267</f>
        <v/>
      </c>
      <c r="G267">
        <f>ROUND(G266+0.1,1)</f>
        <v/>
      </c>
      <c r="H267">
        <f>G267=C267</f>
        <v/>
      </c>
      <c r="I267">
        <f>TEXT(B267,"0.00000000000000")</f>
        <v/>
      </c>
    </row>
    <row r="268">
      <c r="A268" t="n">
        <v>261</v>
      </c>
      <c r="B268">
        <f>B267+0.1</f>
        <v/>
      </c>
      <c r="C268">
        <f>A268/10</f>
        <v/>
      </c>
      <c r="D268">
        <f>B268=C268</f>
        <v/>
      </c>
      <c r="E268">
        <f>INT(B268*10)=A268</f>
        <v/>
      </c>
      <c r="F268">
        <f>B268&gt;=C268</f>
        <v/>
      </c>
      <c r="G268">
        <f>ROUND(G267+0.1,1)</f>
        <v/>
      </c>
      <c r="H268">
        <f>G268=C268</f>
        <v/>
      </c>
      <c r="I268">
        <f>TEXT(B268,"0.00000000000000")</f>
        <v/>
      </c>
    </row>
    <row r="269">
      <c r="A269" t="n">
        <v>262</v>
      </c>
      <c r="B269">
        <f>B268+0.1</f>
        <v/>
      </c>
      <c r="C269">
        <f>A269/10</f>
        <v/>
      </c>
      <c r="D269">
        <f>B269=C269</f>
        <v/>
      </c>
      <c r="E269">
        <f>INT(B269*10)=A269</f>
        <v/>
      </c>
      <c r="F269">
        <f>B269&gt;=C269</f>
        <v/>
      </c>
      <c r="G269">
        <f>ROUND(G268+0.1,1)</f>
        <v/>
      </c>
      <c r="H269">
        <f>G269=C269</f>
        <v/>
      </c>
      <c r="I269">
        <f>TEXT(B269,"0.00000000000000")</f>
        <v/>
      </c>
    </row>
    <row r="270">
      <c r="A270" t="n">
        <v>263</v>
      </c>
      <c r="B270">
        <f>B269+0.1</f>
        <v/>
      </c>
      <c r="C270">
        <f>A270/10</f>
        <v/>
      </c>
      <c r="D270">
        <f>B270=C270</f>
        <v/>
      </c>
      <c r="E270">
        <f>INT(B270*10)=A270</f>
        <v/>
      </c>
      <c r="F270">
        <f>B270&gt;=C270</f>
        <v/>
      </c>
      <c r="G270">
        <f>ROUND(G269+0.1,1)</f>
        <v/>
      </c>
      <c r="H270">
        <f>G270=C270</f>
        <v/>
      </c>
      <c r="I270">
        <f>TEXT(B270,"0.00000000000000")</f>
        <v/>
      </c>
    </row>
    <row r="271">
      <c r="A271" t="n">
        <v>264</v>
      </c>
      <c r="B271">
        <f>B270+0.1</f>
        <v/>
      </c>
      <c r="C271">
        <f>A271/10</f>
        <v/>
      </c>
      <c r="D271">
        <f>B271=C271</f>
        <v/>
      </c>
      <c r="E271">
        <f>INT(B271*10)=A271</f>
        <v/>
      </c>
      <c r="F271">
        <f>B271&gt;=C271</f>
        <v/>
      </c>
      <c r="G271">
        <f>ROUND(G270+0.1,1)</f>
        <v/>
      </c>
      <c r="H271">
        <f>G271=C271</f>
        <v/>
      </c>
      <c r="I271">
        <f>TEXT(B271,"0.00000000000000")</f>
        <v/>
      </c>
    </row>
    <row r="272">
      <c r="A272" t="n">
        <v>265</v>
      </c>
      <c r="B272">
        <f>B271+0.1</f>
        <v/>
      </c>
      <c r="C272">
        <f>A272/10</f>
        <v/>
      </c>
      <c r="D272">
        <f>B272=C272</f>
        <v/>
      </c>
      <c r="E272">
        <f>INT(B272*10)=A272</f>
        <v/>
      </c>
      <c r="F272">
        <f>B272&gt;=C272</f>
        <v/>
      </c>
      <c r="G272">
        <f>ROUND(G271+0.1,1)</f>
        <v/>
      </c>
      <c r="H272">
        <f>G272=C272</f>
        <v/>
      </c>
      <c r="I272">
        <f>TEXT(B272,"0.00000000000000")</f>
        <v/>
      </c>
    </row>
    <row r="273">
      <c r="A273" t="n">
        <v>266</v>
      </c>
      <c r="B273">
        <f>B272+0.1</f>
        <v/>
      </c>
      <c r="C273">
        <f>A273/10</f>
        <v/>
      </c>
      <c r="D273">
        <f>B273=C273</f>
        <v/>
      </c>
      <c r="E273">
        <f>INT(B273*10)=A273</f>
        <v/>
      </c>
      <c r="F273">
        <f>B273&gt;=C273</f>
        <v/>
      </c>
      <c r="G273">
        <f>ROUND(G272+0.1,1)</f>
        <v/>
      </c>
      <c r="H273">
        <f>G273=C273</f>
        <v/>
      </c>
      <c r="I273">
        <f>TEXT(B273,"0.00000000000000")</f>
        <v/>
      </c>
    </row>
    <row r="274">
      <c r="A274" t="n">
        <v>267</v>
      </c>
      <c r="B274">
        <f>B273+0.1</f>
        <v/>
      </c>
      <c r="C274">
        <f>A274/10</f>
        <v/>
      </c>
      <c r="D274">
        <f>B274=C274</f>
        <v/>
      </c>
      <c r="E274">
        <f>INT(B274*10)=A274</f>
        <v/>
      </c>
      <c r="F274">
        <f>B274&gt;=C274</f>
        <v/>
      </c>
      <c r="G274">
        <f>ROUND(G273+0.1,1)</f>
        <v/>
      </c>
      <c r="H274">
        <f>G274=C274</f>
        <v/>
      </c>
      <c r="I274">
        <f>TEXT(B274,"0.00000000000000")</f>
        <v/>
      </c>
    </row>
    <row r="275">
      <c r="A275" t="n">
        <v>268</v>
      </c>
      <c r="B275">
        <f>B274+0.1</f>
        <v/>
      </c>
      <c r="C275">
        <f>A275/10</f>
        <v/>
      </c>
      <c r="D275">
        <f>B275=C275</f>
        <v/>
      </c>
      <c r="E275">
        <f>INT(B275*10)=A275</f>
        <v/>
      </c>
      <c r="F275">
        <f>B275&gt;=C275</f>
        <v/>
      </c>
      <c r="G275">
        <f>ROUND(G274+0.1,1)</f>
        <v/>
      </c>
      <c r="H275">
        <f>G275=C275</f>
        <v/>
      </c>
      <c r="I275">
        <f>TEXT(B275,"0.00000000000000")</f>
        <v/>
      </c>
    </row>
    <row r="276">
      <c r="A276" t="n">
        <v>269</v>
      </c>
      <c r="B276">
        <f>B275+0.1</f>
        <v/>
      </c>
      <c r="C276">
        <f>A276/10</f>
        <v/>
      </c>
      <c r="D276">
        <f>B276=C276</f>
        <v/>
      </c>
      <c r="E276">
        <f>INT(B276*10)=A276</f>
        <v/>
      </c>
      <c r="F276">
        <f>B276&gt;=C276</f>
        <v/>
      </c>
      <c r="G276">
        <f>ROUND(G275+0.1,1)</f>
        <v/>
      </c>
      <c r="H276">
        <f>G276=C276</f>
        <v/>
      </c>
      <c r="I276">
        <f>TEXT(B276,"0.00000000000000")</f>
        <v/>
      </c>
    </row>
    <row r="277">
      <c r="A277" t="n">
        <v>270</v>
      </c>
      <c r="B277">
        <f>B276+0.1</f>
        <v/>
      </c>
      <c r="C277">
        <f>A277/10</f>
        <v/>
      </c>
      <c r="D277">
        <f>B277=C277</f>
        <v/>
      </c>
      <c r="E277">
        <f>INT(B277*10)=A277</f>
        <v/>
      </c>
      <c r="F277">
        <f>B277&gt;=C277</f>
        <v/>
      </c>
      <c r="G277">
        <f>ROUND(G276+0.1,1)</f>
        <v/>
      </c>
      <c r="H277">
        <f>G277=C277</f>
        <v/>
      </c>
      <c r="I277">
        <f>TEXT(B277,"0.00000000000000")</f>
        <v/>
      </c>
    </row>
    <row r="278">
      <c r="A278" t="n">
        <v>271</v>
      </c>
      <c r="B278">
        <f>B277+0.1</f>
        <v/>
      </c>
      <c r="C278">
        <f>A278/10</f>
        <v/>
      </c>
      <c r="D278">
        <f>B278=C278</f>
        <v/>
      </c>
      <c r="E278">
        <f>INT(B278*10)=A278</f>
        <v/>
      </c>
      <c r="F278">
        <f>B278&gt;=C278</f>
        <v/>
      </c>
      <c r="G278">
        <f>ROUND(G277+0.1,1)</f>
        <v/>
      </c>
      <c r="H278">
        <f>G278=C278</f>
        <v/>
      </c>
      <c r="I278">
        <f>TEXT(B278,"0.00000000000000")</f>
        <v/>
      </c>
    </row>
    <row r="279">
      <c r="A279" t="n">
        <v>272</v>
      </c>
      <c r="B279">
        <f>B278+0.1</f>
        <v/>
      </c>
      <c r="C279">
        <f>A279/10</f>
        <v/>
      </c>
      <c r="D279">
        <f>B279=C279</f>
        <v/>
      </c>
      <c r="E279">
        <f>INT(B279*10)=A279</f>
        <v/>
      </c>
      <c r="F279">
        <f>B279&gt;=C279</f>
        <v/>
      </c>
      <c r="G279">
        <f>ROUND(G278+0.1,1)</f>
        <v/>
      </c>
      <c r="H279">
        <f>G279=C279</f>
        <v/>
      </c>
      <c r="I279">
        <f>TEXT(B279,"0.00000000000000")</f>
        <v/>
      </c>
    </row>
    <row r="280">
      <c r="A280" t="n">
        <v>273</v>
      </c>
      <c r="B280">
        <f>B279+0.1</f>
        <v/>
      </c>
      <c r="C280">
        <f>A280/10</f>
        <v/>
      </c>
      <c r="D280">
        <f>B280=C280</f>
        <v/>
      </c>
      <c r="E280">
        <f>INT(B280*10)=A280</f>
        <v/>
      </c>
      <c r="F280">
        <f>B280&gt;=C280</f>
        <v/>
      </c>
      <c r="G280">
        <f>ROUND(G279+0.1,1)</f>
        <v/>
      </c>
      <c r="H280">
        <f>G280=C280</f>
        <v/>
      </c>
      <c r="I280">
        <f>TEXT(B280,"0.00000000000000")</f>
        <v/>
      </c>
    </row>
    <row r="281">
      <c r="A281" t="n">
        <v>274</v>
      </c>
      <c r="B281">
        <f>B280+0.1</f>
        <v/>
      </c>
      <c r="C281">
        <f>A281/10</f>
        <v/>
      </c>
      <c r="D281">
        <f>B281=C281</f>
        <v/>
      </c>
      <c r="E281">
        <f>INT(B281*10)=A281</f>
        <v/>
      </c>
      <c r="F281">
        <f>B281&gt;=C281</f>
        <v/>
      </c>
      <c r="G281">
        <f>ROUND(G280+0.1,1)</f>
        <v/>
      </c>
      <c r="H281">
        <f>G281=C281</f>
        <v/>
      </c>
      <c r="I281">
        <f>TEXT(B281,"0.00000000000000")</f>
        <v/>
      </c>
    </row>
    <row r="282">
      <c r="A282" t="n">
        <v>275</v>
      </c>
      <c r="B282">
        <f>B281+0.1</f>
        <v/>
      </c>
      <c r="C282">
        <f>A282/10</f>
        <v/>
      </c>
      <c r="D282">
        <f>B282=C282</f>
        <v/>
      </c>
      <c r="E282">
        <f>INT(B282*10)=A282</f>
        <v/>
      </c>
      <c r="F282">
        <f>B282&gt;=C282</f>
        <v/>
      </c>
      <c r="G282">
        <f>ROUND(G281+0.1,1)</f>
        <v/>
      </c>
      <c r="H282">
        <f>G282=C282</f>
        <v/>
      </c>
      <c r="I282">
        <f>TEXT(B282,"0.00000000000000")</f>
        <v/>
      </c>
    </row>
    <row r="283">
      <c r="A283" t="n">
        <v>276</v>
      </c>
      <c r="B283">
        <f>B282+0.1</f>
        <v/>
      </c>
      <c r="C283">
        <f>A283/10</f>
        <v/>
      </c>
      <c r="D283">
        <f>B283=C283</f>
        <v/>
      </c>
      <c r="E283">
        <f>INT(B283*10)=A283</f>
        <v/>
      </c>
      <c r="F283">
        <f>B283&gt;=C283</f>
        <v/>
      </c>
      <c r="G283">
        <f>ROUND(G282+0.1,1)</f>
        <v/>
      </c>
      <c r="H283">
        <f>G283=C283</f>
        <v/>
      </c>
      <c r="I283">
        <f>TEXT(B283,"0.00000000000000")</f>
        <v/>
      </c>
    </row>
    <row r="284">
      <c r="A284" t="n">
        <v>277</v>
      </c>
      <c r="B284">
        <f>B283+0.1</f>
        <v/>
      </c>
      <c r="C284">
        <f>A284/10</f>
        <v/>
      </c>
      <c r="D284">
        <f>B284=C284</f>
        <v/>
      </c>
      <c r="E284">
        <f>INT(B284*10)=A284</f>
        <v/>
      </c>
      <c r="F284">
        <f>B284&gt;=C284</f>
        <v/>
      </c>
      <c r="G284">
        <f>ROUND(G283+0.1,1)</f>
        <v/>
      </c>
      <c r="H284">
        <f>G284=C284</f>
        <v/>
      </c>
      <c r="I284">
        <f>TEXT(B284,"0.00000000000000")</f>
        <v/>
      </c>
    </row>
    <row r="285">
      <c r="A285" t="n">
        <v>278</v>
      </c>
      <c r="B285">
        <f>B284+0.1</f>
        <v/>
      </c>
      <c r="C285">
        <f>A285/10</f>
        <v/>
      </c>
      <c r="D285">
        <f>B285=C285</f>
        <v/>
      </c>
      <c r="E285">
        <f>INT(B285*10)=A285</f>
        <v/>
      </c>
      <c r="F285">
        <f>B285&gt;=C285</f>
        <v/>
      </c>
      <c r="G285">
        <f>ROUND(G284+0.1,1)</f>
        <v/>
      </c>
      <c r="H285">
        <f>G285=C285</f>
        <v/>
      </c>
      <c r="I285">
        <f>TEXT(B285,"0.00000000000000")</f>
        <v/>
      </c>
    </row>
    <row r="286">
      <c r="A286" t="n">
        <v>279</v>
      </c>
      <c r="B286">
        <f>B285+0.1</f>
        <v/>
      </c>
      <c r="C286">
        <f>A286/10</f>
        <v/>
      </c>
      <c r="D286">
        <f>B286=C286</f>
        <v/>
      </c>
      <c r="E286">
        <f>INT(B286*10)=A286</f>
        <v/>
      </c>
      <c r="F286">
        <f>B286&gt;=C286</f>
        <v/>
      </c>
      <c r="G286">
        <f>ROUND(G285+0.1,1)</f>
        <v/>
      </c>
      <c r="H286">
        <f>G286=C286</f>
        <v/>
      </c>
      <c r="I286">
        <f>TEXT(B286,"0.00000000000000")</f>
        <v/>
      </c>
    </row>
    <row r="287">
      <c r="A287" t="n">
        <v>280</v>
      </c>
      <c r="B287">
        <f>B286+0.1</f>
        <v/>
      </c>
      <c r="C287">
        <f>A287/10</f>
        <v/>
      </c>
      <c r="D287">
        <f>B287=C287</f>
        <v/>
      </c>
      <c r="E287">
        <f>INT(B287*10)=A287</f>
        <v/>
      </c>
      <c r="F287">
        <f>B287&gt;=C287</f>
        <v/>
      </c>
      <c r="G287">
        <f>ROUND(G286+0.1,1)</f>
        <v/>
      </c>
      <c r="H287">
        <f>G287=C287</f>
        <v/>
      </c>
      <c r="I287">
        <f>TEXT(B287,"0.00000000000000")</f>
        <v/>
      </c>
    </row>
    <row r="288">
      <c r="A288" t="n">
        <v>281</v>
      </c>
      <c r="B288">
        <f>B287+0.1</f>
        <v/>
      </c>
      <c r="C288">
        <f>A288/10</f>
        <v/>
      </c>
      <c r="D288">
        <f>B288=C288</f>
        <v/>
      </c>
      <c r="E288">
        <f>INT(B288*10)=A288</f>
        <v/>
      </c>
      <c r="F288">
        <f>B288&gt;=C288</f>
        <v/>
      </c>
      <c r="G288">
        <f>ROUND(G287+0.1,1)</f>
        <v/>
      </c>
      <c r="H288">
        <f>G288=C288</f>
        <v/>
      </c>
      <c r="I288">
        <f>TEXT(B288,"0.00000000000000")</f>
        <v/>
      </c>
    </row>
    <row r="289">
      <c r="A289" t="n">
        <v>282</v>
      </c>
      <c r="B289">
        <f>B288+0.1</f>
        <v/>
      </c>
      <c r="C289">
        <f>A289/10</f>
        <v/>
      </c>
      <c r="D289">
        <f>B289=C289</f>
        <v/>
      </c>
      <c r="E289">
        <f>INT(B289*10)=A289</f>
        <v/>
      </c>
      <c r="F289">
        <f>B289&gt;=C289</f>
        <v/>
      </c>
      <c r="G289">
        <f>ROUND(G288+0.1,1)</f>
        <v/>
      </c>
      <c r="H289">
        <f>G289=C289</f>
        <v/>
      </c>
      <c r="I289">
        <f>TEXT(B289,"0.00000000000000")</f>
        <v/>
      </c>
    </row>
    <row r="290">
      <c r="A290" t="n">
        <v>283</v>
      </c>
      <c r="B290">
        <f>B289+0.1</f>
        <v/>
      </c>
      <c r="C290">
        <f>A290/10</f>
        <v/>
      </c>
      <c r="D290">
        <f>B290=C290</f>
        <v/>
      </c>
      <c r="E290">
        <f>INT(B290*10)=A290</f>
        <v/>
      </c>
      <c r="F290">
        <f>B290&gt;=C290</f>
        <v/>
      </c>
      <c r="G290">
        <f>ROUND(G289+0.1,1)</f>
        <v/>
      </c>
      <c r="H290">
        <f>G290=C290</f>
        <v/>
      </c>
      <c r="I290">
        <f>TEXT(B290,"0.00000000000000")</f>
        <v/>
      </c>
    </row>
    <row r="291">
      <c r="A291" t="n">
        <v>284</v>
      </c>
      <c r="B291">
        <f>B290+0.1</f>
        <v/>
      </c>
      <c r="C291">
        <f>A291/10</f>
        <v/>
      </c>
      <c r="D291">
        <f>B291=C291</f>
        <v/>
      </c>
      <c r="E291">
        <f>INT(B291*10)=A291</f>
        <v/>
      </c>
      <c r="F291">
        <f>B291&gt;=C291</f>
        <v/>
      </c>
      <c r="G291">
        <f>ROUND(G290+0.1,1)</f>
        <v/>
      </c>
      <c r="H291">
        <f>G291=C291</f>
        <v/>
      </c>
      <c r="I291">
        <f>TEXT(B291,"0.00000000000000")</f>
        <v/>
      </c>
    </row>
    <row r="292">
      <c r="A292" t="n">
        <v>285</v>
      </c>
      <c r="B292">
        <f>B291+0.1</f>
        <v/>
      </c>
      <c r="C292">
        <f>A292/10</f>
        <v/>
      </c>
      <c r="D292">
        <f>B292=C292</f>
        <v/>
      </c>
      <c r="E292">
        <f>INT(B292*10)=A292</f>
        <v/>
      </c>
      <c r="F292">
        <f>B292&gt;=C292</f>
        <v/>
      </c>
      <c r="G292">
        <f>ROUND(G291+0.1,1)</f>
        <v/>
      </c>
      <c r="H292">
        <f>G292=C292</f>
        <v/>
      </c>
      <c r="I292">
        <f>TEXT(B292,"0.00000000000000")</f>
        <v/>
      </c>
    </row>
    <row r="293">
      <c r="A293" t="n">
        <v>286</v>
      </c>
      <c r="B293">
        <f>B292+0.1</f>
        <v/>
      </c>
      <c r="C293">
        <f>A293/10</f>
        <v/>
      </c>
      <c r="D293">
        <f>B293=C293</f>
        <v/>
      </c>
      <c r="E293">
        <f>INT(B293*10)=A293</f>
        <v/>
      </c>
      <c r="F293">
        <f>B293&gt;=C293</f>
        <v/>
      </c>
      <c r="G293">
        <f>ROUND(G292+0.1,1)</f>
        <v/>
      </c>
      <c r="H293">
        <f>G293=C293</f>
        <v/>
      </c>
      <c r="I293">
        <f>TEXT(B293,"0.00000000000000")</f>
        <v/>
      </c>
    </row>
    <row r="294">
      <c r="A294" t="n">
        <v>287</v>
      </c>
      <c r="B294">
        <f>B293+0.1</f>
        <v/>
      </c>
      <c r="C294">
        <f>A294/10</f>
        <v/>
      </c>
      <c r="D294">
        <f>B294=C294</f>
        <v/>
      </c>
      <c r="E294">
        <f>INT(B294*10)=A294</f>
        <v/>
      </c>
      <c r="F294">
        <f>B294&gt;=C294</f>
        <v/>
      </c>
      <c r="G294">
        <f>ROUND(G293+0.1,1)</f>
        <v/>
      </c>
      <c r="H294">
        <f>G294=C294</f>
        <v/>
      </c>
      <c r="I294">
        <f>TEXT(B294,"0.00000000000000")</f>
        <v/>
      </c>
    </row>
    <row r="295">
      <c r="A295" t="n">
        <v>288</v>
      </c>
      <c r="B295">
        <f>B294+0.1</f>
        <v/>
      </c>
      <c r="C295">
        <f>A295/10</f>
        <v/>
      </c>
      <c r="D295">
        <f>B295=C295</f>
        <v/>
      </c>
      <c r="E295">
        <f>INT(B295*10)=A295</f>
        <v/>
      </c>
      <c r="F295">
        <f>B295&gt;=C295</f>
        <v/>
      </c>
      <c r="G295">
        <f>ROUND(G294+0.1,1)</f>
        <v/>
      </c>
      <c r="H295">
        <f>G295=C295</f>
        <v/>
      </c>
      <c r="I295">
        <f>TEXT(B295,"0.00000000000000")</f>
        <v/>
      </c>
    </row>
    <row r="296">
      <c r="A296" t="n">
        <v>289</v>
      </c>
      <c r="B296">
        <f>B295+0.1</f>
        <v/>
      </c>
      <c r="C296">
        <f>A296/10</f>
        <v/>
      </c>
      <c r="D296">
        <f>B296=C296</f>
        <v/>
      </c>
      <c r="E296">
        <f>INT(B296*10)=A296</f>
        <v/>
      </c>
      <c r="F296">
        <f>B296&gt;=C296</f>
        <v/>
      </c>
      <c r="G296">
        <f>ROUND(G295+0.1,1)</f>
        <v/>
      </c>
      <c r="H296">
        <f>G296=C296</f>
        <v/>
      </c>
      <c r="I296">
        <f>TEXT(B296,"0.00000000000000")</f>
        <v/>
      </c>
    </row>
    <row r="297">
      <c r="A297" t="n">
        <v>290</v>
      </c>
      <c r="B297">
        <f>B296+0.1</f>
        <v/>
      </c>
      <c r="C297">
        <f>A297/10</f>
        <v/>
      </c>
      <c r="D297">
        <f>B297=C297</f>
        <v/>
      </c>
      <c r="E297">
        <f>INT(B297*10)=A297</f>
        <v/>
      </c>
      <c r="F297">
        <f>B297&gt;=C297</f>
        <v/>
      </c>
      <c r="G297">
        <f>ROUND(G296+0.1,1)</f>
        <v/>
      </c>
      <c r="H297">
        <f>G297=C297</f>
        <v/>
      </c>
      <c r="I297">
        <f>TEXT(B297,"0.00000000000000")</f>
        <v/>
      </c>
    </row>
    <row r="298">
      <c r="A298" t="n">
        <v>291</v>
      </c>
      <c r="B298">
        <f>B297+0.1</f>
        <v/>
      </c>
      <c r="C298">
        <f>A298/10</f>
        <v/>
      </c>
      <c r="D298">
        <f>B298=C298</f>
        <v/>
      </c>
      <c r="E298">
        <f>INT(B298*10)=A298</f>
        <v/>
      </c>
      <c r="F298">
        <f>B298&gt;=C298</f>
        <v/>
      </c>
      <c r="G298">
        <f>ROUND(G297+0.1,1)</f>
        <v/>
      </c>
      <c r="H298">
        <f>G298=C298</f>
        <v/>
      </c>
      <c r="I298">
        <f>TEXT(B298,"0.00000000000000")</f>
        <v/>
      </c>
    </row>
    <row r="299">
      <c r="A299" t="n">
        <v>292</v>
      </c>
      <c r="B299">
        <f>B298+0.1</f>
        <v/>
      </c>
      <c r="C299">
        <f>A299/10</f>
        <v/>
      </c>
      <c r="D299">
        <f>B299=C299</f>
        <v/>
      </c>
      <c r="E299">
        <f>INT(B299*10)=A299</f>
        <v/>
      </c>
      <c r="F299">
        <f>B299&gt;=C299</f>
        <v/>
      </c>
      <c r="G299">
        <f>ROUND(G298+0.1,1)</f>
        <v/>
      </c>
      <c r="H299">
        <f>G299=C299</f>
        <v/>
      </c>
      <c r="I299">
        <f>TEXT(B299,"0.00000000000000")</f>
        <v/>
      </c>
    </row>
    <row r="300">
      <c r="A300" t="n">
        <v>293</v>
      </c>
      <c r="B300">
        <f>B299+0.1</f>
        <v/>
      </c>
      <c r="C300">
        <f>A300/10</f>
        <v/>
      </c>
      <c r="D300">
        <f>B300=C300</f>
        <v/>
      </c>
      <c r="E300">
        <f>INT(B300*10)=A300</f>
        <v/>
      </c>
      <c r="F300">
        <f>B300&gt;=C300</f>
        <v/>
      </c>
      <c r="G300">
        <f>ROUND(G299+0.1,1)</f>
        <v/>
      </c>
      <c r="H300">
        <f>G300=C300</f>
        <v/>
      </c>
      <c r="I300">
        <f>TEXT(B300,"0.00000000000000")</f>
        <v/>
      </c>
    </row>
    <row r="301">
      <c r="A301" t="n">
        <v>294</v>
      </c>
      <c r="B301">
        <f>B300+0.1</f>
        <v/>
      </c>
      <c r="C301">
        <f>A301/10</f>
        <v/>
      </c>
      <c r="D301">
        <f>B301=C301</f>
        <v/>
      </c>
      <c r="E301">
        <f>INT(B301*10)=A301</f>
        <v/>
      </c>
      <c r="F301">
        <f>B301&gt;=C301</f>
        <v/>
      </c>
      <c r="G301">
        <f>ROUND(G300+0.1,1)</f>
        <v/>
      </c>
      <c r="H301">
        <f>G301=C301</f>
        <v/>
      </c>
      <c r="I301">
        <f>TEXT(B301,"0.00000000000000")</f>
        <v/>
      </c>
    </row>
    <row r="302">
      <c r="A302" t="n">
        <v>295</v>
      </c>
      <c r="B302">
        <f>B301+0.1</f>
        <v/>
      </c>
      <c r="C302">
        <f>A302/10</f>
        <v/>
      </c>
      <c r="D302">
        <f>B302=C302</f>
        <v/>
      </c>
      <c r="E302">
        <f>INT(B302*10)=A302</f>
        <v/>
      </c>
      <c r="F302">
        <f>B302&gt;=C302</f>
        <v/>
      </c>
      <c r="G302">
        <f>ROUND(G301+0.1,1)</f>
        <v/>
      </c>
      <c r="H302">
        <f>G302=C302</f>
        <v/>
      </c>
      <c r="I302">
        <f>TEXT(B302,"0.00000000000000")</f>
        <v/>
      </c>
    </row>
    <row r="303">
      <c r="A303" t="n">
        <v>296</v>
      </c>
      <c r="B303">
        <f>B302+0.1</f>
        <v/>
      </c>
      <c r="C303">
        <f>A303/10</f>
        <v/>
      </c>
      <c r="D303">
        <f>B303=C303</f>
        <v/>
      </c>
      <c r="E303">
        <f>INT(B303*10)=A303</f>
        <v/>
      </c>
      <c r="F303">
        <f>B303&gt;=C303</f>
        <v/>
      </c>
      <c r="G303">
        <f>ROUND(G302+0.1,1)</f>
        <v/>
      </c>
      <c r="H303">
        <f>G303=C303</f>
        <v/>
      </c>
      <c r="I303">
        <f>TEXT(B303,"0.00000000000000")</f>
        <v/>
      </c>
    </row>
    <row r="304">
      <c r="A304" t="n">
        <v>297</v>
      </c>
      <c r="B304">
        <f>B303+0.1</f>
        <v/>
      </c>
      <c r="C304">
        <f>A304/10</f>
        <v/>
      </c>
      <c r="D304">
        <f>B304=C304</f>
        <v/>
      </c>
      <c r="E304">
        <f>INT(B304*10)=A304</f>
        <v/>
      </c>
      <c r="F304">
        <f>B304&gt;=C304</f>
        <v/>
      </c>
      <c r="G304">
        <f>ROUND(G303+0.1,1)</f>
        <v/>
      </c>
      <c r="H304">
        <f>G304=C304</f>
        <v/>
      </c>
      <c r="I304">
        <f>TEXT(B304,"0.00000000000000")</f>
        <v/>
      </c>
    </row>
    <row r="305">
      <c r="A305" t="n">
        <v>298</v>
      </c>
      <c r="B305">
        <f>B304+0.1</f>
        <v/>
      </c>
      <c r="C305">
        <f>A305/10</f>
        <v/>
      </c>
      <c r="D305">
        <f>B305=C305</f>
        <v/>
      </c>
      <c r="E305">
        <f>INT(B305*10)=A305</f>
        <v/>
      </c>
      <c r="F305">
        <f>B305&gt;=C305</f>
        <v/>
      </c>
      <c r="G305">
        <f>ROUND(G304+0.1,1)</f>
        <v/>
      </c>
      <c r="H305">
        <f>G305=C305</f>
        <v/>
      </c>
      <c r="I305">
        <f>TEXT(B305,"0.00000000000000")</f>
        <v/>
      </c>
    </row>
    <row r="306">
      <c r="A306" t="n">
        <v>299</v>
      </c>
      <c r="B306">
        <f>B305+0.1</f>
        <v/>
      </c>
      <c r="C306">
        <f>A306/10</f>
        <v/>
      </c>
      <c r="D306">
        <f>B306=C306</f>
        <v/>
      </c>
      <c r="E306">
        <f>INT(B306*10)=A306</f>
        <v/>
      </c>
      <c r="F306">
        <f>B306&gt;=C306</f>
        <v/>
      </c>
      <c r="G306">
        <f>ROUND(G305+0.1,1)</f>
        <v/>
      </c>
      <c r="H306">
        <f>G306=C306</f>
        <v/>
      </c>
      <c r="I306">
        <f>TEXT(B306,"0.00000000000000")</f>
        <v/>
      </c>
    </row>
    <row r="307">
      <c r="A307" t="n">
        <v>300</v>
      </c>
      <c r="B307">
        <f>B306+0.1</f>
        <v/>
      </c>
      <c r="C307">
        <f>A307/10</f>
        <v/>
      </c>
      <c r="D307">
        <f>B307=C307</f>
        <v/>
      </c>
      <c r="E307">
        <f>INT(B307*10)=A307</f>
        <v/>
      </c>
      <c r="F307">
        <f>B307&gt;=C307</f>
        <v/>
      </c>
      <c r="G307">
        <f>ROUND(G306+0.1,1)</f>
        <v/>
      </c>
      <c r="H307">
        <f>G307=C307</f>
        <v/>
      </c>
      <c r="I307">
        <f>TEXT(B307,"0.00000000000000")</f>
        <v/>
      </c>
    </row>
    <row r="308">
      <c r="A308" t="n">
        <v>301</v>
      </c>
      <c r="B308">
        <f>B307+0.1</f>
        <v/>
      </c>
      <c r="C308">
        <f>A308/10</f>
        <v/>
      </c>
      <c r="D308">
        <f>B308=C308</f>
        <v/>
      </c>
      <c r="E308">
        <f>INT(B308*10)=A308</f>
        <v/>
      </c>
      <c r="F308">
        <f>B308&gt;=C308</f>
        <v/>
      </c>
      <c r="G308">
        <f>ROUND(G307+0.1,1)</f>
        <v/>
      </c>
      <c r="H308">
        <f>G308=C308</f>
        <v/>
      </c>
      <c r="I308">
        <f>TEXT(B308,"0.00000000000000")</f>
        <v/>
      </c>
    </row>
    <row r="309">
      <c r="A309" t="n">
        <v>302</v>
      </c>
      <c r="B309">
        <f>B308+0.1</f>
        <v/>
      </c>
      <c r="C309">
        <f>A309/10</f>
        <v/>
      </c>
      <c r="D309">
        <f>B309=C309</f>
        <v/>
      </c>
      <c r="E309">
        <f>INT(B309*10)=A309</f>
        <v/>
      </c>
      <c r="F309">
        <f>B309&gt;=C309</f>
        <v/>
      </c>
      <c r="G309">
        <f>ROUND(G308+0.1,1)</f>
        <v/>
      </c>
      <c r="H309">
        <f>G309=C309</f>
        <v/>
      </c>
      <c r="I309">
        <f>TEXT(B309,"0.00000000000000")</f>
        <v/>
      </c>
    </row>
    <row r="310">
      <c r="A310" t="n">
        <v>303</v>
      </c>
      <c r="B310">
        <f>B309+0.1</f>
        <v/>
      </c>
      <c r="C310">
        <f>A310/10</f>
        <v/>
      </c>
      <c r="D310">
        <f>B310=C310</f>
        <v/>
      </c>
      <c r="E310">
        <f>INT(B310*10)=A310</f>
        <v/>
      </c>
      <c r="F310">
        <f>B310&gt;=C310</f>
        <v/>
      </c>
      <c r="G310">
        <f>ROUND(G309+0.1,1)</f>
        <v/>
      </c>
      <c r="H310">
        <f>G310=C310</f>
        <v/>
      </c>
      <c r="I310">
        <f>TEXT(B310,"0.00000000000000")</f>
        <v/>
      </c>
    </row>
    <row r="311">
      <c r="A311" t="n">
        <v>304</v>
      </c>
      <c r="B311">
        <f>B310+0.1</f>
        <v/>
      </c>
      <c r="C311">
        <f>A311/10</f>
        <v/>
      </c>
      <c r="D311">
        <f>B311=C311</f>
        <v/>
      </c>
      <c r="E311">
        <f>INT(B311*10)=A311</f>
        <v/>
      </c>
      <c r="F311">
        <f>B311&gt;=C311</f>
        <v/>
      </c>
      <c r="G311">
        <f>ROUND(G310+0.1,1)</f>
        <v/>
      </c>
      <c r="H311">
        <f>G311=C311</f>
        <v/>
      </c>
      <c r="I311">
        <f>TEXT(B311,"0.00000000000000")</f>
        <v/>
      </c>
    </row>
    <row r="312">
      <c r="A312" t="n">
        <v>305</v>
      </c>
      <c r="B312">
        <f>B311+0.1</f>
        <v/>
      </c>
      <c r="C312">
        <f>A312/10</f>
        <v/>
      </c>
      <c r="D312">
        <f>B312=C312</f>
        <v/>
      </c>
      <c r="E312">
        <f>INT(B312*10)=A312</f>
        <v/>
      </c>
      <c r="F312">
        <f>B312&gt;=C312</f>
        <v/>
      </c>
      <c r="G312">
        <f>ROUND(G311+0.1,1)</f>
        <v/>
      </c>
      <c r="H312">
        <f>G312=C312</f>
        <v/>
      </c>
      <c r="I312">
        <f>TEXT(B312,"0.00000000000000")</f>
        <v/>
      </c>
    </row>
    <row r="313">
      <c r="A313" t="n">
        <v>306</v>
      </c>
      <c r="B313">
        <f>B312+0.1</f>
        <v/>
      </c>
      <c r="C313">
        <f>A313/10</f>
        <v/>
      </c>
      <c r="D313">
        <f>B313=C313</f>
        <v/>
      </c>
      <c r="E313">
        <f>INT(B313*10)=A313</f>
        <v/>
      </c>
      <c r="F313">
        <f>B313&gt;=C313</f>
        <v/>
      </c>
      <c r="G313">
        <f>ROUND(G312+0.1,1)</f>
        <v/>
      </c>
      <c r="H313">
        <f>G313=C313</f>
        <v/>
      </c>
      <c r="I313">
        <f>TEXT(B313,"0.00000000000000")</f>
        <v/>
      </c>
    </row>
    <row r="314">
      <c r="A314" t="n">
        <v>307</v>
      </c>
      <c r="B314">
        <f>B313+0.1</f>
        <v/>
      </c>
      <c r="C314">
        <f>A314/10</f>
        <v/>
      </c>
      <c r="D314">
        <f>B314=C314</f>
        <v/>
      </c>
      <c r="E314">
        <f>INT(B314*10)=A314</f>
        <v/>
      </c>
      <c r="F314">
        <f>B314&gt;=C314</f>
        <v/>
      </c>
      <c r="G314">
        <f>ROUND(G313+0.1,1)</f>
        <v/>
      </c>
      <c r="H314">
        <f>G314=C314</f>
        <v/>
      </c>
      <c r="I314">
        <f>TEXT(B314,"0.00000000000000")</f>
        <v/>
      </c>
    </row>
    <row r="315">
      <c r="A315" t="n">
        <v>308</v>
      </c>
      <c r="B315">
        <f>B314+0.1</f>
        <v/>
      </c>
      <c r="C315">
        <f>A315/10</f>
        <v/>
      </c>
      <c r="D315">
        <f>B315=C315</f>
        <v/>
      </c>
      <c r="E315">
        <f>INT(B315*10)=A315</f>
        <v/>
      </c>
      <c r="F315">
        <f>B315&gt;=C315</f>
        <v/>
      </c>
      <c r="G315">
        <f>ROUND(G314+0.1,1)</f>
        <v/>
      </c>
      <c r="H315">
        <f>G315=C315</f>
        <v/>
      </c>
      <c r="I315">
        <f>TEXT(B315,"0.00000000000000")</f>
        <v/>
      </c>
    </row>
    <row r="316">
      <c r="A316" t="n">
        <v>309</v>
      </c>
      <c r="B316">
        <f>B315+0.1</f>
        <v/>
      </c>
      <c r="C316">
        <f>A316/10</f>
        <v/>
      </c>
      <c r="D316">
        <f>B316=C316</f>
        <v/>
      </c>
      <c r="E316">
        <f>INT(B316*10)=A316</f>
        <v/>
      </c>
      <c r="F316">
        <f>B316&gt;=C316</f>
        <v/>
      </c>
      <c r="G316">
        <f>ROUND(G315+0.1,1)</f>
        <v/>
      </c>
      <c r="H316">
        <f>G316=C316</f>
        <v/>
      </c>
      <c r="I316">
        <f>TEXT(B316,"0.00000000000000")</f>
        <v/>
      </c>
    </row>
    <row r="317">
      <c r="A317" t="n">
        <v>310</v>
      </c>
      <c r="B317">
        <f>B316+0.1</f>
        <v/>
      </c>
      <c r="C317">
        <f>A317/10</f>
        <v/>
      </c>
      <c r="D317">
        <f>B317=C317</f>
        <v/>
      </c>
      <c r="E317">
        <f>INT(B317*10)=A317</f>
        <v/>
      </c>
      <c r="F317">
        <f>B317&gt;=C317</f>
        <v/>
      </c>
      <c r="G317">
        <f>ROUND(G316+0.1,1)</f>
        <v/>
      </c>
      <c r="H317">
        <f>G317=C317</f>
        <v/>
      </c>
      <c r="I317">
        <f>TEXT(B317,"0.00000000000000")</f>
        <v/>
      </c>
    </row>
    <row r="318">
      <c r="A318" t="n">
        <v>311</v>
      </c>
      <c r="B318">
        <f>B317+0.1</f>
        <v/>
      </c>
      <c r="C318">
        <f>A318/10</f>
        <v/>
      </c>
      <c r="D318">
        <f>B318=C318</f>
        <v/>
      </c>
      <c r="E318">
        <f>INT(B318*10)=A318</f>
        <v/>
      </c>
      <c r="F318">
        <f>B318&gt;=C318</f>
        <v/>
      </c>
      <c r="G318">
        <f>ROUND(G317+0.1,1)</f>
        <v/>
      </c>
      <c r="H318">
        <f>G318=C318</f>
        <v/>
      </c>
      <c r="I318">
        <f>TEXT(B318,"0.00000000000000")</f>
        <v/>
      </c>
    </row>
    <row r="319">
      <c r="A319" t="n">
        <v>312</v>
      </c>
      <c r="B319">
        <f>B318+0.1</f>
        <v/>
      </c>
      <c r="C319">
        <f>A319/10</f>
        <v/>
      </c>
      <c r="D319">
        <f>B319=C319</f>
        <v/>
      </c>
      <c r="E319">
        <f>INT(B319*10)=A319</f>
        <v/>
      </c>
      <c r="F319">
        <f>B319&gt;=C319</f>
        <v/>
      </c>
      <c r="G319">
        <f>ROUND(G318+0.1,1)</f>
        <v/>
      </c>
      <c r="H319">
        <f>G319=C319</f>
        <v/>
      </c>
      <c r="I319">
        <f>TEXT(B319,"0.00000000000000")</f>
        <v/>
      </c>
    </row>
    <row r="320">
      <c r="A320" t="n">
        <v>313</v>
      </c>
      <c r="B320">
        <f>B319+0.1</f>
        <v/>
      </c>
      <c r="C320">
        <f>A320/10</f>
        <v/>
      </c>
      <c r="D320">
        <f>B320=C320</f>
        <v/>
      </c>
      <c r="E320">
        <f>INT(B320*10)=A320</f>
        <v/>
      </c>
      <c r="F320">
        <f>B320&gt;=C320</f>
        <v/>
      </c>
      <c r="G320">
        <f>ROUND(G319+0.1,1)</f>
        <v/>
      </c>
      <c r="H320">
        <f>G320=C320</f>
        <v/>
      </c>
      <c r="I320">
        <f>TEXT(B320,"0.00000000000000")</f>
        <v/>
      </c>
    </row>
    <row r="321">
      <c r="A321" t="n">
        <v>314</v>
      </c>
      <c r="B321">
        <f>B320+0.1</f>
        <v/>
      </c>
      <c r="C321">
        <f>A321/10</f>
        <v/>
      </c>
      <c r="D321">
        <f>B321=C321</f>
        <v/>
      </c>
      <c r="E321">
        <f>INT(B321*10)=A321</f>
        <v/>
      </c>
      <c r="F321">
        <f>B321&gt;=C321</f>
        <v/>
      </c>
      <c r="G321">
        <f>ROUND(G320+0.1,1)</f>
        <v/>
      </c>
      <c r="H321">
        <f>G321=C321</f>
        <v/>
      </c>
      <c r="I321">
        <f>TEXT(B321,"0.00000000000000")</f>
        <v/>
      </c>
    </row>
    <row r="322">
      <c r="A322" t="n">
        <v>315</v>
      </c>
      <c r="B322">
        <f>B321+0.1</f>
        <v/>
      </c>
      <c r="C322">
        <f>A322/10</f>
        <v/>
      </c>
      <c r="D322">
        <f>B322=C322</f>
        <v/>
      </c>
      <c r="E322">
        <f>INT(B322*10)=A322</f>
        <v/>
      </c>
      <c r="F322">
        <f>B322&gt;=C322</f>
        <v/>
      </c>
      <c r="G322">
        <f>ROUND(G321+0.1,1)</f>
        <v/>
      </c>
      <c r="H322">
        <f>G322=C322</f>
        <v/>
      </c>
      <c r="I322">
        <f>TEXT(B322,"0.00000000000000")</f>
        <v/>
      </c>
    </row>
    <row r="323">
      <c r="A323" t="n">
        <v>316</v>
      </c>
      <c r="B323">
        <f>B322+0.1</f>
        <v/>
      </c>
      <c r="C323">
        <f>A323/10</f>
        <v/>
      </c>
      <c r="D323">
        <f>B323=C323</f>
        <v/>
      </c>
      <c r="E323">
        <f>INT(B323*10)=A323</f>
        <v/>
      </c>
      <c r="F323">
        <f>B323&gt;=C323</f>
        <v/>
      </c>
      <c r="G323">
        <f>ROUND(G322+0.1,1)</f>
        <v/>
      </c>
      <c r="H323">
        <f>G323=C323</f>
        <v/>
      </c>
      <c r="I323">
        <f>TEXT(B323,"0.00000000000000")</f>
        <v/>
      </c>
    </row>
    <row r="324">
      <c r="A324" t="n">
        <v>317</v>
      </c>
      <c r="B324">
        <f>B323+0.1</f>
        <v/>
      </c>
      <c r="C324">
        <f>A324/10</f>
        <v/>
      </c>
      <c r="D324">
        <f>B324=C324</f>
        <v/>
      </c>
      <c r="E324">
        <f>INT(B324*10)=A324</f>
        <v/>
      </c>
      <c r="F324">
        <f>B324&gt;=C324</f>
        <v/>
      </c>
      <c r="G324">
        <f>ROUND(G323+0.1,1)</f>
        <v/>
      </c>
      <c r="H324">
        <f>G324=C324</f>
        <v/>
      </c>
      <c r="I324">
        <f>TEXT(B324,"0.00000000000000")</f>
        <v/>
      </c>
    </row>
    <row r="325">
      <c r="A325" t="n">
        <v>318</v>
      </c>
      <c r="B325">
        <f>B324+0.1</f>
        <v/>
      </c>
      <c r="C325">
        <f>A325/10</f>
        <v/>
      </c>
      <c r="D325">
        <f>B325=C325</f>
        <v/>
      </c>
      <c r="E325">
        <f>INT(B325*10)=A325</f>
        <v/>
      </c>
      <c r="F325">
        <f>B325&gt;=C325</f>
        <v/>
      </c>
      <c r="G325">
        <f>ROUND(G324+0.1,1)</f>
        <v/>
      </c>
      <c r="H325">
        <f>G325=C325</f>
        <v/>
      </c>
      <c r="I325">
        <f>TEXT(B325,"0.00000000000000")</f>
        <v/>
      </c>
    </row>
    <row r="326">
      <c r="A326" t="n">
        <v>319</v>
      </c>
      <c r="B326">
        <f>B325+0.1</f>
        <v/>
      </c>
      <c r="C326">
        <f>A326/10</f>
        <v/>
      </c>
      <c r="D326">
        <f>B326=C326</f>
        <v/>
      </c>
      <c r="E326">
        <f>INT(B326*10)=A326</f>
        <v/>
      </c>
      <c r="F326">
        <f>B326&gt;=C326</f>
        <v/>
      </c>
      <c r="G326">
        <f>ROUND(G325+0.1,1)</f>
        <v/>
      </c>
      <c r="H326">
        <f>G326=C326</f>
        <v/>
      </c>
      <c r="I326">
        <f>TEXT(B326,"0.00000000000000")</f>
        <v/>
      </c>
    </row>
    <row r="327">
      <c r="A327" t="n">
        <v>320</v>
      </c>
      <c r="B327">
        <f>B326+0.1</f>
        <v/>
      </c>
      <c r="C327">
        <f>A327/10</f>
        <v/>
      </c>
      <c r="D327">
        <f>B327=C327</f>
        <v/>
      </c>
      <c r="E327">
        <f>INT(B327*10)=A327</f>
        <v/>
      </c>
      <c r="F327">
        <f>B327&gt;=C327</f>
        <v/>
      </c>
      <c r="G327">
        <f>ROUND(G326+0.1,1)</f>
        <v/>
      </c>
      <c r="H327">
        <f>G327=C327</f>
        <v/>
      </c>
      <c r="I327">
        <f>TEXT(B327,"0.00000000000000")</f>
        <v/>
      </c>
    </row>
    <row r="328">
      <c r="A328" t="n">
        <v>321</v>
      </c>
      <c r="B328">
        <f>B327+0.1</f>
        <v/>
      </c>
      <c r="C328">
        <f>A328/10</f>
        <v/>
      </c>
      <c r="D328">
        <f>B328=C328</f>
        <v/>
      </c>
      <c r="E328">
        <f>INT(B328*10)=A328</f>
        <v/>
      </c>
      <c r="F328">
        <f>B328&gt;=C328</f>
        <v/>
      </c>
      <c r="G328">
        <f>ROUND(G327+0.1,1)</f>
        <v/>
      </c>
      <c r="H328">
        <f>G328=C328</f>
        <v/>
      </c>
      <c r="I328">
        <f>TEXT(B328,"0.00000000000000")</f>
        <v/>
      </c>
    </row>
    <row r="329">
      <c r="A329" t="n">
        <v>322</v>
      </c>
      <c r="B329">
        <f>B328+0.1</f>
        <v/>
      </c>
      <c r="C329">
        <f>A329/10</f>
        <v/>
      </c>
      <c r="D329">
        <f>B329=C329</f>
        <v/>
      </c>
      <c r="E329">
        <f>INT(B329*10)=A329</f>
        <v/>
      </c>
      <c r="F329">
        <f>B329&gt;=C329</f>
        <v/>
      </c>
      <c r="G329">
        <f>ROUND(G328+0.1,1)</f>
        <v/>
      </c>
      <c r="H329">
        <f>G329=C329</f>
        <v/>
      </c>
      <c r="I329">
        <f>TEXT(B329,"0.00000000000000")</f>
        <v/>
      </c>
    </row>
    <row r="330">
      <c r="A330" t="n">
        <v>323</v>
      </c>
      <c r="B330">
        <f>B329+0.1</f>
        <v/>
      </c>
      <c r="C330">
        <f>A330/10</f>
        <v/>
      </c>
      <c r="D330">
        <f>B330=C330</f>
        <v/>
      </c>
      <c r="E330">
        <f>INT(B330*10)=A330</f>
        <v/>
      </c>
      <c r="F330">
        <f>B330&gt;=C330</f>
        <v/>
      </c>
      <c r="G330">
        <f>ROUND(G329+0.1,1)</f>
        <v/>
      </c>
      <c r="H330">
        <f>G330=C330</f>
        <v/>
      </c>
      <c r="I330">
        <f>TEXT(B330,"0.00000000000000")</f>
        <v/>
      </c>
    </row>
    <row r="331">
      <c r="A331" t="n">
        <v>324</v>
      </c>
      <c r="B331">
        <f>B330+0.1</f>
        <v/>
      </c>
      <c r="C331">
        <f>A331/10</f>
        <v/>
      </c>
      <c r="D331">
        <f>B331=C331</f>
        <v/>
      </c>
      <c r="E331">
        <f>INT(B331*10)=A331</f>
        <v/>
      </c>
      <c r="F331">
        <f>B331&gt;=C331</f>
        <v/>
      </c>
      <c r="G331">
        <f>ROUND(G330+0.1,1)</f>
        <v/>
      </c>
      <c r="H331">
        <f>G331=C331</f>
        <v/>
      </c>
      <c r="I331">
        <f>TEXT(B331,"0.00000000000000")</f>
        <v/>
      </c>
    </row>
    <row r="332">
      <c r="A332" t="n">
        <v>325</v>
      </c>
      <c r="B332">
        <f>B331+0.1</f>
        <v/>
      </c>
      <c r="C332">
        <f>A332/10</f>
        <v/>
      </c>
      <c r="D332">
        <f>B332=C332</f>
        <v/>
      </c>
      <c r="E332">
        <f>INT(B332*10)=A332</f>
        <v/>
      </c>
      <c r="F332">
        <f>B332&gt;=C332</f>
        <v/>
      </c>
      <c r="G332">
        <f>ROUND(G331+0.1,1)</f>
        <v/>
      </c>
      <c r="H332">
        <f>G332=C332</f>
        <v/>
      </c>
      <c r="I332">
        <f>TEXT(B332,"0.00000000000000")</f>
        <v/>
      </c>
    </row>
    <row r="333">
      <c r="A333" t="n">
        <v>326</v>
      </c>
      <c r="B333">
        <f>B332+0.1</f>
        <v/>
      </c>
      <c r="C333">
        <f>A333/10</f>
        <v/>
      </c>
      <c r="D333">
        <f>B333=C333</f>
        <v/>
      </c>
      <c r="E333">
        <f>INT(B333*10)=A333</f>
        <v/>
      </c>
      <c r="F333">
        <f>B333&gt;=C333</f>
        <v/>
      </c>
      <c r="G333">
        <f>ROUND(G332+0.1,1)</f>
        <v/>
      </c>
      <c r="H333">
        <f>G333=C333</f>
        <v/>
      </c>
      <c r="I333">
        <f>TEXT(B333,"0.00000000000000")</f>
        <v/>
      </c>
    </row>
    <row r="334">
      <c r="A334" t="n">
        <v>327</v>
      </c>
      <c r="B334">
        <f>B333+0.1</f>
        <v/>
      </c>
      <c r="C334">
        <f>A334/10</f>
        <v/>
      </c>
      <c r="D334">
        <f>B334=C334</f>
        <v/>
      </c>
      <c r="E334">
        <f>INT(B334*10)=A334</f>
        <v/>
      </c>
      <c r="F334">
        <f>B334&gt;=C334</f>
        <v/>
      </c>
      <c r="G334">
        <f>ROUND(G333+0.1,1)</f>
        <v/>
      </c>
      <c r="H334">
        <f>G334=C334</f>
        <v/>
      </c>
      <c r="I334">
        <f>TEXT(B334,"0.00000000000000")</f>
        <v/>
      </c>
    </row>
    <row r="335">
      <c r="A335" t="n">
        <v>328</v>
      </c>
      <c r="B335">
        <f>B334+0.1</f>
        <v/>
      </c>
      <c r="C335">
        <f>A335/10</f>
        <v/>
      </c>
      <c r="D335">
        <f>B335=C335</f>
        <v/>
      </c>
      <c r="E335">
        <f>INT(B335*10)=A335</f>
        <v/>
      </c>
      <c r="F335">
        <f>B335&gt;=C335</f>
        <v/>
      </c>
      <c r="G335">
        <f>ROUND(G334+0.1,1)</f>
        <v/>
      </c>
      <c r="H335">
        <f>G335=C335</f>
        <v/>
      </c>
      <c r="I335">
        <f>TEXT(B335,"0.00000000000000")</f>
        <v/>
      </c>
    </row>
    <row r="336">
      <c r="A336" t="n">
        <v>329</v>
      </c>
      <c r="B336">
        <f>B335+0.1</f>
        <v/>
      </c>
      <c r="C336">
        <f>A336/10</f>
        <v/>
      </c>
      <c r="D336">
        <f>B336=C336</f>
        <v/>
      </c>
      <c r="E336">
        <f>INT(B336*10)=A336</f>
        <v/>
      </c>
      <c r="F336">
        <f>B336&gt;=C336</f>
        <v/>
      </c>
      <c r="G336">
        <f>ROUND(G335+0.1,1)</f>
        <v/>
      </c>
      <c r="H336">
        <f>G336=C336</f>
        <v/>
      </c>
      <c r="I336">
        <f>TEXT(B336,"0.00000000000000")</f>
        <v/>
      </c>
    </row>
    <row r="337">
      <c r="A337" t="n">
        <v>330</v>
      </c>
      <c r="B337">
        <f>B336+0.1</f>
        <v/>
      </c>
      <c r="C337">
        <f>A337/10</f>
        <v/>
      </c>
      <c r="D337">
        <f>B337=C337</f>
        <v/>
      </c>
      <c r="E337">
        <f>INT(B337*10)=A337</f>
        <v/>
      </c>
      <c r="F337">
        <f>B337&gt;=C337</f>
        <v/>
      </c>
      <c r="G337">
        <f>ROUND(G336+0.1,1)</f>
        <v/>
      </c>
      <c r="H337">
        <f>G337=C337</f>
        <v/>
      </c>
      <c r="I337">
        <f>TEXT(B337,"0.00000000000000")</f>
        <v/>
      </c>
    </row>
    <row r="338">
      <c r="A338" t="n">
        <v>331</v>
      </c>
      <c r="B338">
        <f>B337+0.1</f>
        <v/>
      </c>
      <c r="C338">
        <f>A338/10</f>
        <v/>
      </c>
      <c r="D338">
        <f>B338=C338</f>
        <v/>
      </c>
      <c r="E338">
        <f>INT(B338*10)=A338</f>
        <v/>
      </c>
      <c r="F338">
        <f>B338&gt;=C338</f>
        <v/>
      </c>
      <c r="G338">
        <f>ROUND(G337+0.1,1)</f>
        <v/>
      </c>
      <c r="H338">
        <f>G338=C338</f>
        <v/>
      </c>
      <c r="I338">
        <f>TEXT(B338,"0.00000000000000")</f>
        <v/>
      </c>
    </row>
    <row r="339">
      <c r="A339" t="n">
        <v>332</v>
      </c>
      <c r="B339">
        <f>B338+0.1</f>
        <v/>
      </c>
      <c r="C339">
        <f>A339/10</f>
        <v/>
      </c>
      <c r="D339">
        <f>B339=C339</f>
        <v/>
      </c>
      <c r="E339">
        <f>INT(B339*10)=A339</f>
        <v/>
      </c>
      <c r="F339">
        <f>B339&gt;=C339</f>
        <v/>
      </c>
      <c r="G339">
        <f>ROUND(G338+0.1,1)</f>
        <v/>
      </c>
      <c r="H339">
        <f>G339=C339</f>
        <v/>
      </c>
      <c r="I339">
        <f>TEXT(B339,"0.00000000000000")</f>
        <v/>
      </c>
    </row>
    <row r="340">
      <c r="A340" t="n">
        <v>333</v>
      </c>
      <c r="B340">
        <f>B339+0.1</f>
        <v/>
      </c>
      <c r="C340">
        <f>A340/10</f>
        <v/>
      </c>
      <c r="D340">
        <f>B340=C340</f>
        <v/>
      </c>
      <c r="E340">
        <f>INT(B340*10)=A340</f>
        <v/>
      </c>
      <c r="F340">
        <f>B340&gt;=C340</f>
        <v/>
      </c>
      <c r="G340">
        <f>ROUND(G339+0.1,1)</f>
        <v/>
      </c>
      <c r="H340">
        <f>G340=C340</f>
        <v/>
      </c>
      <c r="I340">
        <f>TEXT(B340,"0.00000000000000")</f>
        <v/>
      </c>
    </row>
    <row r="341">
      <c r="A341" t="n">
        <v>334</v>
      </c>
      <c r="B341">
        <f>B340+0.1</f>
        <v/>
      </c>
      <c r="C341">
        <f>A341/10</f>
        <v/>
      </c>
      <c r="D341">
        <f>B341=C341</f>
        <v/>
      </c>
      <c r="E341">
        <f>INT(B341*10)=A341</f>
        <v/>
      </c>
      <c r="F341">
        <f>B341&gt;=C341</f>
        <v/>
      </c>
      <c r="G341">
        <f>ROUND(G340+0.1,1)</f>
        <v/>
      </c>
      <c r="H341">
        <f>G341=C341</f>
        <v/>
      </c>
      <c r="I341">
        <f>TEXT(B341,"0.00000000000000")</f>
        <v/>
      </c>
    </row>
    <row r="342">
      <c r="A342" t="n">
        <v>335</v>
      </c>
      <c r="B342">
        <f>B341+0.1</f>
        <v/>
      </c>
      <c r="C342">
        <f>A342/10</f>
        <v/>
      </c>
      <c r="D342">
        <f>B342=C342</f>
        <v/>
      </c>
      <c r="E342">
        <f>INT(B342*10)=A342</f>
        <v/>
      </c>
      <c r="F342">
        <f>B342&gt;=C342</f>
        <v/>
      </c>
      <c r="G342">
        <f>ROUND(G341+0.1,1)</f>
        <v/>
      </c>
      <c r="H342">
        <f>G342=C342</f>
        <v/>
      </c>
      <c r="I342">
        <f>TEXT(B342,"0.00000000000000")</f>
        <v/>
      </c>
    </row>
    <row r="343">
      <c r="A343" t="n">
        <v>336</v>
      </c>
      <c r="B343">
        <f>B342+0.1</f>
        <v/>
      </c>
      <c r="C343">
        <f>A343/10</f>
        <v/>
      </c>
      <c r="D343">
        <f>B343=C343</f>
        <v/>
      </c>
      <c r="E343">
        <f>INT(B343*10)=A343</f>
        <v/>
      </c>
      <c r="F343">
        <f>B343&gt;=C343</f>
        <v/>
      </c>
      <c r="G343">
        <f>ROUND(G342+0.1,1)</f>
        <v/>
      </c>
      <c r="H343">
        <f>G343=C343</f>
        <v/>
      </c>
      <c r="I343">
        <f>TEXT(B343,"0.00000000000000")</f>
        <v/>
      </c>
    </row>
    <row r="344">
      <c r="A344" t="n">
        <v>337</v>
      </c>
      <c r="B344">
        <f>B343+0.1</f>
        <v/>
      </c>
      <c r="C344">
        <f>A344/10</f>
        <v/>
      </c>
      <c r="D344">
        <f>B344=C344</f>
        <v/>
      </c>
      <c r="E344">
        <f>INT(B344*10)=A344</f>
        <v/>
      </c>
      <c r="F344">
        <f>B344&gt;=C344</f>
        <v/>
      </c>
      <c r="G344">
        <f>ROUND(G343+0.1,1)</f>
        <v/>
      </c>
      <c r="H344">
        <f>G344=C344</f>
        <v/>
      </c>
      <c r="I344">
        <f>TEXT(B344,"0.00000000000000")</f>
        <v/>
      </c>
    </row>
    <row r="345">
      <c r="A345" t="n">
        <v>338</v>
      </c>
      <c r="B345">
        <f>B344+0.1</f>
        <v/>
      </c>
      <c r="C345">
        <f>A345/10</f>
        <v/>
      </c>
      <c r="D345">
        <f>B345=C345</f>
        <v/>
      </c>
      <c r="E345">
        <f>INT(B345*10)=A345</f>
        <v/>
      </c>
      <c r="F345">
        <f>B345&gt;=C345</f>
        <v/>
      </c>
      <c r="G345">
        <f>ROUND(G344+0.1,1)</f>
        <v/>
      </c>
      <c r="H345">
        <f>G345=C345</f>
        <v/>
      </c>
      <c r="I345">
        <f>TEXT(B345,"0.00000000000000")</f>
        <v/>
      </c>
    </row>
    <row r="346">
      <c r="A346" t="n">
        <v>339</v>
      </c>
      <c r="B346">
        <f>B345+0.1</f>
        <v/>
      </c>
      <c r="C346">
        <f>A346/10</f>
        <v/>
      </c>
      <c r="D346">
        <f>B346=C346</f>
        <v/>
      </c>
      <c r="E346">
        <f>INT(B346*10)=A346</f>
        <v/>
      </c>
      <c r="F346">
        <f>B346&gt;=C346</f>
        <v/>
      </c>
      <c r="G346">
        <f>ROUND(G345+0.1,1)</f>
        <v/>
      </c>
      <c r="H346">
        <f>G346=C346</f>
        <v/>
      </c>
      <c r="I346">
        <f>TEXT(B346,"0.00000000000000")</f>
        <v/>
      </c>
    </row>
    <row r="347">
      <c r="A347" t="n">
        <v>340</v>
      </c>
      <c r="B347">
        <f>B346+0.1</f>
        <v/>
      </c>
      <c r="C347">
        <f>A347/10</f>
        <v/>
      </c>
      <c r="D347">
        <f>B347=C347</f>
        <v/>
      </c>
      <c r="E347">
        <f>INT(B347*10)=A347</f>
        <v/>
      </c>
      <c r="F347">
        <f>B347&gt;=C347</f>
        <v/>
      </c>
      <c r="G347">
        <f>ROUND(G346+0.1,1)</f>
        <v/>
      </c>
      <c r="H347">
        <f>G347=C347</f>
        <v/>
      </c>
      <c r="I347">
        <f>TEXT(B347,"0.00000000000000")</f>
        <v/>
      </c>
    </row>
    <row r="348">
      <c r="A348" t="n">
        <v>341</v>
      </c>
      <c r="B348">
        <f>B347+0.1</f>
        <v/>
      </c>
      <c r="C348">
        <f>A348/10</f>
        <v/>
      </c>
      <c r="D348">
        <f>B348=C348</f>
        <v/>
      </c>
      <c r="E348">
        <f>INT(B348*10)=A348</f>
        <v/>
      </c>
      <c r="F348">
        <f>B348&gt;=C348</f>
        <v/>
      </c>
      <c r="G348">
        <f>ROUND(G347+0.1,1)</f>
        <v/>
      </c>
      <c r="H348">
        <f>G348=C348</f>
        <v/>
      </c>
      <c r="I348">
        <f>TEXT(B348,"0.00000000000000")</f>
        <v/>
      </c>
    </row>
    <row r="349">
      <c r="A349" t="n">
        <v>342</v>
      </c>
      <c r="B349">
        <f>B348+0.1</f>
        <v/>
      </c>
      <c r="C349">
        <f>A349/10</f>
        <v/>
      </c>
      <c r="D349">
        <f>B349=C349</f>
        <v/>
      </c>
      <c r="E349">
        <f>INT(B349*10)=A349</f>
        <v/>
      </c>
      <c r="F349">
        <f>B349&gt;=C349</f>
        <v/>
      </c>
      <c r="G349">
        <f>ROUND(G348+0.1,1)</f>
        <v/>
      </c>
      <c r="H349">
        <f>G349=C349</f>
        <v/>
      </c>
      <c r="I349">
        <f>TEXT(B349,"0.00000000000000")</f>
        <v/>
      </c>
    </row>
    <row r="350">
      <c r="A350" t="n">
        <v>343</v>
      </c>
      <c r="B350">
        <f>B349+0.1</f>
        <v/>
      </c>
      <c r="C350">
        <f>A350/10</f>
        <v/>
      </c>
      <c r="D350">
        <f>B350=C350</f>
        <v/>
      </c>
      <c r="E350">
        <f>INT(B350*10)=A350</f>
        <v/>
      </c>
      <c r="F350">
        <f>B350&gt;=C350</f>
        <v/>
      </c>
      <c r="G350">
        <f>ROUND(G349+0.1,1)</f>
        <v/>
      </c>
      <c r="H350">
        <f>G350=C350</f>
        <v/>
      </c>
      <c r="I350">
        <f>TEXT(B350,"0.00000000000000")</f>
        <v/>
      </c>
    </row>
    <row r="351">
      <c r="A351" t="n">
        <v>344</v>
      </c>
      <c r="B351">
        <f>B350+0.1</f>
        <v/>
      </c>
      <c r="C351">
        <f>A351/10</f>
        <v/>
      </c>
      <c r="D351">
        <f>B351=C351</f>
        <v/>
      </c>
      <c r="E351">
        <f>INT(B351*10)=A351</f>
        <v/>
      </c>
      <c r="F351">
        <f>B351&gt;=C351</f>
        <v/>
      </c>
      <c r="G351">
        <f>ROUND(G350+0.1,1)</f>
        <v/>
      </c>
      <c r="H351">
        <f>G351=C351</f>
        <v/>
      </c>
      <c r="I351">
        <f>TEXT(B351,"0.00000000000000")</f>
        <v/>
      </c>
    </row>
    <row r="352">
      <c r="A352" t="n">
        <v>345</v>
      </c>
      <c r="B352">
        <f>B351+0.1</f>
        <v/>
      </c>
      <c r="C352">
        <f>A352/10</f>
        <v/>
      </c>
      <c r="D352">
        <f>B352=C352</f>
        <v/>
      </c>
      <c r="E352">
        <f>INT(B352*10)=A352</f>
        <v/>
      </c>
      <c r="F352">
        <f>B352&gt;=C352</f>
        <v/>
      </c>
      <c r="G352">
        <f>ROUND(G351+0.1,1)</f>
        <v/>
      </c>
      <c r="H352">
        <f>G352=C352</f>
        <v/>
      </c>
      <c r="I352">
        <f>TEXT(B352,"0.00000000000000")</f>
        <v/>
      </c>
    </row>
    <row r="353">
      <c r="A353" t="n">
        <v>346</v>
      </c>
      <c r="B353">
        <f>B352+0.1</f>
        <v/>
      </c>
      <c r="C353">
        <f>A353/10</f>
        <v/>
      </c>
      <c r="D353">
        <f>B353=C353</f>
        <v/>
      </c>
      <c r="E353">
        <f>INT(B353*10)=A353</f>
        <v/>
      </c>
      <c r="F353">
        <f>B353&gt;=C353</f>
        <v/>
      </c>
      <c r="G353">
        <f>ROUND(G352+0.1,1)</f>
        <v/>
      </c>
      <c r="H353">
        <f>G353=C353</f>
        <v/>
      </c>
      <c r="I353">
        <f>TEXT(B353,"0.00000000000000")</f>
        <v/>
      </c>
    </row>
    <row r="354">
      <c r="A354" t="n">
        <v>347</v>
      </c>
      <c r="B354">
        <f>B353+0.1</f>
        <v/>
      </c>
      <c r="C354">
        <f>A354/10</f>
        <v/>
      </c>
      <c r="D354">
        <f>B354=C354</f>
        <v/>
      </c>
      <c r="E354">
        <f>INT(B354*10)=A354</f>
        <v/>
      </c>
      <c r="F354">
        <f>B354&gt;=C354</f>
        <v/>
      </c>
      <c r="G354">
        <f>ROUND(G353+0.1,1)</f>
        <v/>
      </c>
      <c r="H354">
        <f>G354=C354</f>
        <v/>
      </c>
      <c r="I354">
        <f>TEXT(B354,"0.00000000000000")</f>
        <v/>
      </c>
    </row>
    <row r="355">
      <c r="A355" t="n">
        <v>348</v>
      </c>
      <c r="B355">
        <f>B354+0.1</f>
        <v/>
      </c>
      <c r="C355">
        <f>A355/10</f>
        <v/>
      </c>
      <c r="D355">
        <f>B355=C355</f>
        <v/>
      </c>
      <c r="E355">
        <f>INT(B355*10)=A355</f>
        <v/>
      </c>
      <c r="F355">
        <f>B355&gt;=C355</f>
        <v/>
      </c>
      <c r="G355">
        <f>ROUND(G354+0.1,1)</f>
        <v/>
      </c>
      <c r="H355">
        <f>G355=C355</f>
        <v/>
      </c>
      <c r="I355">
        <f>TEXT(B355,"0.00000000000000")</f>
        <v/>
      </c>
    </row>
    <row r="356">
      <c r="A356" t="n">
        <v>349</v>
      </c>
      <c r="B356">
        <f>B355+0.1</f>
        <v/>
      </c>
      <c r="C356">
        <f>A356/10</f>
        <v/>
      </c>
      <c r="D356">
        <f>B356=C356</f>
        <v/>
      </c>
      <c r="E356">
        <f>INT(B356*10)=A356</f>
        <v/>
      </c>
      <c r="F356">
        <f>B356&gt;=C356</f>
        <v/>
      </c>
      <c r="G356">
        <f>ROUND(G355+0.1,1)</f>
        <v/>
      </c>
      <c r="H356">
        <f>G356=C356</f>
        <v/>
      </c>
      <c r="I356">
        <f>TEXT(B356,"0.00000000000000")</f>
        <v/>
      </c>
    </row>
    <row r="357">
      <c r="A357" t="n">
        <v>350</v>
      </c>
      <c r="B357">
        <f>B356+0.1</f>
        <v/>
      </c>
      <c r="C357">
        <f>A357/10</f>
        <v/>
      </c>
      <c r="D357">
        <f>B357=C357</f>
        <v/>
      </c>
      <c r="E357">
        <f>INT(B357*10)=A357</f>
        <v/>
      </c>
      <c r="F357">
        <f>B357&gt;=C357</f>
        <v/>
      </c>
      <c r="G357">
        <f>ROUND(G356+0.1,1)</f>
        <v/>
      </c>
      <c r="H357">
        <f>G357=C357</f>
        <v/>
      </c>
      <c r="I357">
        <f>TEXT(B357,"0.00000000000000")</f>
        <v/>
      </c>
    </row>
    <row r="358">
      <c r="A358" t="n">
        <v>351</v>
      </c>
      <c r="B358">
        <f>B357+0.1</f>
        <v/>
      </c>
      <c r="C358">
        <f>A358/10</f>
        <v/>
      </c>
      <c r="D358">
        <f>B358=C358</f>
        <v/>
      </c>
      <c r="E358">
        <f>INT(B358*10)=A358</f>
        <v/>
      </c>
      <c r="F358">
        <f>B358&gt;=C358</f>
        <v/>
      </c>
      <c r="G358">
        <f>ROUND(G357+0.1,1)</f>
        <v/>
      </c>
      <c r="H358">
        <f>G358=C358</f>
        <v/>
      </c>
      <c r="I358">
        <f>TEXT(B358,"0.00000000000000")</f>
        <v/>
      </c>
    </row>
    <row r="359">
      <c r="A359" t="n">
        <v>352</v>
      </c>
      <c r="B359">
        <f>B358+0.1</f>
        <v/>
      </c>
      <c r="C359">
        <f>A359/10</f>
        <v/>
      </c>
      <c r="D359">
        <f>B359=C359</f>
        <v/>
      </c>
      <c r="E359">
        <f>INT(B359*10)=A359</f>
        <v/>
      </c>
      <c r="F359">
        <f>B359&gt;=C359</f>
        <v/>
      </c>
      <c r="G359">
        <f>ROUND(G358+0.1,1)</f>
        <v/>
      </c>
      <c r="H359">
        <f>G359=C359</f>
        <v/>
      </c>
      <c r="I359">
        <f>TEXT(B359,"0.00000000000000")</f>
        <v/>
      </c>
    </row>
    <row r="360">
      <c r="A360" t="n">
        <v>353</v>
      </c>
      <c r="B360">
        <f>B359+0.1</f>
        <v/>
      </c>
      <c r="C360">
        <f>A360/10</f>
        <v/>
      </c>
      <c r="D360">
        <f>B360=C360</f>
        <v/>
      </c>
      <c r="E360">
        <f>INT(B360*10)=A360</f>
        <v/>
      </c>
      <c r="F360">
        <f>B360&gt;=C360</f>
        <v/>
      </c>
      <c r="G360">
        <f>ROUND(G359+0.1,1)</f>
        <v/>
      </c>
      <c r="H360">
        <f>G360=C360</f>
        <v/>
      </c>
      <c r="I360">
        <f>TEXT(B360,"0.00000000000000")</f>
        <v/>
      </c>
    </row>
    <row r="361">
      <c r="A361" t="n">
        <v>354</v>
      </c>
      <c r="B361">
        <f>B360+0.1</f>
        <v/>
      </c>
      <c r="C361">
        <f>A361/10</f>
        <v/>
      </c>
      <c r="D361">
        <f>B361=C361</f>
        <v/>
      </c>
      <c r="E361">
        <f>INT(B361*10)=A361</f>
        <v/>
      </c>
      <c r="F361">
        <f>B361&gt;=C361</f>
        <v/>
      </c>
      <c r="G361">
        <f>ROUND(G360+0.1,1)</f>
        <v/>
      </c>
      <c r="H361">
        <f>G361=C361</f>
        <v/>
      </c>
      <c r="I361">
        <f>TEXT(B361,"0.00000000000000")</f>
        <v/>
      </c>
    </row>
    <row r="362">
      <c r="A362" t="n">
        <v>355</v>
      </c>
      <c r="B362">
        <f>B361+0.1</f>
        <v/>
      </c>
      <c r="C362">
        <f>A362/10</f>
        <v/>
      </c>
      <c r="D362">
        <f>B362=C362</f>
        <v/>
      </c>
      <c r="E362">
        <f>INT(B362*10)=A362</f>
        <v/>
      </c>
      <c r="F362">
        <f>B362&gt;=C362</f>
        <v/>
      </c>
      <c r="G362">
        <f>ROUND(G361+0.1,1)</f>
        <v/>
      </c>
      <c r="H362">
        <f>G362=C362</f>
        <v/>
      </c>
      <c r="I362">
        <f>TEXT(B362,"0.00000000000000")</f>
        <v/>
      </c>
    </row>
    <row r="363">
      <c r="A363" t="n">
        <v>356</v>
      </c>
      <c r="B363">
        <f>B362+0.1</f>
        <v/>
      </c>
      <c r="C363">
        <f>A363/10</f>
        <v/>
      </c>
      <c r="D363">
        <f>B363=C363</f>
        <v/>
      </c>
      <c r="E363">
        <f>INT(B363*10)=A363</f>
        <v/>
      </c>
      <c r="F363">
        <f>B363&gt;=C363</f>
        <v/>
      </c>
      <c r="G363">
        <f>ROUND(G362+0.1,1)</f>
        <v/>
      </c>
      <c r="H363">
        <f>G363=C363</f>
        <v/>
      </c>
      <c r="I363">
        <f>TEXT(B363,"0.00000000000000")</f>
        <v/>
      </c>
    </row>
    <row r="364">
      <c r="A364" t="n">
        <v>357</v>
      </c>
      <c r="B364">
        <f>B363+0.1</f>
        <v/>
      </c>
      <c r="C364">
        <f>A364/10</f>
        <v/>
      </c>
      <c r="D364">
        <f>B364=C364</f>
        <v/>
      </c>
      <c r="E364">
        <f>INT(B364*10)=A364</f>
        <v/>
      </c>
      <c r="F364">
        <f>B364&gt;=C364</f>
        <v/>
      </c>
      <c r="G364">
        <f>ROUND(G363+0.1,1)</f>
        <v/>
      </c>
      <c r="H364">
        <f>G364=C364</f>
        <v/>
      </c>
      <c r="I364">
        <f>TEXT(B364,"0.00000000000000")</f>
        <v/>
      </c>
    </row>
    <row r="365">
      <c r="A365" t="n">
        <v>358</v>
      </c>
      <c r="B365">
        <f>B364+0.1</f>
        <v/>
      </c>
      <c r="C365">
        <f>A365/10</f>
        <v/>
      </c>
      <c r="D365">
        <f>B365=C365</f>
        <v/>
      </c>
      <c r="E365">
        <f>INT(B365*10)=A365</f>
        <v/>
      </c>
      <c r="F365">
        <f>B365&gt;=C365</f>
        <v/>
      </c>
      <c r="G365">
        <f>ROUND(G364+0.1,1)</f>
        <v/>
      </c>
      <c r="H365">
        <f>G365=C365</f>
        <v/>
      </c>
      <c r="I365">
        <f>TEXT(B365,"0.00000000000000")</f>
        <v/>
      </c>
    </row>
    <row r="366">
      <c r="A366" t="n">
        <v>359</v>
      </c>
      <c r="B366">
        <f>B365+0.1</f>
        <v/>
      </c>
      <c r="C366">
        <f>A366/10</f>
        <v/>
      </c>
      <c r="D366">
        <f>B366=C366</f>
        <v/>
      </c>
      <c r="E366">
        <f>INT(B366*10)=A366</f>
        <v/>
      </c>
      <c r="F366">
        <f>B366&gt;=C366</f>
        <v/>
      </c>
      <c r="G366">
        <f>ROUND(G365+0.1,1)</f>
        <v/>
      </c>
      <c r="H366">
        <f>G366=C366</f>
        <v/>
      </c>
      <c r="I366">
        <f>TEXT(B366,"0.00000000000000")</f>
        <v/>
      </c>
    </row>
    <row r="367">
      <c r="A367" t="n">
        <v>360</v>
      </c>
      <c r="B367">
        <f>B366+0.1</f>
        <v/>
      </c>
      <c r="C367">
        <f>A367/10</f>
        <v/>
      </c>
      <c r="D367">
        <f>B367=C367</f>
        <v/>
      </c>
      <c r="E367">
        <f>INT(B367*10)=A367</f>
        <v/>
      </c>
      <c r="F367">
        <f>B367&gt;=C367</f>
        <v/>
      </c>
      <c r="G367">
        <f>ROUND(G366+0.1,1)</f>
        <v/>
      </c>
      <c r="H367">
        <f>G367=C367</f>
        <v/>
      </c>
      <c r="I367">
        <f>TEXT(B367,"0.00000000000000")</f>
        <v/>
      </c>
    </row>
    <row r="368">
      <c r="A368" t="n">
        <v>361</v>
      </c>
      <c r="B368">
        <f>B367+0.1</f>
        <v/>
      </c>
      <c r="C368">
        <f>A368/10</f>
        <v/>
      </c>
      <c r="D368">
        <f>B368=C368</f>
        <v/>
      </c>
      <c r="E368">
        <f>INT(B368*10)=A368</f>
        <v/>
      </c>
      <c r="F368">
        <f>B368&gt;=C368</f>
        <v/>
      </c>
      <c r="G368">
        <f>ROUND(G367+0.1,1)</f>
        <v/>
      </c>
      <c r="H368">
        <f>G368=C368</f>
        <v/>
      </c>
      <c r="I368">
        <f>TEXT(B368,"0.00000000000000")</f>
        <v/>
      </c>
    </row>
    <row r="369">
      <c r="A369" t="n">
        <v>362</v>
      </c>
      <c r="B369">
        <f>B368+0.1</f>
        <v/>
      </c>
      <c r="C369">
        <f>A369/10</f>
        <v/>
      </c>
      <c r="D369">
        <f>B369=C369</f>
        <v/>
      </c>
      <c r="E369">
        <f>INT(B369*10)=A369</f>
        <v/>
      </c>
      <c r="F369">
        <f>B369&gt;=C369</f>
        <v/>
      </c>
      <c r="G369">
        <f>ROUND(G368+0.1,1)</f>
        <v/>
      </c>
      <c r="H369">
        <f>G369=C369</f>
        <v/>
      </c>
      <c r="I369">
        <f>TEXT(B369,"0.00000000000000")</f>
        <v/>
      </c>
    </row>
    <row r="370">
      <c r="A370" t="n">
        <v>363</v>
      </c>
      <c r="B370">
        <f>B369+0.1</f>
        <v/>
      </c>
      <c r="C370">
        <f>A370/10</f>
        <v/>
      </c>
      <c r="D370">
        <f>B370=C370</f>
        <v/>
      </c>
      <c r="E370">
        <f>INT(B370*10)=A370</f>
        <v/>
      </c>
      <c r="F370">
        <f>B370&gt;=C370</f>
        <v/>
      </c>
      <c r="G370">
        <f>ROUND(G369+0.1,1)</f>
        <v/>
      </c>
      <c r="H370">
        <f>G370=C370</f>
        <v/>
      </c>
      <c r="I370">
        <f>TEXT(B370,"0.00000000000000")</f>
        <v/>
      </c>
    </row>
    <row r="371">
      <c r="A371" t="n">
        <v>364</v>
      </c>
      <c r="B371">
        <f>B370+0.1</f>
        <v/>
      </c>
      <c r="C371">
        <f>A371/10</f>
        <v/>
      </c>
      <c r="D371">
        <f>B371=C371</f>
        <v/>
      </c>
      <c r="E371">
        <f>INT(B371*10)=A371</f>
        <v/>
      </c>
      <c r="F371">
        <f>B371&gt;=C371</f>
        <v/>
      </c>
      <c r="G371">
        <f>ROUND(G370+0.1,1)</f>
        <v/>
      </c>
      <c r="H371">
        <f>G371=C371</f>
        <v/>
      </c>
      <c r="I371">
        <f>TEXT(B371,"0.00000000000000")</f>
        <v/>
      </c>
    </row>
    <row r="372">
      <c r="A372" t="n">
        <v>365</v>
      </c>
      <c r="B372">
        <f>B371+0.1</f>
        <v/>
      </c>
      <c r="C372">
        <f>A372/10</f>
        <v/>
      </c>
      <c r="D372">
        <f>B372=C372</f>
        <v/>
      </c>
      <c r="E372">
        <f>INT(B372*10)=A372</f>
        <v/>
      </c>
      <c r="F372">
        <f>B372&gt;=C372</f>
        <v/>
      </c>
      <c r="G372">
        <f>ROUND(G371+0.1,1)</f>
        <v/>
      </c>
      <c r="H372">
        <f>G372=C372</f>
        <v/>
      </c>
      <c r="I372">
        <f>TEXT(B372,"0.00000000000000")</f>
        <v/>
      </c>
    </row>
    <row r="373">
      <c r="A373" t="n">
        <v>366</v>
      </c>
      <c r="B373">
        <f>B372+0.1</f>
        <v/>
      </c>
      <c r="C373">
        <f>A373/10</f>
        <v/>
      </c>
      <c r="D373">
        <f>B373=C373</f>
        <v/>
      </c>
      <c r="E373">
        <f>INT(B373*10)=A373</f>
        <v/>
      </c>
      <c r="F373">
        <f>B373&gt;=C373</f>
        <v/>
      </c>
      <c r="G373">
        <f>ROUND(G372+0.1,1)</f>
        <v/>
      </c>
      <c r="H373">
        <f>G373=C373</f>
        <v/>
      </c>
      <c r="I373">
        <f>TEXT(B373,"0.00000000000000")</f>
        <v/>
      </c>
    </row>
    <row r="374">
      <c r="A374" t="n">
        <v>367</v>
      </c>
      <c r="B374">
        <f>B373+0.1</f>
        <v/>
      </c>
      <c r="C374">
        <f>A374/10</f>
        <v/>
      </c>
      <c r="D374">
        <f>B374=C374</f>
        <v/>
      </c>
      <c r="E374">
        <f>INT(B374*10)=A374</f>
        <v/>
      </c>
      <c r="F374">
        <f>B374&gt;=C374</f>
        <v/>
      </c>
      <c r="G374">
        <f>ROUND(G373+0.1,1)</f>
        <v/>
      </c>
      <c r="H374">
        <f>G374=C374</f>
        <v/>
      </c>
      <c r="I374">
        <f>TEXT(B374,"0.00000000000000")</f>
        <v/>
      </c>
    </row>
    <row r="375">
      <c r="A375" t="n">
        <v>368</v>
      </c>
      <c r="B375">
        <f>B374+0.1</f>
        <v/>
      </c>
      <c r="C375">
        <f>A375/10</f>
        <v/>
      </c>
      <c r="D375">
        <f>B375=C375</f>
        <v/>
      </c>
      <c r="E375">
        <f>INT(B375*10)=A375</f>
        <v/>
      </c>
      <c r="F375">
        <f>B375&gt;=C375</f>
        <v/>
      </c>
      <c r="G375">
        <f>ROUND(G374+0.1,1)</f>
        <v/>
      </c>
      <c r="H375">
        <f>G375=C375</f>
        <v/>
      </c>
      <c r="I375">
        <f>TEXT(B375,"0.00000000000000")</f>
        <v/>
      </c>
    </row>
    <row r="376">
      <c r="A376" t="n">
        <v>369</v>
      </c>
      <c r="B376">
        <f>B375+0.1</f>
        <v/>
      </c>
      <c r="C376">
        <f>A376/10</f>
        <v/>
      </c>
      <c r="D376">
        <f>B376=C376</f>
        <v/>
      </c>
      <c r="E376">
        <f>INT(B376*10)=A376</f>
        <v/>
      </c>
      <c r="F376">
        <f>B376&gt;=C376</f>
        <v/>
      </c>
      <c r="G376">
        <f>ROUND(G375+0.1,1)</f>
        <v/>
      </c>
      <c r="H376">
        <f>G376=C376</f>
        <v/>
      </c>
      <c r="I376">
        <f>TEXT(B376,"0.00000000000000")</f>
        <v/>
      </c>
    </row>
    <row r="377">
      <c r="A377" t="n">
        <v>370</v>
      </c>
      <c r="B377">
        <f>B376+0.1</f>
        <v/>
      </c>
      <c r="C377">
        <f>A377/10</f>
        <v/>
      </c>
      <c r="D377">
        <f>B377=C377</f>
        <v/>
      </c>
      <c r="E377">
        <f>INT(B377*10)=A377</f>
        <v/>
      </c>
      <c r="F377">
        <f>B377&gt;=C377</f>
        <v/>
      </c>
      <c r="G377">
        <f>ROUND(G376+0.1,1)</f>
        <v/>
      </c>
      <c r="H377">
        <f>G377=C377</f>
        <v/>
      </c>
      <c r="I377">
        <f>TEXT(B377,"0.00000000000000")</f>
        <v/>
      </c>
    </row>
    <row r="378">
      <c r="A378" t="n">
        <v>371</v>
      </c>
      <c r="B378">
        <f>B377+0.1</f>
        <v/>
      </c>
      <c r="C378">
        <f>A378/10</f>
        <v/>
      </c>
      <c r="D378">
        <f>B378=C378</f>
        <v/>
      </c>
      <c r="E378">
        <f>INT(B378*10)=A378</f>
        <v/>
      </c>
      <c r="F378">
        <f>B378&gt;=C378</f>
        <v/>
      </c>
      <c r="G378">
        <f>ROUND(G377+0.1,1)</f>
        <v/>
      </c>
      <c r="H378">
        <f>G378=C378</f>
        <v/>
      </c>
      <c r="I378">
        <f>TEXT(B378,"0.00000000000000")</f>
        <v/>
      </c>
    </row>
    <row r="379">
      <c r="A379" t="n">
        <v>372</v>
      </c>
      <c r="B379">
        <f>B378+0.1</f>
        <v/>
      </c>
      <c r="C379">
        <f>A379/10</f>
        <v/>
      </c>
      <c r="D379">
        <f>B379=C379</f>
        <v/>
      </c>
      <c r="E379">
        <f>INT(B379*10)=A379</f>
        <v/>
      </c>
      <c r="F379">
        <f>B379&gt;=C379</f>
        <v/>
      </c>
      <c r="G379">
        <f>ROUND(G378+0.1,1)</f>
        <v/>
      </c>
      <c r="H379">
        <f>G379=C379</f>
        <v/>
      </c>
      <c r="I379">
        <f>TEXT(B379,"0.00000000000000")</f>
        <v/>
      </c>
    </row>
    <row r="380">
      <c r="A380" t="n">
        <v>373</v>
      </c>
      <c r="B380">
        <f>B379+0.1</f>
        <v/>
      </c>
      <c r="C380">
        <f>A380/10</f>
        <v/>
      </c>
      <c r="D380">
        <f>B380=C380</f>
        <v/>
      </c>
      <c r="E380">
        <f>INT(B380*10)=A380</f>
        <v/>
      </c>
      <c r="F380">
        <f>B380&gt;=C380</f>
        <v/>
      </c>
      <c r="G380">
        <f>ROUND(G379+0.1,1)</f>
        <v/>
      </c>
      <c r="H380">
        <f>G380=C380</f>
        <v/>
      </c>
      <c r="I380">
        <f>TEXT(B380,"0.00000000000000")</f>
        <v/>
      </c>
    </row>
    <row r="381">
      <c r="A381" t="n">
        <v>374</v>
      </c>
      <c r="B381">
        <f>B380+0.1</f>
        <v/>
      </c>
      <c r="C381">
        <f>A381/10</f>
        <v/>
      </c>
      <c r="D381">
        <f>B381=C381</f>
        <v/>
      </c>
      <c r="E381">
        <f>INT(B381*10)=A381</f>
        <v/>
      </c>
      <c r="F381">
        <f>B381&gt;=C381</f>
        <v/>
      </c>
      <c r="G381">
        <f>ROUND(G380+0.1,1)</f>
        <v/>
      </c>
      <c r="H381">
        <f>G381=C381</f>
        <v/>
      </c>
      <c r="I381">
        <f>TEXT(B381,"0.00000000000000")</f>
        <v/>
      </c>
    </row>
    <row r="382">
      <c r="A382" t="n">
        <v>375</v>
      </c>
      <c r="B382">
        <f>B381+0.1</f>
        <v/>
      </c>
      <c r="C382">
        <f>A382/10</f>
        <v/>
      </c>
      <c r="D382">
        <f>B382=C382</f>
        <v/>
      </c>
      <c r="E382">
        <f>INT(B382*10)=A382</f>
        <v/>
      </c>
      <c r="F382">
        <f>B382&gt;=C382</f>
        <v/>
      </c>
      <c r="G382">
        <f>ROUND(G381+0.1,1)</f>
        <v/>
      </c>
      <c r="H382">
        <f>G382=C382</f>
        <v/>
      </c>
      <c r="I382">
        <f>TEXT(B382,"0.00000000000000")</f>
        <v/>
      </c>
    </row>
    <row r="383">
      <c r="A383" t="n">
        <v>376</v>
      </c>
      <c r="B383">
        <f>B382+0.1</f>
        <v/>
      </c>
      <c r="C383">
        <f>A383/10</f>
        <v/>
      </c>
      <c r="D383">
        <f>B383=C383</f>
        <v/>
      </c>
      <c r="E383">
        <f>INT(B383*10)=A383</f>
        <v/>
      </c>
      <c r="F383">
        <f>B383&gt;=C383</f>
        <v/>
      </c>
      <c r="G383">
        <f>ROUND(G382+0.1,1)</f>
        <v/>
      </c>
      <c r="H383">
        <f>G383=C383</f>
        <v/>
      </c>
      <c r="I383">
        <f>TEXT(B383,"0.00000000000000")</f>
        <v/>
      </c>
    </row>
    <row r="384">
      <c r="A384" t="n">
        <v>377</v>
      </c>
      <c r="B384">
        <f>B383+0.1</f>
        <v/>
      </c>
      <c r="C384">
        <f>A384/10</f>
        <v/>
      </c>
      <c r="D384">
        <f>B384=C384</f>
        <v/>
      </c>
      <c r="E384">
        <f>INT(B384*10)=A384</f>
        <v/>
      </c>
      <c r="F384">
        <f>B384&gt;=C384</f>
        <v/>
      </c>
      <c r="G384">
        <f>ROUND(G383+0.1,1)</f>
        <v/>
      </c>
      <c r="H384">
        <f>G384=C384</f>
        <v/>
      </c>
      <c r="I384">
        <f>TEXT(B384,"0.00000000000000")</f>
        <v/>
      </c>
    </row>
    <row r="385">
      <c r="A385" t="n">
        <v>378</v>
      </c>
      <c r="B385">
        <f>B384+0.1</f>
        <v/>
      </c>
      <c r="C385">
        <f>A385/10</f>
        <v/>
      </c>
      <c r="D385">
        <f>B385=C385</f>
        <v/>
      </c>
      <c r="E385">
        <f>INT(B385*10)=A385</f>
        <v/>
      </c>
      <c r="F385">
        <f>B385&gt;=C385</f>
        <v/>
      </c>
      <c r="G385">
        <f>ROUND(G384+0.1,1)</f>
        <v/>
      </c>
      <c r="H385">
        <f>G385=C385</f>
        <v/>
      </c>
      <c r="I385">
        <f>TEXT(B385,"0.00000000000000")</f>
        <v/>
      </c>
    </row>
    <row r="386">
      <c r="A386" t="n">
        <v>379</v>
      </c>
      <c r="B386">
        <f>B385+0.1</f>
        <v/>
      </c>
      <c r="C386">
        <f>A386/10</f>
        <v/>
      </c>
      <c r="D386">
        <f>B386=C386</f>
        <v/>
      </c>
      <c r="E386">
        <f>INT(B386*10)=A386</f>
        <v/>
      </c>
      <c r="F386">
        <f>B386&gt;=C386</f>
        <v/>
      </c>
      <c r="G386">
        <f>ROUND(G385+0.1,1)</f>
        <v/>
      </c>
      <c r="H386">
        <f>G386=C386</f>
        <v/>
      </c>
      <c r="I386">
        <f>TEXT(B386,"0.00000000000000")</f>
        <v/>
      </c>
    </row>
    <row r="387">
      <c r="A387" t="n">
        <v>380</v>
      </c>
      <c r="B387">
        <f>B386+0.1</f>
        <v/>
      </c>
      <c r="C387">
        <f>A387/10</f>
        <v/>
      </c>
      <c r="D387">
        <f>B387=C387</f>
        <v/>
      </c>
      <c r="E387">
        <f>INT(B387*10)=A387</f>
        <v/>
      </c>
      <c r="F387">
        <f>B387&gt;=C387</f>
        <v/>
      </c>
      <c r="G387">
        <f>ROUND(G386+0.1,1)</f>
        <v/>
      </c>
      <c r="H387">
        <f>G387=C387</f>
        <v/>
      </c>
      <c r="I387">
        <f>TEXT(B387,"0.00000000000000")</f>
        <v/>
      </c>
    </row>
    <row r="388">
      <c r="A388" t="n">
        <v>381</v>
      </c>
      <c r="B388">
        <f>B387+0.1</f>
        <v/>
      </c>
      <c r="C388">
        <f>A388/10</f>
        <v/>
      </c>
      <c r="D388">
        <f>B388=C388</f>
        <v/>
      </c>
      <c r="E388">
        <f>INT(B388*10)=A388</f>
        <v/>
      </c>
      <c r="F388">
        <f>B388&gt;=C388</f>
        <v/>
      </c>
      <c r="G388">
        <f>ROUND(G387+0.1,1)</f>
        <v/>
      </c>
      <c r="H388">
        <f>G388=C388</f>
        <v/>
      </c>
      <c r="I388">
        <f>TEXT(B388,"0.00000000000000")</f>
        <v/>
      </c>
    </row>
    <row r="389">
      <c r="A389" t="n">
        <v>382</v>
      </c>
      <c r="B389">
        <f>B388+0.1</f>
        <v/>
      </c>
      <c r="C389">
        <f>A389/10</f>
        <v/>
      </c>
      <c r="D389">
        <f>B389=C389</f>
        <v/>
      </c>
      <c r="E389">
        <f>INT(B389*10)=A389</f>
        <v/>
      </c>
      <c r="F389">
        <f>B389&gt;=C389</f>
        <v/>
      </c>
      <c r="G389">
        <f>ROUND(G388+0.1,1)</f>
        <v/>
      </c>
      <c r="H389">
        <f>G389=C389</f>
        <v/>
      </c>
      <c r="I389">
        <f>TEXT(B389,"0.00000000000000")</f>
        <v/>
      </c>
    </row>
    <row r="390">
      <c r="A390" t="n">
        <v>383</v>
      </c>
      <c r="B390">
        <f>B389+0.1</f>
        <v/>
      </c>
      <c r="C390">
        <f>A390/10</f>
        <v/>
      </c>
      <c r="D390">
        <f>B390=C390</f>
        <v/>
      </c>
      <c r="E390">
        <f>INT(B390*10)=A390</f>
        <v/>
      </c>
      <c r="F390">
        <f>B390&gt;=C390</f>
        <v/>
      </c>
      <c r="G390">
        <f>ROUND(G389+0.1,1)</f>
        <v/>
      </c>
      <c r="H390">
        <f>G390=C390</f>
        <v/>
      </c>
      <c r="I390">
        <f>TEXT(B390,"0.00000000000000")</f>
        <v/>
      </c>
    </row>
    <row r="391">
      <c r="A391" t="n">
        <v>384</v>
      </c>
      <c r="B391">
        <f>B390+0.1</f>
        <v/>
      </c>
      <c r="C391">
        <f>A391/10</f>
        <v/>
      </c>
      <c r="D391">
        <f>B391=C391</f>
        <v/>
      </c>
      <c r="E391">
        <f>INT(B391*10)=A391</f>
        <v/>
      </c>
      <c r="F391">
        <f>B391&gt;=C391</f>
        <v/>
      </c>
      <c r="G391">
        <f>ROUND(G390+0.1,1)</f>
        <v/>
      </c>
      <c r="H391">
        <f>G391=C391</f>
        <v/>
      </c>
      <c r="I391">
        <f>TEXT(B391,"0.00000000000000")</f>
        <v/>
      </c>
    </row>
    <row r="392">
      <c r="A392" t="n">
        <v>385</v>
      </c>
      <c r="B392">
        <f>B391+0.1</f>
        <v/>
      </c>
      <c r="C392">
        <f>A392/10</f>
        <v/>
      </c>
      <c r="D392">
        <f>B392=C392</f>
        <v/>
      </c>
      <c r="E392">
        <f>INT(B392*10)=A392</f>
        <v/>
      </c>
      <c r="F392">
        <f>B392&gt;=C392</f>
        <v/>
      </c>
      <c r="G392">
        <f>ROUND(G391+0.1,1)</f>
        <v/>
      </c>
      <c r="H392">
        <f>G392=C392</f>
        <v/>
      </c>
      <c r="I392">
        <f>TEXT(B392,"0.00000000000000")</f>
        <v/>
      </c>
    </row>
    <row r="393">
      <c r="A393" t="n">
        <v>386</v>
      </c>
      <c r="B393">
        <f>B392+0.1</f>
        <v/>
      </c>
      <c r="C393">
        <f>A393/10</f>
        <v/>
      </c>
      <c r="D393">
        <f>B393=C393</f>
        <v/>
      </c>
      <c r="E393">
        <f>INT(B393*10)=A393</f>
        <v/>
      </c>
      <c r="F393">
        <f>B393&gt;=C393</f>
        <v/>
      </c>
      <c r="G393">
        <f>ROUND(G392+0.1,1)</f>
        <v/>
      </c>
      <c r="H393">
        <f>G393=C393</f>
        <v/>
      </c>
      <c r="I393">
        <f>TEXT(B393,"0.00000000000000")</f>
        <v/>
      </c>
    </row>
    <row r="394">
      <c r="A394" t="n">
        <v>387</v>
      </c>
      <c r="B394">
        <f>B393+0.1</f>
        <v/>
      </c>
      <c r="C394">
        <f>A394/10</f>
        <v/>
      </c>
      <c r="D394">
        <f>B394=C394</f>
        <v/>
      </c>
      <c r="E394">
        <f>INT(B394*10)=A394</f>
        <v/>
      </c>
      <c r="F394">
        <f>B394&gt;=C394</f>
        <v/>
      </c>
      <c r="G394">
        <f>ROUND(G393+0.1,1)</f>
        <v/>
      </c>
      <c r="H394">
        <f>G394=C394</f>
        <v/>
      </c>
      <c r="I394">
        <f>TEXT(B394,"0.00000000000000")</f>
        <v/>
      </c>
    </row>
    <row r="395">
      <c r="A395" t="n">
        <v>388</v>
      </c>
      <c r="B395">
        <f>B394+0.1</f>
        <v/>
      </c>
      <c r="C395">
        <f>A395/10</f>
        <v/>
      </c>
      <c r="D395">
        <f>B395=C395</f>
        <v/>
      </c>
      <c r="E395">
        <f>INT(B395*10)=A395</f>
        <v/>
      </c>
      <c r="F395">
        <f>B395&gt;=C395</f>
        <v/>
      </c>
      <c r="G395">
        <f>ROUND(G394+0.1,1)</f>
        <v/>
      </c>
      <c r="H395">
        <f>G395=C395</f>
        <v/>
      </c>
      <c r="I395">
        <f>TEXT(B395,"0.00000000000000")</f>
        <v/>
      </c>
    </row>
    <row r="396">
      <c r="A396" t="n">
        <v>389</v>
      </c>
      <c r="B396">
        <f>B395+0.1</f>
        <v/>
      </c>
      <c r="C396">
        <f>A396/10</f>
        <v/>
      </c>
      <c r="D396">
        <f>B396=C396</f>
        <v/>
      </c>
      <c r="E396">
        <f>INT(B396*10)=A396</f>
        <v/>
      </c>
      <c r="F396">
        <f>B396&gt;=C396</f>
        <v/>
      </c>
      <c r="G396">
        <f>ROUND(G395+0.1,1)</f>
        <v/>
      </c>
      <c r="H396">
        <f>G396=C396</f>
        <v/>
      </c>
      <c r="I396">
        <f>TEXT(B396,"0.00000000000000")</f>
        <v/>
      </c>
    </row>
    <row r="397">
      <c r="A397" t="n">
        <v>390</v>
      </c>
      <c r="B397">
        <f>B396+0.1</f>
        <v/>
      </c>
      <c r="C397">
        <f>A397/10</f>
        <v/>
      </c>
      <c r="D397">
        <f>B397=C397</f>
        <v/>
      </c>
      <c r="E397">
        <f>INT(B397*10)=A397</f>
        <v/>
      </c>
      <c r="F397">
        <f>B397&gt;=C397</f>
        <v/>
      </c>
      <c r="G397">
        <f>ROUND(G396+0.1,1)</f>
        <v/>
      </c>
      <c r="H397">
        <f>G397=C397</f>
        <v/>
      </c>
      <c r="I397">
        <f>TEXT(B397,"0.00000000000000")</f>
        <v/>
      </c>
    </row>
    <row r="398">
      <c r="A398" t="n">
        <v>391</v>
      </c>
      <c r="B398">
        <f>B397+0.1</f>
        <v/>
      </c>
      <c r="C398">
        <f>A398/10</f>
        <v/>
      </c>
      <c r="D398">
        <f>B398=C398</f>
        <v/>
      </c>
      <c r="E398">
        <f>INT(B398*10)=A398</f>
        <v/>
      </c>
      <c r="F398">
        <f>B398&gt;=C398</f>
        <v/>
      </c>
      <c r="G398">
        <f>ROUND(G397+0.1,1)</f>
        <v/>
      </c>
      <c r="H398">
        <f>G398=C398</f>
        <v/>
      </c>
      <c r="I398">
        <f>TEXT(B398,"0.00000000000000")</f>
        <v/>
      </c>
    </row>
    <row r="399">
      <c r="A399" t="n">
        <v>392</v>
      </c>
      <c r="B399">
        <f>B398+0.1</f>
        <v/>
      </c>
      <c r="C399">
        <f>A399/10</f>
        <v/>
      </c>
      <c r="D399">
        <f>B399=C399</f>
        <v/>
      </c>
      <c r="E399">
        <f>INT(B399*10)=A399</f>
        <v/>
      </c>
      <c r="F399">
        <f>B399&gt;=C399</f>
        <v/>
      </c>
      <c r="G399">
        <f>ROUND(G398+0.1,1)</f>
        <v/>
      </c>
      <c r="H399">
        <f>G399=C399</f>
        <v/>
      </c>
      <c r="I399">
        <f>TEXT(B399,"0.00000000000000")</f>
        <v/>
      </c>
    </row>
    <row r="400">
      <c r="A400" t="n">
        <v>393</v>
      </c>
      <c r="B400">
        <f>B399+0.1</f>
        <v/>
      </c>
      <c r="C400">
        <f>A400/10</f>
        <v/>
      </c>
      <c r="D400">
        <f>B400=C400</f>
        <v/>
      </c>
      <c r="E400">
        <f>INT(B400*10)=A400</f>
        <v/>
      </c>
      <c r="F400">
        <f>B400&gt;=C400</f>
        <v/>
      </c>
      <c r="G400">
        <f>ROUND(G399+0.1,1)</f>
        <v/>
      </c>
      <c r="H400">
        <f>G400=C400</f>
        <v/>
      </c>
      <c r="I400">
        <f>TEXT(B400,"0.00000000000000")</f>
        <v/>
      </c>
    </row>
    <row r="401">
      <c r="A401" t="n">
        <v>394</v>
      </c>
      <c r="B401">
        <f>B400+0.1</f>
        <v/>
      </c>
      <c r="C401">
        <f>A401/10</f>
        <v/>
      </c>
      <c r="D401">
        <f>B401=C401</f>
        <v/>
      </c>
      <c r="E401">
        <f>INT(B401*10)=A401</f>
        <v/>
      </c>
      <c r="F401">
        <f>B401&gt;=C401</f>
        <v/>
      </c>
      <c r="G401">
        <f>ROUND(G400+0.1,1)</f>
        <v/>
      </c>
      <c r="H401">
        <f>G401=C401</f>
        <v/>
      </c>
      <c r="I401">
        <f>TEXT(B401,"0.00000000000000")</f>
        <v/>
      </c>
    </row>
    <row r="402">
      <c r="A402" t="n">
        <v>395</v>
      </c>
      <c r="B402">
        <f>B401+0.1</f>
        <v/>
      </c>
      <c r="C402">
        <f>A402/10</f>
        <v/>
      </c>
      <c r="D402">
        <f>B402=C402</f>
        <v/>
      </c>
      <c r="E402">
        <f>INT(B402*10)=A402</f>
        <v/>
      </c>
      <c r="F402">
        <f>B402&gt;=C402</f>
        <v/>
      </c>
      <c r="G402">
        <f>ROUND(G401+0.1,1)</f>
        <v/>
      </c>
      <c r="H402">
        <f>G402=C402</f>
        <v/>
      </c>
      <c r="I402">
        <f>TEXT(B402,"0.00000000000000")</f>
        <v/>
      </c>
    </row>
    <row r="403">
      <c r="A403" t="n">
        <v>396</v>
      </c>
      <c r="B403">
        <f>B402+0.1</f>
        <v/>
      </c>
      <c r="C403">
        <f>A403/10</f>
        <v/>
      </c>
      <c r="D403">
        <f>B403=C403</f>
        <v/>
      </c>
      <c r="E403">
        <f>INT(B403*10)=A403</f>
        <v/>
      </c>
      <c r="F403">
        <f>B403&gt;=C403</f>
        <v/>
      </c>
      <c r="G403">
        <f>ROUND(G402+0.1,1)</f>
        <v/>
      </c>
      <c r="H403">
        <f>G403=C403</f>
        <v/>
      </c>
      <c r="I403">
        <f>TEXT(B403,"0.00000000000000")</f>
        <v/>
      </c>
    </row>
    <row r="404">
      <c r="A404" t="n">
        <v>397</v>
      </c>
      <c r="B404">
        <f>B403+0.1</f>
        <v/>
      </c>
      <c r="C404">
        <f>A404/10</f>
        <v/>
      </c>
      <c r="D404">
        <f>B404=C404</f>
        <v/>
      </c>
      <c r="E404">
        <f>INT(B404*10)=A404</f>
        <v/>
      </c>
      <c r="F404">
        <f>B404&gt;=C404</f>
        <v/>
      </c>
      <c r="G404">
        <f>ROUND(G403+0.1,1)</f>
        <v/>
      </c>
      <c r="H404">
        <f>G404=C404</f>
        <v/>
      </c>
      <c r="I404">
        <f>TEXT(B404,"0.00000000000000")</f>
        <v/>
      </c>
    </row>
    <row r="405">
      <c r="A405" t="n">
        <v>398</v>
      </c>
      <c r="B405">
        <f>B404+0.1</f>
        <v/>
      </c>
      <c r="C405">
        <f>A405/10</f>
        <v/>
      </c>
      <c r="D405">
        <f>B405=C405</f>
        <v/>
      </c>
      <c r="E405">
        <f>INT(B405*10)=A405</f>
        <v/>
      </c>
      <c r="F405">
        <f>B405&gt;=C405</f>
        <v/>
      </c>
      <c r="G405">
        <f>ROUND(G404+0.1,1)</f>
        <v/>
      </c>
      <c r="H405">
        <f>G405=C405</f>
        <v/>
      </c>
      <c r="I405">
        <f>TEXT(B405,"0.00000000000000")</f>
        <v/>
      </c>
    </row>
    <row r="406">
      <c r="A406" t="n">
        <v>399</v>
      </c>
      <c r="B406">
        <f>B405+0.1</f>
        <v/>
      </c>
      <c r="C406">
        <f>A406/10</f>
        <v/>
      </c>
      <c r="D406">
        <f>B406=C406</f>
        <v/>
      </c>
      <c r="E406">
        <f>INT(B406*10)=A406</f>
        <v/>
      </c>
      <c r="F406">
        <f>B406&gt;=C406</f>
        <v/>
      </c>
      <c r="G406">
        <f>ROUND(G405+0.1,1)</f>
        <v/>
      </c>
      <c r="H406">
        <f>G406=C406</f>
        <v/>
      </c>
      <c r="I406">
        <f>TEXT(B406,"0.00000000000000")</f>
        <v/>
      </c>
    </row>
    <row r="407">
      <c r="A407" t="n">
        <v>400</v>
      </c>
      <c r="B407">
        <f>B406+0.1</f>
        <v/>
      </c>
      <c r="C407">
        <f>A407/10</f>
        <v/>
      </c>
      <c r="D407">
        <f>B407=C407</f>
        <v/>
      </c>
      <c r="E407">
        <f>INT(B407*10)=A407</f>
        <v/>
      </c>
      <c r="F407">
        <f>B407&gt;=C407</f>
        <v/>
      </c>
      <c r="G407">
        <f>ROUND(G406+0.1,1)</f>
        <v/>
      </c>
      <c r="H407">
        <f>G407=C407</f>
        <v/>
      </c>
      <c r="I407">
        <f>TEXT(B407,"0.00000000000000")</f>
        <v/>
      </c>
    </row>
    <row r="408">
      <c r="A408" t="n">
        <v>401</v>
      </c>
      <c r="B408">
        <f>B407+0.1</f>
        <v/>
      </c>
      <c r="C408">
        <f>A408/10</f>
        <v/>
      </c>
      <c r="D408">
        <f>B408=C408</f>
        <v/>
      </c>
      <c r="E408">
        <f>INT(B408*10)=A408</f>
        <v/>
      </c>
      <c r="F408">
        <f>B408&gt;=C408</f>
        <v/>
      </c>
      <c r="G408">
        <f>ROUND(G407+0.1,1)</f>
        <v/>
      </c>
      <c r="H408">
        <f>G408=C408</f>
        <v/>
      </c>
      <c r="I408">
        <f>TEXT(B408,"0.00000000000000")</f>
        <v/>
      </c>
    </row>
    <row r="409">
      <c r="A409" t="n">
        <v>402</v>
      </c>
      <c r="B409">
        <f>B408+0.1</f>
        <v/>
      </c>
      <c r="C409">
        <f>A409/10</f>
        <v/>
      </c>
      <c r="D409">
        <f>B409=C409</f>
        <v/>
      </c>
      <c r="E409">
        <f>INT(B409*10)=A409</f>
        <v/>
      </c>
      <c r="F409">
        <f>B409&gt;=C409</f>
        <v/>
      </c>
      <c r="G409">
        <f>ROUND(G408+0.1,1)</f>
        <v/>
      </c>
      <c r="H409">
        <f>G409=C409</f>
        <v/>
      </c>
      <c r="I409">
        <f>TEXT(B409,"0.00000000000000")</f>
        <v/>
      </c>
    </row>
    <row r="410">
      <c r="A410" t="n">
        <v>403</v>
      </c>
      <c r="B410">
        <f>B409+0.1</f>
        <v/>
      </c>
      <c r="C410">
        <f>A410/10</f>
        <v/>
      </c>
      <c r="D410">
        <f>B410=C410</f>
        <v/>
      </c>
      <c r="E410">
        <f>INT(B410*10)=A410</f>
        <v/>
      </c>
      <c r="F410">
        <f>B410&gt;=C410</f>
        <v/>
      </c>
      <c r="G410">
        <f>ROUND(G409+0.1,1)</f>
        <v/>
      </c>
      <c r="H410">
        <f>G410=C410</f>
        <v/>
      </c>
      <c r="I410">
        <f>TEXT(B410,"0.00000000000000")</f>
        <v/>
      </c>
    </row>
    <row r="411">
      <c r="A411" t="n">
        <v>404</v>
      </c>
      <c r="B411">
        <f>B410+0.1</f>
        <v/>
      </c>
      <c r="C411">
        <f>A411/10</f>
        <v/>
      </c>
      <c r="D411">
        <f>B411=C411</f>
        <v/>
      </c>
      <c r="E411">
        <f>INT(B411*10)=A411</f>
        <v/>
      </c>
      <c r="F411">
        <f>B411&gt;=C411</f>
        <v/>
      </c>
      <c r="G411">
        <f>ROUND(G410+0.1,1)</f>
        <v/>
      </c>
      <c r="H411">
        <f>G411=C411</f>
        <v/>
      </c>
      <c r="I411">
        <f>TEXT(B411,"0.00000000000000")</f>
        <v/>
      </c>
    </row>
    <row r="412">
      <c r="A412" t="n">
        <v>405</v>
      </c>
      <c r="B412">
        <f>B411+0.1</f>
        <v/>
      </c>
      <c r="C412">
        <f>A412/10</f>
        <v/>
      </c>
      <c r="D412">
        <f>B412=C412</f>
        <v/>
      </c>
      <c r="E412">
        <f>INT(B412*10)=A412</f>
        <v/>
      </c>
      <c r="F412">
        <f>B412&gt;=C412</f>
        <v/>
      </c>
      <c r="G412">
        <f>ROUND(G411+0.1,1)</f>
        <v/>
      </c>
      <c r="H412">
        <f>G412=C412</f>
        <v/>
      </c>
      <c r="I412">
        <f>TEXT(B412,"0.00000000000000")</f>
        <v/>
      </c>
    </row>
    <row r="413">
      <c r="A413" t="n">
        <v>406</v>
      </c>
      <c r="B413">
        <f>B412+0.1</f>
        <v/>
      </c>
      <c r="C413">
        <f>A413/10</f>
        <v/>
      </c>
      <c r="D413">
        <f>B413=C413</f>
        <v/>
      </c>
      <c r="E413">
        <f>INT(B413*10)=A413</f>
        <v/>
      </c>
      <c r="F413">
        <f>B413&gt;=C413</f>
        <v/>
      </c>
      <c r="G413">
        <f>ROUND(G412+0.1,1)</f>
        <v/>
      </c>
      <c r="H413">
        <f>G413=C413</f>
        <v/>
      </c>
      <c r="I413">
        <f>TEXT(B413,"0.00000000000000")</f>
        <v/>
      </c>
    </row>
    <row r="414">
      <c r="A414" t="n">
        <v>407</v>
      </c>
      <c r="B414">
        <f>B413+0.1</f>
        <v/>
      </c>
      <c r="C414">
        <f>A414/10</f>
        <v/>
      </c>
      <c r="D414">
        <f>B414=C414</f>
        <v/>
      </c>
      <c r="E414">
        <f>INT(B414*10)=A414</f>
        <v/>
      </c>
      <c r="F414">
        <f>B414&gt;=C414</f>
        <v/>
      </c>
      <c r="G414">
        <f>ROUND(G413+0.1,1)</f>
        <v/>
      </c>
      <c r="H414">
        <f>G414=C414</f>
        <v/>
      </c>
      <c r="I414">
        <f>TEXT(B414,"0.00000000000000")</f>
        <v/>
      </c>
    </row>
    <row r="415">
      <c r="A415" t="n">
        <v>408</v>
      </c>
      <c r="B415">
        <f>B414+0.1</f>
        <v/>
      </c>
      <c r="C415">
        <f>A415/10</f>
        <v/>
      </c>
      <c r="D415">
        <f>B415=C415</f>
        <v/>
      </c>
      <c r="E415">
        <f>INT(B415*10)=A415</f>
        <v/>
      </c>
      <c r="F415">
        <f>B415&gt;=C415</f>
        <v/>
      </c>
      <c r="G415">
        <f>ROUND(G414+0.1,1)</f>
        <v/>
      </c>
      <c r="H415">
        <f>G415=C415</f>
        <v/>
      </c>
      <c r="I415">
        <f>TEXT(B415,"0.00000000000000")</f>
        <v/>
      </c>
    </row>
    <row r="416">
      <c r="A416" t="n">
        <v>409</v>
      </c>
      <c r="B416">
        <f>B415+0.1</f>
        <v/>
      </c>
      <c r="C416">
        <f>A416/10</f>
        <v/>
      </c>
      <c r="D416">
        <f>B416=C416</f>
        <v/>
      </c>
      <c r="E416">
        <f>INT(B416*10)=A416</f>
        <v/>
      </c>
      <c r="F416">
        <f>B416&gt;=C416</f>
        <v/>
      </c>
      <c r="G416">
        <f>ROUND(G415+0.1,1)</f>
        <v/>
      </c>
      <c r="H416">
        <f>G416=C416</f>
        <v/>
      </c>
      <c r="I416">
        <f>TEXT(B416,"0.00000000000000")</f>
        <v/>
      </c>
    </row>
    <row r="417">
      <c r="A417" t="n">
        <v>410</v>
      </c>
      <c r="B417">
        <f>B416+0.1</f>
        <v/>
      </c>
      <c r="C417">
        <f>A417/10</f>
        <v/>
      </c>
      <c r="D417">
        <f>B417=C417</f>
        <v/>
      </c>
      <c r="E417">
        <f>INT(B417*10)=A417</f>
        <v/>
      </c>
      <c r="F417">
        <f>B417&gt;=C417</f>
        <v/>
      </c>
      <c r="G417">
        <f>ROUND(G416+0.1,1)</f>
        <v/>
      </c>
      <c r="H417">
        <f>G417=C417</f>
        <v/>
      </c>
      <c r="I417">
        <f>TEXT(B417,"0.00000000000000")</f>
        <v/>
      </c>
    </row>
    <row r="418">
      <c r="A418" t="n">
        <v>411</v>
      </c>
      <c r="B418">
        <f>B417+0.1</f>
        <v/>
      </c>
      <c r="C418">
        <f>A418/10</f>
        <v/>
      </c>
      <c r="D418">
        <f>B418=C418</f>
        <v/>
      </c>
      <c r="E418">
        <f>INT(B418*10)=A418</f>
        <v/>
      </c>
      <c r="F418">
        <f>B418&gt;=C418</f>
        <v/>
      </c>
      <c r="G418">
        <f>ROUND(G417+0.1,1)</f>
        <v/>
      </c>
      <c r="H418">
        <f>G418=C418</f>
        <v/>
      </c>
      <c r="I418">
        <f>TEXT(B418,"0.00000000000000")</f>
        <v/>
      </c>
    </row>
    <row r="419">
      <c r="A419" t="n">
        <v>412</v>
      </c>
      <c r="B419">
        <f>B418+0.1</f>
        <v/>
      </c>
      <c r="C419">
        <f>A419/10</f>
        <v/>
      </c>
      <c r="D419">
        <f>B419=C419</f>
        <v/>
      </c>
      <c r="E419">
        <f>INT(B419*10)=A419</f>
        <v/>
      </c>
      <c r="F419">
        <f>B419&gt;=C419</f>
        <v/>
      </c>
      <c r="G419">
        <f>ROUND(G418+0.1,1)</f>
        <v/>
      </c>
      <c r="H419">
        <f>G419=C419</f>
        <v/>
      </c>
      <c r="I419">
        <f>TEXT(B419,"0.00000000000000")</f>
        <v/>
      </c>
    </row>
    <row r="420">
      <c r="A420" t="n">
        <v>413</v>
      </c>
      <c r="B420">
        <f>B419+0.1</f>
        <v/>
      </c>
      <c r="C420">
        <f>A420/10</f>
        <v/>
      </c>
      <c r="D420">
        <f>B420=C420</f>
        <v/>
      </c>
      <c r="E420">
        <f>INT(B420*10)=A420</f>
        <v/>
      </c>
      <c r="F420">
        <f>B420&gt;=C420</f>
        <v/>
      </c>
      <c r="G420">
        <f>ROUND(G419+0.1,1)</f>
        <v/>
      </c>
      <c r="H420">
        <f>G420=C420</f>
        <v/>
      </c>
      <c r="I420">
        <f>TEXT(B420,"0.00000000000000")</f>
        <v/>
      </c>
    </row>
    <row r="421">
      <c r="A421" t="n">
        <v>414</v>
      </c>
      <c r="B421">
        <f>B420+0.1</f>
        <v/>
      </c>
      <c r="C421">
        <f>A421/10</f>
        <v/>
      </c>
      <c r="D421">
        <f>B421=C421</f>
        <v/>
      </c>
      <c r="E421">
        <f>INT(B421*10)=A421</f>
        <v/>
      </c>
      <c r="F421">
        <f>B421&gt;=C421</f>
        <v/>
      </c>
      <c r="G421">
        <f>ROUND(G420+0.1,1)</f>
        <v/>
      </c>
      <c r="H421">
        <f>G421=C421</f>
        <v/>
      </c>
      <c r="I421">
        <f>TEXT(B421,"0.00000000000000")</f>
        <v/>
      </c>
    </row>
    <row r="422">
      <c r="A422" t="n">
        <v>415</v>
      </c>
      <c r="B422">
        <f>B421+0.1</f>
        <v/>
      </c>
      <c r="C422">
        <f>A422/10</f>
        <v/>
      </c>
      <c r="D422">
        <f>B422=C422</f>
        <v/>
      </c>
      <c r="E422">
        <f>INT(B422*10)=A422</f>
        <v/>
      </c>
      <c r="F422">
        <f>B422&gt;=C422</f>
        <v/>
      </c>
      <c r="G422">
        <f>ROUND(G421+0.1,1)</f>
        <v/>
      </c>
      <c r="H422">
        <f>G422=C422</f>
        <v/>
      </c>
      <c r="I422">
        <f>TEXT(B422,"0.00000000000000")</f>
        <v/>
      </c>
    </row>
    <row r="423">
      <c r="A423" t="n">
        <v>416</v>
      </c>
      <c r="B423">
        <f>B422+0.1</f>
        <v/>
      </c>
      <c r="C423">
        <f>A423/10</f>
        <v/>
      </c>
      <c r="D423">
        <f>B423=C423</f>
        <v/>
      </c>
      <c r="E423">
        <f>INT(B423*10)=A423</f>
        <v/>
      </c>
      <c r="F423">
        <f>B423&gt;=C423</f>
        <v/>
      </c>
      <c r="G423">
        <f>ROUND(G422+0.1,1)</f>
        <v/>
      </c>
      <c r="H423">
        <f>G423=C423</f>
        <v/>
      </c>
      <c r="I423">
        <f>TEXT(B423,"0.00000000000000")</f>
        <v/>
      </c>
    </row>
    <row r="424">
      <c r="A424" t="n">
        <v>417</v>
      </c>
      <c r="B424">
        <f>B423+0.1</f>
        <v/>
      </c>
      <c r="C424">
        <f>A424/10</f>
        <v/>
      </c>
      <c r="D424">
        <f>B424=C424</f>
        <v/>
      </c>
      <c r="E424">
        <f>INT(B424*10)=A424</f>
        <v/>
      </c>
      <c r="F424">
        <f>B424&gt;=C424</f>
        <v/>
      </c>
      <c r="G424">
        <f>ROUND(G423+0.1,1)</f>
        <v/>
      </c>
      <c r="H424">
        <f>G424=C424</f>
        <v/>
      </c>
      <c r="I424">
        <f>TEXT(B424,"0.00000000000000")</f>
        <v/>
      </c>
    </row>
    <row r="425">
      <c r="A425" t="n">
        <v>418</v>
      </c>
      <c r="B425">
        <f>B424+0.1</f>
        <v/>
      </c>
      <c r="C425">
        <f>A425/10</f>
        <v/>
      </c>
      <c r="D425">
        <f>B425=C425</f>
        <v/>
      </c>
      <c r="E425">
        <f>INT(B425*10)=A425</f>
        <v/>
      </c>
      <c r="F425">
        <f>B425&gt;=C425</f>
        <v/>
      </c>
      <c r="G425">
        <f>ROUND(G424+0.1,1)</f>
        <v/>
      </c>
      <c r="H425">
        <f>G425=C425</f>
        <v/>
      </c>
      <c r="I425">
        <f>TEXT(B425,"0.00000000000000")</f>
        <v/>
      </c>
    </row>
    <row r="426">
      <c r="A426" t="n">
        <v>419</v>
      </c>
      <c r="B426">
        <f>B425+0.1</f>
        <v/>
      </c>
      <c r="C426">
        <f>A426/10</f>
        <v/>
      </c>
      <c r="D426">
        <f>B426=C426</f>
        <v/>
      </c>
      <c r="E426">
        <f>INT(B426*10)=A426</f>
        <v/>
      </c>
      <c r="F426">
        <f>B426&gt;=C426</f>
        <v/>
      </c>
      <c r="G426">
        <f>ROUND(G425+0.1,1)</f>
        <v/>
      </c>
      <c r="H426">
        <f>G426=C426</f>
        <v/>
      </c>
      <c r="I426">
        <f>TEXT(B426,"0.00000000000000")</f>
        <v/>
      </c>
    </row>
    <row r="427">
      <c r="A427" t="n">
        <v>420</v>
      </c>
      <c r="B427">
        <f>B426+0.1</f>
        <v/>
      </c>
      <c r="C427">
        <f>A427/10</f>
        <v/>
      </c>
      <c r="D427">
        <f>B427=C427</f>
        <v/>
      </c>
      <c r="E427">
        <f>INT(B427*10)=A427</f>
        <v/>
      </c>
      <c r="F427">
        <f>B427&gt;=C427</f>
        <v/>
      </c>
      <c r="G427">
        <f>ROUND(G426+0.1,1)</f>
        <v/>
      </c>
      <c r="H427">
        <f>G427=C427</f>
        <v/>
      </c>
      <c r="I427">
        <f>TEXT(B427,"0.00000000000000")</f>
        <v/>
      </c>
    </row>
    <row r="428">
      <c r="A428" t="n">
        <v>421</v>
      </c>
      <c r="B428">
        <f>B427+0.1</f>
        <v/>
      </c>
      <c r="C428">
        <f>A428/10</f>
        <v/>
      </c>
      <c r="D428">
        <f>B428=C428</f>
        <v/>
      </c>
      <c r="E428">
        <f>INT(B428*10)=A428</f>
        <v/>
      </c>
      <c r="F428">
        <f>B428&gt;=C428</f>
        <v/>
      </c>
      <c r="G428">
        <f>ROUND(G427+0.1,1)</f>
        <v/>
      </c>
      <c r="H428">
        <f>G428=C428</f>
        <v/>
      </c>
      <c r="I428">
        <f>TEXT(B428,"0.00000000000000")</f>
        <v/>
      </c>
    </row>
    <row r="429">
      <c r="A429" t="n">
        <v>422</v>
      </c>
      <c r="B429">
        <f>B428+0.1</f>
        <v/>
      </c>
      <c r="C429">
        <f>A429/10</f>
        <v/>
      </c>
      <c r="D429">
        <f>B429=C429</f>
        <v/>
      </c>
      <c r="E429">
        <f>INT(B429*10)=A429</f>
        <v/>
      </c>
      <c r="F429">
        <f>B429&gt;=C429</f>
        <v/>
      </c>
      <c r="G429">
        <f>ROUND(G428+0.1,1)</f>
        <v/>
      </c>
      <c r="H429">
        <f>G429=C429</f>
        <v/>
      </c>
      <c r="I429">
        <f>TEXT(B429,"0.00000000000000")</f>
        <v/>
      </c>
    </row>
    <row r="430">
      <c r="A430" t="n">
        <v>423</v>
      </c>
      <c r="B430">
        <f>B429+0.1</f>
        <v/>
      </c>
      <c r="C430">
        <f>A430/10</f>
        <v/>
      </c>
      <c r="D430">
        <f>B430=C430</f>
        <v/>
      </c>
      <c r="E430">
        <f>INT(B430*10)=A430</f>
        <v/>
      </c>
      <c r="F430">
        <f>B430&gt;=C430</f>
        <v/>
      </c>
      <c r="G430">
        <f>ROUND(G429+0.1,1)</f>
        <v/>
      </c>
      <c r="H430">
        <f>G430=C430</f>
        <v/>
      </c>
      <c r="I430">
        <f>TEXT(B430,"0.00000000000000")</f>
        <v/>
      </c>
    </row>
    <row r="431">
      <c r="A431" t="n">
        <v>424</v>
      </c>
      <c r="B431">
        <f>B430+0.1</f>
        <v/>
      </c>
      <c r="C431">
        <f>A431/10</f>
        <v/>
      </c>
      <c r="D431">
        <f>B431=C431</f>
        <v/>
      </c>
      <c r="E431">
        <f>INT(B431*10)=A431</f>
        <v/>
      </c>
      <c r="F431">
        <f>B431&gt;=C431</f>
        <v/>
      </c>
      <c r="G431">
        <f>ROUND(G430+0.1,1)</f>
        <v/>
      </c>
      <c r="H431">
        <f>G431=C431</f>
        <v/>
      </c>
      <c r="I431">
        <f>TEXT(B431,"0.00000000000000")</f>
        <v/>
      </c>
    </row>
    <row r="432">
      <c r="A432" t="n">
        <v>425</v>
      </c>
      <c r="B432">
        <f>B431+0.1</f>
        <v/>
      </c>
      <c r="C432">
        <f>A432/10</f>
        <v/>
      </c>
      <c r="D432">
        <f>B432=C432</f>
        <v/>
      </c>
      <c r="E432">
        <f>INT(B432*10)=A432</f>
        <v/>
      </c>
      <c r="F432">
        <f>B432&gt;=C432</f>
        <v/>
      </c>
      <c r="G432">
        <f>ROUND(G431+0.1,1)</f>
        <v/>
      </c>
      <c r="H432">
        <f>G432=C432</f>
        <v/>
      </c>
      <c r="I432">
        <f>TEXT(B432,"0.00000000000000")</f>
        <v/>
      </c>
    </row>
    <row r="433">
      <c r="A433" t="n">
        <v>426</v>
      </c>
      <c r="B433">
        <f>B432+0.1</f>
        <v/>
      </c>
      <c r="C433">
        <f>A433/10</f>
        <v/>
      </c>
      <c r="D433">
        <f>B433=C433</f>
        <v/>
      </c>
      <c r="E433">
        <f>INT(B433*10)=A433</f>
        <v/>
      </c>
      <c r="F433">
        <f>B433&gt;=C433</f>
        <v/>
      </c>
      <c r="G433">
        <f>ROUND(G432+0.1,1)</f>
        <v/>
      </c>
      <c r="H433">
        <f>G433=C433</f>
        <v/>
      </c>
      <c r="I433">
        <f>TEXT(B433,"0.00000000000000")</f>
        <v/>
      </c>
    </row>
    <row r="434">
      <c r="A434" t="n">
        <v>427</v>
      </c>
      <c r="B434">
        <f>B433+0.1</f>
        <v/>
      </c>
      <c r="C434">
        <f>A434/10</f>
        <v/>
      </c>
      <c r="D434">
        <f>B434=C434</f>
        <v/>
      </c>
      <c r="E434">
        <f>INT(B434*10)=A434</f>
        <v/>
      </c>
      <c r="F434">
        <f>B434&gt;=C434</f>
        <v/>
      </c>
      <c r="G434">
        <f>ROUND(G433+0.1,1)</f>
        <v/>
      </c>
      <c r="H434">
        <f>G434=C434</f>
        <v/>
      </c>
      <c r="I434">
        <f>TEXT(B434,"0.00000000000000")</f>
        <v/>
      </c>
    </row>
    <row r="435">
      <c r="A435" t="n">
        <v>428</v>
      </c>
      <c r="B435">
        <f>B434+0.1</f>
        <v/>
      </c>
      <c r="C435">
        <f>A435/10</f>
        <v/>
      </c>
      <c r="D435">
        <f>B435=C435</f>
        <v/>
      </c>
      <c r="E435">
        <f>INT(B435*10)=A435</f>
        <v/>
      </c>
      <c r="F435">
        <f>B435&gt;=C435</f>
        <v/>
      </c>
      <c r="G435">
        <f>ROUND(G434+0.1,1)</f>
        <v/>
      </c>
      <c r="H435">
        <f>G435=C435</f>
        <v/>
      </c>
      <c r="I435">
        <f>TEXT(B435,"0.00000000000000")</f>
        <v/>
      </c>
    </row>
    <row r="436">
      <c r="A436" t="n">
        <v>429</v>
      </c>
      <c r="B436">
        <f>B435+0.1</f>
        <v/>
      </c>
      <c r="C436">
        <f>A436/10</f>
        <v/>
      </c>
      <c r="D436">
        <f>B436=C436</f>
        <v/>
      </c>
      <c r="E436">
        <f>INT(B436*10)=A436</f>
        <v/>
      </c>
      <c r="F436">
        <f>B436&gt;=C436</f>
        <v/>
      </c>
      <c r="G436">
        <f>ROUND(G435+0.1,1)</f>
        <v/>
      </c>
      <c r="H436">
        <f>G436=C436</f>
        <v/>
      </c>
      <c r="I436">
        <f>TEXT(B436,"0.00000000000000")</f>
        <v/>
      </c>
    </row>
    <row r="437">
      <c r="A437" t="n">
        <v>430</v>
      </c>
      <c r="B437">
        <f>B436+0.1</f>
        <v/>
      </c>
      <c r="C437">
        <f>A437/10</f>
        <v/>
      </c>
      <c r="D437">
        <f>B437=C437</f>
        <v/>
      </c>
      <c r="E437">
        <f>INT(B437*10)=A437</f>
        <v/>
      </c>
      <c r="F437">
        <f>B437&gt;=C437</f>
        <v/>
      </c>
      <c r="G437">
        <f>ROUND(G436+0.1,1)</f>
        <v/>
      </c>
      <c r="H437">
        <f>G437=C437</f>
        <v/>
      </c>
      <c r="I437">
        <f>TEXT(B437,"0.00000000000000")</f>
        <v/>
      </c>
    </row>
    <row r="438">
      <c r="A438" t="n">
        <v>431</v>
      </c>
      <c r="B438">
        <f>B437+0.1</f>
        <v/>
      </c>
      <c r="C438">
        <f>A438/10</f>
        <v/>
      </c>
      <c r="D438">
        <f>B438=C438</f>
        <v/>
      </c>
      <c r="E438">
        <f>INT(B438*10)=A438</f>
        <v/>
      </c>
      <c r="F438">
        <f>B438&gt;=C438</f>
        <v/>
      </c>
      <c r="G438">
        <f>ROUND(G437+0.1,1)</f>
        <v/>
      </c>
      <c r="H438">
        <f>G438=C438</f>
        <v/>
      </c>
      <c r="I438">
        <f>TEXT(B438,"0.00000000000000")</f>
        <v/>
      </c>
    </row>
    <row r="439">
      <c r="A439" t="n">
        <v>432</v>
      </c>
      <c r="B439">
        <f>B438+0.1</f>
        <v/>
      </c>
      <c r="C439">
        <f>A439/10</f>
        <v/>
      </c>
      <c r="D439">
        <f>B439=C439</f>
        <v/>
      </c>
      <c r="E439">
        <f>INT(B439*10)=A439</f>
        <v/>
      </c>
      <c r="F439">
        <f>B439&gt;=C439</f>
        <v/>
      </c>
      <c r="G439">
        <f>ROUND(G438+0.1,1)</f>
        <v/>
      </c>
      <c r="H439">
        <f>G439=C439</f>
        <v/>
      </c>
      <c r="I439">
        <f>TEXT(B439,"0.00000000000000")</f>
        <v/>
      </c>
    </row>
    <row r="440">
      <c r="A440" t="n">
        <v>433</v>
      </c>
      <c r="B440">
        <f>B439+0.1</f>
        <v/>
      </c>
      <c r="C440">
        <f>A440/10</f>
        <v/>
      </c>
      <c r="D440">
        <f>B440=C440</f>
        <v/>
      </c>
      <c r="E440">
        <f>INT(B440*10)=A440</f>
        <v/>
      </c>
      <c r="F440">
        <f>B440&gt;=C440</f>
        <v/>
      </c>
      <c r="G440">
        <f>ROUND(G439+0.1,1)</f>
        <v/>
      </c>
      <c r="H440">
        <f>G440=C440</f>
        <v/>
      </c>
      <c r="I440">
        <f>TEXT(B440,"0.00000000000000")</f>
        <v/>
      </c>
    </row>
    <row r="441">
      <c r="A441" t="n">
        <v>434</v>
      </c>
      <c r="B441">
        <f>B440+0.1</f>
        <v/>
      </c>
      <c r="C441">
        <f>A441/10</f>
        <v/>
      </c>
      <c r="D441">
        <f>B441=C441</f>
        <v/>
      </c>
      <c r="E441">
        <f>INT(B441*10)=A441</f>
        <v/>
      </c>
      <c r="F441">
        <f>B441&gt;=C441</f>
        <v/>
      </c>
      <c r="G441">
        <f>ROUND(G440+0.1,1)</f>
        <v/>
      </c>
      <c r="H441">
        <f>G441=C441</f>
        <v/>
      </c>
      <c r="I441">
        <f>TEXT(B441,"0.00000000000000")</f>
        <v/>
      </c>
    </row>
    <row r="442">
      <c r="A442" t="n">
        <v>435</v>
      </c>
      <c r="B442">
        <f>B441+0.1</f>
        <v/>
      </c>
      <c r="C442">
        <f>A442/10</f>
        <v/>
      </c>
      <c r="D442">
        <f>B442=C442</f>
        <v/>
      </c>
      <c r="E442">
        <f>INT(B442*10)=A442</f>
        <v/>
      </c>
      <c r="F442">
        <f>B442&gt;=C442</f>
        <v/>
      </c>
      <c r="G442">
        <f>ROUND(G441+0.1,1)</f>
        <v/>
      </c>
      <c r="H442">
        <f>G442=C442</f>
        <v/>
      </c>
      <c r="I442">
        <f>TEXT(B442,"0.00000000000000")</f>
        <v/>
      </c>
    </row>
    <row r="443">
      <c r="A443" t="n">
        <v>436</v>
      </c>
      <c r="B443">
        <f>B442+0.1</f>
        <v/>
      </c>
      <c r="C443">
        <f>A443/10</f>
        <v/>
      </c>
      <c r="D443">
        <f>B443=C443</f>
        <v/>
      </c>
      <c r="E443">
        <f>INT(B443*10)=A443</f>
        <v/>
      </c>
      <c r="F443">
        <f>B443&gt;=C443</f>
        <v/>
      </c>
      <c r="G443">
        <f>ROUND(G442+0.1,1)</f>
        <v/>
      </c>
      <c r="H443">
        <f>G443=C443</f>
        <v/>
      </c>
      <c r="I443">
        <f>TEXT(B443,"0.00000000000000")</f>
        <v/>
      </c>
    </row>
    <row r="444">
      <c r="A444" t="n">
        <v>437</v>
      </c>
      <c r="B444">
        <f>B443+0.1</f>
        <v/>
      </c>
      <c r="C444">
        <f>A444/10</f>
        <v/>
      </c>
      <c r="D444">
        <f>B444=C444</f>
        <v/>
      </c>
      <c r="E444">
        <f>INT(B444*10)=A444</f>
        <v/>
      </c>
      <c r="F444">
        <f>B444&gt;=C444</f>
        <v/>
      </c>
      <c r="G444">
        <f>ROUND(G443+0.1,1)</f>
        <v/>
      </c>
      <c r="H444">
        <f>G444=C444</f>
        <v/>
      </c>
      <c r="I444">
        <f>TEXT(B444,"0.00000000000000")</f>
        <v/>
      </c>
    </row>
    <row r="445">
      <c r="A445" t="n">
        <v>438</v>
      </c>
      <c r="B445">
        <f>B444+0.1</f>
        <v/>
      </c>
      <c r="C445">
        <f>A445/10</f>
        <v/>
      </c>
      <c r="D445">
        <f>B445=C445</f>
        <v/>
      </c>
      <c r="E445">
        <f>INT(B445*10)=A445</f>
        <v/>
      </c>
      <c r="F445">
        <f>B445&gt;=C445</f>
        <v/>
      </c>
      <c r="G445">
        <f>ROUND(G444+0.1,1)</f>
        <v/>
      </c>
      <c r="H445">
        <f>G445=C445</f>
        <v/>
      </c>
      <c r="I445">
        <f>TEXT(B445,"0.00000000000000")</f>
        <v/>
      </c>
    </row>
    <row r="446">
      <c r="A446" t="n">
        <v>439</v>
      </c>
      <c r="B446">
        <f>B445+0.1</f>
        <v/>
      </c>
      <c r="C446">
        <f>A446/10</f>
        <v/>
      </c>
      <c r="D446">
        <f>B446=C446</f>
        <v/>
      </c>
      <c r="E446">
        <f>INT(B446*10)=A446</f>
        <v/>
      </c>
      <c r="F446">
        <f>B446&gt;=C446</f>
        <v/>
      </c>
      <c r="G446">
        <f>ROUND(G445+0.1,1)</f>
        <v/>
      </c>
      <c r="H446">
        <f>G446=C446</f>
        <v/>
      </c>
      <c r="I446">
        <f>TEXT(B446,"0.00000000000000")</f>
        <v/>
      </c>
    </row>
    <row r="447">
      <c r="A447" t="n">
        <v>440</v>
      </c>
      <c r="B447">
        <f>B446+0.1</f>
        <v/>
      </c>
      <c r="C447">
        <f>A447/10</f>
        <v/>
      </c>
      <c r="D447">
        <f>B447=C447</f>
        <v/>
      </c>
      <c r="E447">
        <f>INT(B447*10)=A447</f>
        <v/>
      </c>
      <c r="F447">
        <f>B447&gt;=C447</f>
        <v/>
      </c>
      <c r="G447">
        <f>ROUND(G446+0.1,1)</f>
        <v/>
      </c>
      <c r="H447">
        <f>G447=C447</f>
        <v/>
      </c>
      <c r="I447">
        <f>TEXT(B447,"0.00000000000000")</f>
        <v/>
      </c>
    </row>
    <row r="448">
      <c r="A448" t="n">
        <v>441</v>
      </c>
      <c r="B448">
        <f>B447+0.1</f>
        <v/>
      </c>
      <c r="C448">
        <f>A448/10</f>
        <v/>
      </c>
      <c r="D448">
        <f>B448=C448</f>
        <v/>
      </c>
      <c r="E448">
        <f>INT(B448*10)=A448</f>
        <v/>
      </c>
      <c r="F448">
        <f>B448&gt;=C448</f>
        <v/>
      </c>
      <c r="G448">
        <f>ROUND(G447+0.1,1)</f>
        <v/>
      </c>
      <c r="H448">
        <f>G448=C448</f>
        <v/>
      </c>
      <c r="I448">
        <f>TEXT(B448,"0.00000000000000")</f>
        <v/>
      </c>
    </row>
    <row r="449">
      <c r="A449" t="n">
        <v>442</v>
      </c>
      <c r="B449">
        <f>B448+0.1</f>
        <v/>
      </c>
      <c r="C449">
        <f>A449/10</f>
        <v/>
      </c>
      <c r="D449">
        <f>B449=C449</f>
        <v/>
      </c>
      <c r="E449">
        <f>INT(B449*10)=A449</f>
        <v/>
      </c>
      <c r="F449">
        <f>B449&gt;=C449</f>
        <v/>
      </c>
      <c r="G449">
        <f>ROUND(G448+0.1,1)</f>
        <v/>
      </c>
      <c r="H449">
        <f>G449=C449</f>
        <v/>
      </c>
      <c r="I449">
        <f>TEXT(B449,"0.00000000000000")</f>
        <v/>
      </c>
    </row>
    <row r="450">
      <c r="A450" t="n">
        <v>443</v>
      </c>
      <c r="B450">
        <f>B449+0.1</f>
        <v/>
      </c>
      <c r="C450">
        <f>A450/10</f>
        <v/>
      </c>
      <c r="D450">
        <f>B450=C450</f>
        <v/>
      </c>
      <c r="E450">
        <f>INT(B450*10)=A450</f>
        <v/>
      </c>
      <c r="F450">
        <f>B450&gt;=C450</f>
        <v/>
      </c>
      <c r="G450">
        <f>ROUND(G449+0.1,1)</f>
        <v/>
      </c>
      <c r="H450">
        <f>G450=C450</f>
        <v/>
      </c>
      <c r="I450">
        <f>TEXT(B450,"0.00000000000000")</f>
        <v/>
      </c>
    </row>
    <row r="451">
      <c r="A451" t="n">
        <v>444</v>
      </c>
      <c r="B451">
        <f>B450+0.1</f>
        <v/>
      </c>
      <c r="C451">
        <f>A451/10</f>
        <v/>
      </c>
      <c r="D451">
        <f>B451=C451</f>
        <v/>
      </c>
      <c r="E451">
        <f>INT(B451*10)=A451</f>
        <v/>
      </c>
      <c r="F451">
        <f>B451&gt;=C451</f>
        <v/>
      </c>
      <c r="G451">
        <f>ROUND(G450+0.1,1)</f>
        <v/>
      </c>
      <c r="H451">
        <f>G451=C451</f>
        <v/>
      </c>
      <c r="I451">
        <f>TEXT(B451,"0.00000000000000")</f>
        <v/>
      </c>
    </row>
    <row r="452">
      <c r="A452" t="n">
        <v>445</v>
      </c>
      <c r="B452">
        <f>B451+0.1</f>
        <v/>
      </c>
      <c r="C452">
        <f>A452/10</f>
        <v/>
      </c>
      <c r="D452">
        <f>B452=C452</f>
        <v/>
      </c>
      <c r="E452">
        <f>INT(B452*10)=A452</f>
        <v/>
      </c>
      <c r="F452">
        <f>B452&gt;=C452</f>
        <v/>
      </c>
      <c r="G452">
        <f>ROUND(G451+0.1,1)</f>
        <v/>
      </c>
      <c r="H452">
        <f>G452=C452</f>
        <v/>
      </c>
      <c r="I452">
        <f>TEXT(B452,"0.00000000000000")</f>
        <v/>
      </c>
    </row>
    <row r="453">
      <c r="A453" t="n">
        <v>446</v>
      </c>
      <c r="B453">
        <f>B452+0.1</f>
        <v/>
      </c>
      <c r="C453">
        <f>A453/10</f>
        <v/>
      </c>
      <c r="D453">
        <f>B453=C453</f>
        <v/>
      </c>
      <c r="E453">
        <f>INT(B453*10)=A453</f>
        <v/>
      </c>
      <c r="F453">
        <f>B453&gt;=C453</f>
        <v/>
      </c>
      <c r="G453">
        <f>ROUND(G452+0.1,1)</f>
        <v/>
      </c>
      <c r="H453">
        <f>G453=C453</f>
        <v/>
      </c>
      <c r="I453">
        <f>TEXT(B453,"0.00000000000000")</f>
        <v/>
      </c>
    </row>
    <row r="454">
      <c r="A454" t="n">
        <v>447</v>
      </c>
      <c r="B454">
        <f>B453+0.1</f>
        <v/>
      </c>
      <c r="C454">
        <f>A454/10</f>
        <v/>
      </c>
      <c r="D454">
        <f>B454=C454</f>
        <v/>
      </c>
      <c r="E454">
        <f>INT(B454*10)=A454</f>
        <v/>
      </c>
      <c r="F454">
        <f>B454&gt;=C454</f>
        <v/>
      </c>
      <c r="G454">
        <f>ROUND(G453+0.1,1)</f>
        <v/>
      </c>
      <c r="H454">
        <f>G454=C454</f>
        <v/>
      </c>
      <c r="I454">
        <f>TEXT(B454,"0.00000000000000")</f>
        <v/>
      </c>
    </row>
    <row r="455">
      <c r="A455" t="n">
        <v>448</v>
      </c>
      <c r="B455">
        <f>B454+0.1</f>
        <v/>
      </c>
      <c r="C455">
        <f>A455/10</f>
        <v/>
      </c>
      <c r="D455">
        <f>B455=C455</f>
        <v/>
      </c>
      <c r="E455">
        <f>INT(B455*10)=A455</f>
        <v/>
      </c>
      <c r="F455">
        <f>B455&gt;=C455</f>
        <v/>
      </c>
      <c r="G455">
        <f>ROUND(G454+0.1,1)</f>
        <v/>
      </c>
      <c r="H455">
        <f>G455=C455</f>
        <v/>
      </c>
      <c r="I455">
        <f>TEXT(B455,"0.00000000000000")</f>
        <v/>
      </c>
    </row>
    <row r="456">
      <c r="A456" t="n">
        <v>449</v>
      </c>
      <c r="B456">
        <f>B455+0.1</f>
        <v/>
      </c>
      <c r="C456">
        <f>A456/10</f>
        <v/>
      </c>
      <c r="D456">
        <f>B456=C456</f>
        <v/>
      </c>
      <c r="E456">
        <f>INT(B456*10)=A456</f>
        <v/>
      </c>
      <c r="F456">
        <f>B456&gt;=C456</f>
        <v/>
      </c>
      <c r="G456">
        <f>ROUND(G455+0.1,1)</f>
        <v/>
      </c>
      <c r="H456">
        <f>G456=C456</f>
        <v/>
      </c>
      <c r="I456">
        <f>TEXT(B456,"0.00000000000000")</f>
        <v/>
      </c>
    </row>
    <row r="457">
      <c r="A457" t="n">
        <v>450</v>
      </c>
      <c r="B457">
        <f>B456+0.1</f>
        <v/>
      </c>
      <c r="C457">
        <f>A457/10</f>
        <v/>
      </c>
      <c r="D457">
        <f>B457=C457</f>
        <v/>
      </c>
      <c r="E457">
        <f>INT(B457*10)=A457</f>
        <v/>
      </c>
      <c r="F457">
        <f>B457&gt;=C457</f>
        <v/>
      </c>
      <c r="G457">
        <f>ROUND(G456+0.1,1)</f>
        <v/>
      </c>
      <c r="H457">
        <f>G457=C457</f>
        <v/>
      </c>
      <c r="I457">
        <f>TEXT(B457,"0.00000000000000")</f>
        <v/>
      </c>
    </row>
    <row r="458">
      <c r="A458" t="n">
        <v>451</v>
      </c>
      <c r="B458">
        <f>B457+0.1</f>
        <v/>
      </c>
      <c r="C458">
        <f>A458/10</f>
        <v/>
      </c>
      <c r="D458">
        <f>B458=C458</f>
        <v/>
      </c>
      <c r="E458">
        <f>INT(B458*10)=A458</f>
        <v/>
      </c>
      <c r="F458">
        <f>B458&gt;=C458</f>
        <v/>
      </c>
      <c r="G458">
        <f>ROUND(G457+0.1,1)</f>
        <v/>
      </c>
      <c r="H458">
        <f>G458=C458</f>
        <v/>
      </c>
      <c r="I458">
        <f>TEXT(B458,"0.00000000000000")</f>
        <v/>
      </c>
    </row>
    <row r="459">
      <c r="A459" t="n">
        <v>452</v>
      </c>
      <c r="B459">
        <f>B458+0.1</f>
        <v/>
      </c>
      <c r="C459">
        <f>A459/10</f>
        <v/>
      </c>
      <c r="D459">
        <f>B459=C459</f>
        <v/>
      </c>
      <c r="E459">
        <f>INT(B459*10)=A459</f>
        <v/>
      </c>
      <c r="F459">
        <f>B459&gt;=C459</f>
        <v/>
      </c>
      <c r="G459">
        <f>ROUND(G458+0.1,1)</f>
        <v/>
      </c>
      <c r="H459">
        <f>G459=C459</f>
        <v/>
      </c>
      <c r="I459">
        <f>TEXT(B459,"0.00000000000000")</f>
        <v/>
      </c>
    </row>
    <row r="460">
      <c r="A460" t="n">
        <v>453</v>
      </c>
      <c r="B460">
        <f>B459+0.1</f>
        <v/>
      </c>
      <c r="C460">
        <f>A460/10</f>
        <v/>
      </c>
      <c r="D460">
        <f>B460=C460</f>
        <v/>
      </c>
      <c r="E460">
        <f>INT(B460*10)=A460</f>
        <v/>
      </c>
      <c r="F460">
        <f>B460&gt;=C460</f>
        <v/>
      </c>
      <c r="G460">
        <f>ROUND(G459+0.1,1)</f>
        <v/>
      </c>
      <c r="H460">
        <f>G460=C460</f>
        <v/>
      </c>
      <c r="I460">
        <f>TEXT(B460,"0.00000000000000")</f>
        <v/>
      </c>
    </row>
    <row r="461">
      <c r="A461" t="n">
        <v>454</v>
      </c>
      <c r="B461">
        <f>B460+0.1</f>
        <v/>
      </c>
      <c r="C461">
        <f>A461/10</f>
        <v/>
      </c>
      <c r="D461">
        <f>B461=C461</f>
        <v/>
      </c>
      <c r="E461">
        <f>INT(B461*10)=A461</f>
        <v/>
      </c>
      <c r="F461">
        <f>B461&gt;=C461</f>
        <v/>
      </c>
      <c r="G461">
        <f>ROUND(G460+0.1,1)</f>
        <v/>
      </c>
      <c r="H461">
        <f>G461=C461</f>
        <v/>
      </c>
      <c r="I461">
        <f>TEXT(B461,"0.00000000000000")</f>
        <v/>
      </c>
    </row>
    <row r="462">
      <c r="A462" t="n">
        <v>455</v>
      </c>
      <c r="B462">
        <f>B461+0.1</f>
        <v/>
      </c>
      <c r="C462">
        <f>A462/10</f>
        <v/>
      </c>
      <c r="D462">
        <f>B462=C462</f>
        <v/>
      </c>
      <c r="E462">
        <f>INT(B462*10)=A462</f>
        <v/>
      </c>
      <c r="F462">
        <f>B462&gt;=C462</f>
        <v/>
      </c>
      <c r="G462">
        <f>ROUND(G461+0.1,1)</f>
        <v/>
      </c>
      <c r="H462">
        <f>G462=C462</f>
        <v/>
      </c>
      <c r="I462">
        <f>TEXT(B462,"0.00000000000000")</f>
        <v/>
      </c>
    </row>
    <row r="463">
      <c r="A463" t="n">
        <v>456</v>
      </c>
      <c r="B463">
        <f>B462+0.1</f>
        <v/>
      </c>
      <c r="C463">
        <f>A463/10</f>
        <v/>
      </c>
      <c r="D463">
        <f>B463=C463</f>
        <v/>
      </c>
      <c r="E463">
        <f>INT(B463*10)=A463</f>
        <v/>
      </c>
      <c r="F463">
        <f>B463&gt;=C463</f>
        <v/>
      </c>
      <c r="G463">
        <f>ROUND(G462+0.1,1)</f>
        <v/>
      </c>
      <c r="H463">
        <f>G463=C463</f>
        <v/>
      </c>
      <c r="I463">
        <f>TEXT(B463,"0.00000000000000")</f>
        <v/>
      </c>
    </row>
    <row r="464">
      <c r="A464" t="n">
        <v>457</v>
      </c>
      <c r="B464">
        <f>B463+0.1</f>
        <v/>
      </c>
      <c r="C464">
        <f>A464/10</f>
        <v/>
      </c>
      <c r="D464">
        <f>B464=C464</f>
        <v/>
      </c>
      <c r="E464">
        <f>INT(B464*10)=A464</f>
        <v/>
      </c>
      <c r="F464">
        <f>B464&gt;=C464</f>
        <v/>
      </c>
      <c r="G464">
        <f>ROUND(G463+0.1,1)</f>
        <v/>
      </c>
      <c r="H464">
        <f>G464=C464</f>
        <v/>
      </c>
      <c r="I464">
        <f>TEXT(B464,"0.00000000000000")</f>
        <v/>
      </c>
    </row>
    <row r="465">
      <c r="A465" t="n">
        <v>458</v>
      </c>
      <c r="B465">
        <f>B464+0.1</f>
        <v/>
      </c>
      <c r="C465">
        <f>A465/10</f>
        <v/>
      </c>
      <c r="D465">
        <f>B465=C465</f>
        <v/>
      </c>
      <c r="E465">
        <f>INT(B465*10)=A465</f>
        <v/>
      </c>
      <c r="F465">
        <f>B465&gt;=C465</f>
        <v/>
      </c>
      <c r="G465">
        <f>ROUND(G464+0.1,1)</f>
        <v/>
      </c>
      <c r="H465">
        <f>G465=C465</f>
        <v/>
      </c>
      <c r="I465">
        <f>TEXT(B465,"0.00000000000000")</f>
        <v/>
      </c>
    </row>
    <row r="466">
      <c r="A466" t="n">
        <v>459</v>
      </c>
      <c r="B466">
        <f>B465+0.1</f>
        <v/>
      </c>
      <c r="C466">
        <f>A466/10</f>
        <v/>
      </c>
      <c r="D466">
        <f>B466=C466</f>
        <v/>
      </c>
      <c r="E466">
        <f>INT(B466*10)=A466</f>
        <v/>
      </c>
      <c r="F466">
        <f>B466&gt;=C466</f>
        <v/>
      </c>
      <c r="G466">
        <f>ROUND(G465+0.1,1)</f>
        <v/>
      </c>
      <c r="H466">
        <f>G466=C466</f>
        <v/>
      </c>
      <c r="I466">
        <f>TEXT(B466,"0.00000000000000")</f>
        <v/>
      </c>
    </row>
    <row r="467">
      <c r="A467" t="n">
        <v>460</v>
      </c>
      <c r="B467">
        <f>B466+0.1</f>
        <v/>
      </c>
      <c r="C467">
        <f>A467/10</f>
        <v/>
      </c>
      <c r="D467">
        <f>B467=C467</f>
        <v/>
      </c>
      <c r="E467">
        <f>INT(B467*10)=A467</f>
        <v/>
      </c>
      <c r="F467">
        <f>B467&gt;=C467</f>
        <v/>
      </c>
      <c r="G467">
        <f>ROUND(G466+0.1,1)</f>
        <v/>
      </c>
      <c r="H467">
        <f>G467=C467</f>
        <v/>
      </c>
      <c r="I467">
        <f>TEXT(B467,"0.00000000000000")</f>
        <v/>
      </c>
    </row>
    <row r="468">
      <c r="A468" t="n">
        <v>461</v>
      </c>
      <c r="B468">
        <f>B467+0.1</f>
        <v/>
      </c>
      <c r="C468">
        <f>A468/10</f>
        <v/>
      </c>
      <c r="D468">
        <f>B468=C468</f>
        <v/>
      </c>
      <c r="E468">
        <f>INT(B468*10)=A468</f>
        <v/>
      </c>
      <c r="F468">
        <f>B468&gt;=C468</f>
        <v/>
      </c>
      <c r="G468">
        <f>ROUND(G467+0.1,1)</f>
        <v/>
      </c>
      <c r="H468">
        <f>G468=C468</f>
        <v/>
      </c>
      <c r="I468">
        <f>TEXT(B468,"0.00000000000000")</f>
        <v/>
      </c>
    </row>
    <row r="469">
      <c r="A469" t="n">
        <v>462</v>
      </c>
      <c r="B469">
        <f>B468+0.1</f>
        <v/>
      </c>
      <c r="C469">
        <f>A469/10</f>
        <v/>
      </c>
      <c r="D469">
        <f>B469=C469</f>
        <v/>
      </c>
      <c r="E469">
        <f>INT(B469*10)=A469</f>
        <v/>
      </c>
      <c r="F469">
        <f>B469&gt;=C469</f>
        <v/>
      </c>
      <c r="G469">
        <f>ROUND(G468+0.1,1)</f>
        <v/>
      </c>
      <c r="H469">
        <f>G469=C469</f>
        <v/>
      </c>
      <c r="I469">
        <f>TEXT(B469,"0.00000000000000")</f>
        <v/>
      </c>
    </row>
    <row r="470">
      <c r="A470" t="n">
        <v>463</v>
      </c>
      <c r="B470">
        <f>B469+0.1</f>
        <v/>
      </c>
      <c r="C470">
        <f>A470/10</f>
        <v/>
      </c>
      <c r="D470">
        <f>B470=C470</f>
        <v/>
      </c>
      <c r="E470">
        <f>INT(B470*10)=A470</f>
        <v/>
      </c>
      <c r="F470">
        <f>B470&gt;=C470</f>
        <v/>
      </c>
      <c r="G470">
        <f>ROUND(G469+0.1,1)</f>
        <v/>
      </c>
      <c r="H470">
        <f>G470=C470</f>
        <v/>
      </c>
      <c r="I470">
        <f>TEXT(B470,"0.00000000000000")</f>
        <v/>
      </c>
    </row>
    <row r="471">
      <c r="A471" t="n">
        <v>464</v>
      </c>
      <c r="B471">
        <f>B470+0.1</f>
        <v/>
      </c>
      <c r="C471">
        <f>A471/10</f>
        <v/>
      </c>
      <c r="D471">
        <f>B471=C471</f>
        <v/>
      </c>
      <c r="E471">
        <f>INT(B471*10)=A471</f>
        <v/>
      </c>
      <c r="F471">
        <f>B471&gt;=C471</f>
        <v/>
      </c>
      <c r="G471">
        <f>ROUND(G470+0.1,1)</f>
        <v/>
      </c>
      <c r="H471">
        <f>G471=C471</f>
        <v/>
      </c>
      <c r="I471">
        <f>TEXT(B471,"0.00000000000000")</f>
        <v/>
      </c>
    </row>
    <row r="472">
      <c r="A472" t="n">
        <v>465</v>
      </c>
      <c r="B472">
        <f>B471+0.1</f>
        <v/>
      </c>
      <c r="C472">
        <f>A472/10</f>
        <v/>
      </c>
      <c r="D472">
        <f>B472=C472</f>
        <v/>
      </c>
      <c r="E472">
        <f>INT(B472*10)=A472</f>
        <v/>
      </c>
      <c r="F472">
        <f>B472&gt;=C472</f>
        <v/>
      </c>
      <c r="G472">
        <f>ROUND(G471+0.1,1)</f>
        <v/>
      </c>
      <c r="H472">
        <f>G472=C472</f>
        <v/>
      </c>
      <c r="I472">
        <f>TEXT(B472,"0.00000000000000")</f>
        <v/>
      </c>
    </row>
    <row r="473">
      <c r="A473" t="n">
        <v>466</v>
      </c>
      <c r="B473">
        <f>B472+0.1</f>
        <v/>
      </c>
      <c r="C473">
        <f>A473/10</f>
        <v/>
      </c>
      <c r="D473">
        <f>B473=C473</f>
        <v/>
      </c>
      <c r="E473">
        <f>INT(B473*10)=A473</f>
        <v/>
      </c>
      <c r="F473">
        <f>B473&gt;=C473</f>
        <v/>
      </c>
      <c r="G473">
        <f>ROUND(G472+0.1,1)</f>
        <v/>
      </c>
      <c r="H473">
        <f>G473=C473</f>
        <v/>
      </c>
      <c r="I473">
        <f>TEXT(B473,"0.00000000000000")</f>
        <v/>
      </c>
    </row>
    <row r="474">
      <c r="A474" t="n">
        <v>467</v>
      </c>
      <c r="B474">
        <f>B473+0.1</f>
        <v/>
      </c>
      <c r="C474">
        <f>A474/10</f>
        <v/>
      </c>
      <c r="D474">
        <f>B474=C474</f>
        <v/>
      </c>
      <c r="E474">
        <f>INT(B474*10)=A474</f>
        <v/>
      </c>
      <c r="F474">
        <f>B474&gt;=C474</f>
        <v/>
      </c>
      <c r="G474">
        <f>ROUND(G473+0.1,1)</f>
        <v/>
      </c>
      <c r="H474">
        <f>G474=C474</f>
        <v/>
      </c>
      <c r="I474">
        <f>TEXT(B474,"0.00000000000000")</f>
        <v/>
      </c>
    </row>
    <row r="475">
      <c r="A475" t="n">
        <v>468</v>
      </c>
      <c r="B475">
        <f>B474+0.1</f>
        <v/>
      </c>
      <c r="C475">
        <f>A475/10</f>
        <v/>
      </c>
      <c r="D475">
        <f>B475=C475</f>
        <v/>
      </c>
      <c r="E475">
        <f>INT(B475*10)=A475</f>
        <v/>
      </c>
      <c r="F475">
        <f>B475&gt;=C475</f>
        <v/>
      </c>
      <c r="G475">
        <f>ROUND(G474+0.1,1)</f>
        <v/>
      </c>
      <c r="H475">
        <f>G475=C475</f>
        <v/>
      </c>
      <c r="I475">
        <f>TEXT(B475,"0.00000000000000")</f>
        <v/>
      </c>
    </row>
    <row r="476">
      <c r="A476" t="n">
        <v>469</v>
      </c>
      <c r="B476">
        <f>B475+0.1</f>
        <v/>
      </c>
      <c r="C476">
        <f>A476/10</f>
        <v/>
      </c>
      <c r="D476">
        <f>B476=C476</f>
        <v/>
      </c>
      <c r="E476">
        <f>INT(B476*10)=A476</f>
        <v/>
      </c>
      <c r="F476">
        <f>B476&gt;=C476</f>
        <v/>
      </c>
      <c r="G476">
        <f>ROUND(G475+0.1,1)</f>
        <v/>
      </c>
      <c r="H476">
        <f>G476=C476</f>
        <v/>
      </c>
      <c r="I476">
        <f>TEXT(B476,"0.00000000000000")</f>
        <v/>
      </c>
    </row>
    <row r="477">
      <c r="A477" t="n">
        <v>470</v>
      </c>
      <c r="B477">
        <f>B476+0.1</f>
        <v/>
      </c>
      <c r="C477">
        <f>A477/10</f>
        <v/>
      </c>
      <c r="D477">
        <f>B477=C477</f>
        <v/>
      </c>
      <c r="E477">
        <f>INT(B477*10)=A477</f>
        <v/>
      </c>
      <c r="F477">
        <f>B477&gt;=C477</f>
        <v/>
      </c>
      <c r="G477">
        <f>ROUND(G476+0.1,1)</f>
        <v/>
      </c>
      <c r="H477">
        <f>G477=C477</f>
        <v/>
      </c>
      <c r="I477">
        <f>TEXT(B477,"0.00000000000000")</f>
        <v/>
      </c>
    </row>
    <row r="478">
      <c r="A478" t="n">
        <v>471</v>
      </c>
      <c r="B478">
        <f>B477+0.1</f>
        <v/>
      </c>
      <c r="C478">
        <f>A478/10</f>
        <v/>
      </c>
      <c r="D478">
        <f>B478=C478</f>
        <v/>
      </c>
      <c r="E478">
        <f>INT(B478*10)=A478</f>
        <v/>
      </c>
      <c r="F478">
        <f>B478&gt;=C478</f>
        <v/>
      </c>
      <c r="G478">
        <f>ROUND(G477+0.1,1)</f>
        <v/>
      </c>
      <c r="H478">
        <f>G478=C478</f>
        <v/>
      </c>
      <c r="I478">
        <f>TEXT(B478,"0.00000000000000")</f>
        <v/>
      </c>
    </row>
    <row r="479">
      <c r="A479" t="n">
        <v>472</v>
      </c>
      <c r="B479">
        <f>B478+0.1</f>
        <v/>
      </c>
      <c r="C479">
        <f>A479/10</f>
        <v/>
      </c>
      <c r="D479">
        <f>B479=C479</f>
        <v/>
      </c>
      <c r="E479">
        <f>INT(B479*10)=A479</f>
        <v/>
      </c>
      <c r="F479">
        <f>B479&gt;=C479</f>
        <v/>
      </c>
      <c r="G479">
        <f>ROUND(G478+0.1,1)</f>
        <v/>
      </c>
      <c r="H479">
        <f>G479=C479</f>
        <v/>
      </c>
      <c r="I479">
        <f>TEXT(B479,"0.00000000000000")</f>
        <v/>
      </c>
    </row>
    <row r="480">
      <c r="A480" t="n">
        <v>473</v>
      </c>
      <c r="B480">
        <f>B479+0.1</f>
        <v/>
      </c>
      <c r="C480">
        <f>A480/10</f>
        <v/>
      </c>
      <c r="D480">
        <f>B480=C480</f>
        <v/>
      </c>
      <c r="E480">
        <f>INT(B480*10)=A480</f>
        <v/>
      </c>
      <c r="F480">
        <f>B480&gt;=C480</f>
        <v/>
      </c>
      <c r="G480">
        <f>ROUND(G479+0.1,1)</f>
        <v/>
      </c>
      <c r="H480">
        <f>G480=C480</f>
        <v/>
      </c>
      <c r="I480">
        <f>TEXT(B480,"0.00000000000000")</f>
        <v/>
      </c>
    </row>
    <row r="481">
      <c r="A481" t="n">
        <v>474</v>
      </c>
      <c r="B481">
        <f>B480+0.1</f>
        <v/>
      </c>
      <c r="C481">
        <f>A481/10</f>
        <v/>
      </c>
      <c r="D481">
        <f>B481=C481</f>
        <v/>
      </c>
      <c r="E481">
        <f>INT(B481*10)=A481</f>
        <v/>
      </c>
      <c r="F481">
        <f>B481&gt;=C481</f>
        <v/>
      </c>
      <c r="G481">
        <f>ROUND(G480+0.1,1)</f>
        <v/>
      </c>
      <c r="H481">
        <f>G481=C481</f>
        <v/>
      </c>
      <c r="I481">
        <f>TEXT(B481,"0.00000000000000")</f>
        <v/>
      </c>
    </row>
    <row r="482">
      <c r="A482" t="n">
        <v>475</v>
      </c>
      <c r="B482">
        <f>B481+0.1</f>
        <v/>
      </c>
      <c r="C482">
        <f>A482/10</f>
        <v/>
      </c>
      <c r="D482">
        <f>B482=C482</f>
        <v/>
      </c>
      <c r="E482">
        <f>INT(B482*10)=A482</f>
        <v/>
      </c>
      <c r="F482">
        <f>B482&gt;=C482</f>
        <v/>
      </c>
      <c r="G482">
        <f>ROUND(G481+0.1,1)</f>
        <v/>
      </c>
      <c r="H482">
        <f>G482=C482</f>
        <v/>
      </c>
      <c r="I482">
        <f>TEXT(B482,"0.00000000000000")</f>
        <v/>
      </c>
    </row>
    <row r="483">
      <c r="A483" t="n">
        <v>476</v>
      </c>
      <c r="B483">
        <f>B482+0.1</f>
        <v/>
      </c>
      <c r="C483">
        <f>A483/10</f>
        <v/>
      </c>
      <c r="D483">
        <f>B483=C483</f>
        <v/>
      </c>
      <c r="E483">
        <f>INT(B483*10)=A483</f>
        <v/>
      </c>
      <c r="F483">
        <f>B483&gt;=C483</f>
        <v/>
      </c>
      <c r="G483">
        <f>ROUND(G482+0.1,1)</f>
        <v/>
      </c>
      <c r="H483">
        <f>G483=C483</f>
        <v/>
      </c>
      <c r="I483">
        <f>TEXT(B483,"0.00000000000000")</f>
        <v/>
      </c>
    </row>
    <row r="484">
      <c r="A484" t="n">
        <v>477</v>
      </c>
      <c r="B484">
        <f>B483+0.1</f>
        <v/>
      </c>
      <c r="C484">
        <f>A484/10</f>
        <v/>
      </c>
      <c r="D484">
        <f>B484=C484</f>
        <v/>
      </c>
      <c r="E484">
        <f>INT(B484*10)=A484</f>
        <v/>
      </c>
      <c r="F484">
        <f>B484&gt;=C484</f>
        <v/>
      </c>
      <c r="G484">
        <f>ROUND(G483+0.1,1)</f>
        <v/>
      </c>
      <c r="H484">
        <f>G484=C484</f>
        <v/>
      </c>
      <c r="I484">
        <f>TEXT(B484,"0.00000000000000")</f>
        <v/>
      </c>
    </row>
    <row r="485">
      <c r="A485" t="n">
        <v>478</v>
      </c>
      <c r="B485">
        <f>B484+0.1</f>
        <v/>
      </c>
      <c r="C485">
        <f>A485/10</f>
        <v/>
      </c>
      <c r="D485">
        <f>B485=C485</f>
        <v/>
      </c>
      <c r="E485">
        <f>INT(B485*10)=A485</f>
        <v/>
      </c>
      <c r="F485">
        <f>B485&gt;=C485</f>
        <v/>
      </c>
      <c r="G485">
        <f>ROUND(G484+0.1,1)</f>
        <v/>
      </c>
      <c r="H485">
        <f>G485=C485</f>
        <v/>
      </c>
      <c r="I485">
        <f>TEXT(B485,"0.00000000000000")</f>
        <v/>
      </c>
    </row>
    <row r="486">
      <c r="A486" t="n">
        <v>479</v>
      </c>
      <c r="B486">
        <f>B485+0.1</f>
        <v/>
      </c>
      <c r="C486">
        <f>A486/10</f>
        <v/>
      </c>
      <c r="D486">
        <f>B486=C486</f>
        <v/>
      </c>
      <c r="E486">
        <f>INT(B486*10)=A486</f>
        <v/>
      </c>
      <c r="F486">
        <f>B486&gt;=C486</f>
        <v/>
      </c>
      <c r="G486">
        <f>ROUND(G485+0.1,1)</f>
        <v/>
      </c>
      <c r="H486">
        <f>G486=C486</f>
        <v/>
      </c>
      <c r="I486">
        <f>TEXT(B486,"0.00000000000000")</f>
        <v/>
      </c>
    </row>
    <row r="487">
      <c r="A487" t="n">
        <v>480</v>
      </c>
      <c r="B487">
        <f>B486+0.1</f>
        <v/>
      </c>
      <c r="C487">
        <f>A487/10</f>
        <v/>
      </c>
      <c r="D487">
        <f>B487=C487</f>
        <v/>
      </c>
      <c r="E487">
        <f>INT(B487*10)=A487</f>
        <v/>
      </c>
      <c r="F487">
        <f>B487&gt;=C487</f>
        <v/>
      </c>
      <c r="G487">
        <f>ROUND(G486+0.1,1)</f>
        <v/>
      </c>
      <c r="H487">
        <f>G487=C487</f>
        <v/>
      </c>
      <c r="I487">
        <f>TEXT(B487,"0.00000000000000")</f>
        <v/>
      </c>
    </row>
    <row r="488">
      <c r="A488" t="n">
        <v>481</v>
      </c>
      <c r="B488">
        <f>B487+0.1</f>
        <v/>
      </c>
      <c r="C488">
        <f>A488/10</f>
        <v/>
      </c>
      <c r="D488">
        <f>B488=C488</f>
        <v/>
      </c>
      <c r="E488">
        <f>INT(B488*10)=A488</f>
        <v/>
      </c>
      <c r="F488">
        <f>B488&gt;=C488</f>
        <v/>
      </c>
      <c r="G488">
        <f>ROUND(G487+0.1,1)</f>
        <v/>
      </c>
      <c r="H488">
        <f>G488=C488</f>
        <v/>
      </c>
      <c r="I488">
        <f>TEXT(B488,"0.00000000000000")</f>
        <v/>
      </c>
    </row>
    <row r="489">
      <c r="A489" t="n">
        <v>482</v>
      </c>
      <c r="B489">
        <f>B488+0.1</f>
        <v/>
      </c>
      <c r="C489">
        <f>A489/10</f>
        <v/>
      </c>
      <c r="D489">
        <f>B489=C489</f>
        <v/>
      </c>
      <c r="E489">
        <f>INT(B489*10)=A489</f>
        <v/>
      </c>
      <c r="F489">
        <f>B489&gt;=C489</f>
        <v/>
      </c>
      <c r="G489">
        <f>ROUND(G488+0.1,1)</f>
        <v/>
      </c>
      <c r="H489">
        <f>G489=C489</f>
        <v/>
      </c>
      <c r="I489">
        <f>TEXT(B489,"0.00000000000000")</f>
        <v/>
      </c>
    </row>
    <row r="490">
      <c r="A490" t="n">
        <v>483</v>
      </c>
      <c r="B490">
        <f>B489+0.1</f>
        <v/>
      </c>
      <c r="C490">
        <f>A490/10</f>
        <v/>
      </c>
      <c r="D490">
        <f>B490=C490</f>
        <v/>
      </c>
      <c r="E490">
        <f>INT(B490*10)=A490</f>
        <v/>
      </c>
      <c r="F490">
        <f>B490&gt;=C490</f>
        <v/>
      </c>
      <c r="G490">
        <f>ROUND(G489+0.1,1)</f>
        <v/>
      </c>
      <c r="H490">
        <f>G490=C490</f>
        <v/>
      </c>
      <c r="I490">
        <f>TEXT(B490,"0.00000000000000")</f>
        <v/>
      </c>
    </row>
    <row r="491">
      <c r="A491" t="n">
        <v>484</v>
      </c>
      <c r="B491">
        <f>B490+0.1</f>
        <v/>
      </c>
      <c r="C491">
        <f>A491/10</f>
        <v/>
      </c>
      <c r="D491">
        <f>B491=C491</f>
        <v/>
      </c>
      <c r="E491">
        <f>INT(B491*10)=A491</f>
        <v/>
      </c>
      <c r="F491">
        <f>B491&gt;=C491</f>
        <v/>
      </c>
      <c r="G491">
        <f>ROUND(G490+0.1,1)</f>
        <v/>
      </c>
      <c r="H491">
        <f>G491=C491</f>
        <v/>
      </c>
      <c r="I491">
        <f>TEXT(B491,"0.00000000000000")</f>
        <v/>
      </c>
    </row>
    <row r="492">
      <c r="A492" t="n">
        <v>485</v>
      </c>
      <c r="B492">
        <f>B491+0.1</f>
        <v/>
      </c>
      <c r="C492">
        <f>A492/10</f>
        <v/>
      </c>
      <c r="D492">
        <f>B492=C492</f>
        <v/>
      </c>
      <c r="E492">
        <f>INT(B492*10)=A492</f>
        <v/>
      </c>
      <c r="F492">
        <f>B492&gt;=C492</f>
        <v/>
      </c>
      <c r="G492">
        <f>ROUND(G491+0.1,1)</f>
        <v/>
      </c>
      <c r="H492">
        <f>G492=C492</f>
        <v/>
      </c>
      <c r="I492">
        <f>TEXT(B492,"0.00000000000000")</f>
        <v/>
      </c>
    </row>
    <row r="493">
      <c r="A493" t="n">
        <v>486</v>
      </c>
      <c r="B493">
        <f>B492+0.1</f>
        <v/>
      </c>
      <c r="C493">
        <f>A493/10</f>
        <v/>
      </c>
      <c r="D493">
        <f>B493=C493</f>
        <v/>
      </c>
      <c r="E493">
        <f>INT(B493*10)=A493</f>
        <v/>
      </c>
      <c r="F493">
        <f>B493&gt;=C493</f>
        <v/>
      </c>
      <c r="G493">
        <f>ROUND(G492+0.1,1)</f>
        <v/>
      </c>
      <c r="H493">
        <f>G493=C493</f>
        <v/>
      </c>
      <c r="I493">
        <f>TEXT(B493,"0.00000000000000")</f>
        <v/>
      </c>
    </row>
    <row r="494">
      <c r="A494" t="n">
        <v>487</v>
      </c>
      <c r="B494">
        <f>B493+0.1</f>
        <v/>
      </c>
      <c r="C494">
        <f>A494/10</f>
        <v/>
      </c>
      <c r="D494">
        <f>B494=C494</f>
        <v/>
      </c>
      <c r="E494">
        <f>INT(B494*10)=A494</f>
        <v/>
      </c>
      <c r="F494">
        <f>B494&gt;=C494</f>
        <v/>
      </c>
      <c r="G494">
        <f>ROUND(G493+0.1,1)</f>
        <v/>
      </c>
      <c r="H494">
        <f>G494=C494</f>
        <v/>
      </c>
      <c r="I494">
        <f>TEXT(B494,"0.00000000000000")</f>
        <v/>
      </c>
    </row>
    <row r="495">
      <c r="A495" t="n">
        <v>488</v>
      </c>
      <c r="B495">
        <f>B494+0.1</f>
        <v/>
      </c>
      <c r="C495">
        <f>A495/10</f>
        <v/>
      </c>
      <c r="D495">
        <f>B495=C495</f>
        <v/>
      </c>
      <c r="E495">
        <f>INT(B495*10)=A495</f>
        <v/>
      </c>
      <c r="F495">
        <f>B495&gt;=C495</f>
        <v/>
      </c>
      <c r="G495">
        <f>ROUND(G494+0.1,1)</f>
        <v/>
      </c>
      <c r="H495">
        <f>G495=C495</f>
        <v/>
      </c>
      <c r="I495">
        <f>TEXT(B495,"0.00000000000000")</f>
        <v/>
      </c>
    </row>
    <row r="496">
      <c r="A496" t="n">
        <v>489</v>
      </c>
      <c r="B496">
        <f>B495+0.1</f>
        <v/>
      </c>
      <c r="C496">
        <f>A496/10</f>
        <v/>
      </c>
      <c r="D496">
        <f>B496=C496</f>
        <v/>
      </c>
      <c r="E496">
        <f>INT(B496*10)=A496</f>
        <v/>
      </c>
      <c r="F496">
        <f>B496&gt;=C496</f>
        <v/>
      </c>
      <c r="G496">
        <f>ROUND(G495+0.1,1)</f>
        <v/>
      </c>
      <c r="H496">
        <f>G496=C496</f>
        <v/>
      </c>
      <c r="I496">
        <f>TEXT(B496,"0.00000000000000")</f>
        <v/>
      </c>
    </row>
    <row r="497">
      <c r="A497" t="n">
        <v>490</v>
      </c>
      <c r="B497">
        <f>B496+0.1</f>
        <v/>
      </c>
      <c r="C497">
        <f>A497/10</f>
        <v/>
      </c>
      <c r="D497">
        <f>B497=C497</f>
        <v/>
      </c>
      <c r="E497">
        <f>INT(B497*10)=A497</f>
        <v/>
      </c>
      <c r="F497">
        <f>B497&gt;=C497</f>
        <v/>
      </c>
      <c r="G497">
        <f>ROUND(G496+0.1,1)</f>
        <v/>
      </c>
      <c r="H497">
        <f>G497=C497</f>
        <v/>
      </c>
      <c r="I497">
        <f>TEXT(B497,"0.00000000000000")</f>
        <v/>
      </c>
    </row>
    <row r="498">
      <c r="A498" t="n">
        <v>491</v>
      </c>
      <c r="B498">
        <f>B497+0.1</f>
        <v/>
      </c>
      <c r="C498">
        <f>A498/10</f>
        <v/>
      </c>
      <c r="D498">
        <f>B498=C498</f>
        <v/>
      </c>
      <c r="E498">
        <f>INT(B498*10)=A498</f>
        <v/>
      </c>
      <c r="F498">
        <f>B498&gt;=C498</f>
        <v/>
      </c>
      <c r="G498">
        <f>ROUND(G497+0.1,1)</f>
        <v/>
      </c>
      <c r="H498">
        <f>G498=C498</f>
        <v/>
      </c>
      <c r="I498">
        <f>TEXT(B498,"0.00000000000000")</f>
        <v/>
      </c>
    </row>
    <row r="499">
      <c r="A499" t="n">
        <v>492</v>
      </c>
      <c r="B499">
        <f>B498+0.1</f>
        <v/>
      </c>
      <c r="C499">
        <f>A499/10</f>
        <v/>
      </c>
      <c r="D499">
        <f>B499=C499</f>
        <v/>
      </c>
      <c r="E499">
        <f>INT(B499*10)=A499</f>
        <v/>
      </c>
      <c r="F499">
        <f>B499&gt;=C499</f>
        <v/>
      </c>
      <c r="G499">
        <f>ROUND(G498+0.1,1)</f>
        <v/>
      </c>
      <c r="H499">
        <f>G499=C499</f>
        <v/>
      </c>
      <c r="I499">
        <f>TEXT(B499,"0.00000000000000")</f>
        <v/>
      </c>
    </row>
    <row r="500">
      <c r="A500" t="n">
        <v>493</v>
      </c>
      <c r="B500">
        <f>B499+0.1</f>
        <v/>
      </c>
      <c r="C500">
        <f>A500/10</f>
        <v/>
      </c>
      <c r="D500">
        <f>B500=C500</f>
        <v/>
      </c>
      <c r="E500">
        <f>INT(B500*10)=A500</f>
        <v/>
      </c>
      <c r="F500">
        <f>B500&gt;=C500</f>
        <v/>
      </c>
      <c r="G500">
        <f>ROUND(G499+0.1,1)</f>
        <v/>
      </c>
      <c r="H500">
        <f>G500=C500</f>
        <v/>
      </c>
      <c r="I500">
        <f>TEXT(B500,"0.00000000000000")</f>
        <v/>
      </c>
    </row>
    <row r="501">
      <c r="A501" t="n">
        <v>494</v>
      </c>
      <c r="B501">
        <f>B500+0.1</f>
        <v/>
      </c>
      <c r="C501">
        <f>A501/10</f>
        <v/>
      </c>
      <c r="D501">
        <f>B501=C501</f>
        <v/>
      </c>
      <c r="E501">
        <f>INT(B501*10)=A501</f>
        <v/>
      </c>
      <c r="F501">
        <f>B501&gt;=C501</f>
        <v/>
      </c>
      <c r="G501">
        <f>ROUND(G500+0.1,1)</f>
        <v/>
      </c>
      <c r="H501">
        <f>G501=C501</f>
        <v/>
      </c>
      <c r="I501">
        <f>TEXT(B501,"0.00000000000000")</f>
        <v/>
      </c>
    </row>
    <row r="502">
      <c r="A502" t="n">
        <v>495</v>
      </c>
      <c r="B502">
        <f>B501+0.1</f>
        <v/>
      </c>
      <c r="C502">
        <f>A502/10</f>
        <v/>
      </c>
      <c r="D502">
        <f>B502=C502</f>
        <v/>
      </c>
      <c r="E502">
        <f>INT(B502*10)=A502</f>
        <v/>
      </c>
      <c r="F502">
        <f>B502&gt;=C502</f>
        <v/>
      </c>
      <c r="G502">
        <f>ROUND(G501+0.1,1)</f>
        <v/>
      </c>
      <c r="H502">
        <f>G502=C502</f>
        <v/>
      </c>
      <c r="I502">
        <f>TEXT(B502,"0.00000000000000")</f>
        <v/>
      </c>
    </row>
    <row r="503">
      <c r="A503" t="n">
        <v>496</v>
      </c>
      <c r="B503">
        <f>B502+0.1</f>
        <v/>
      </c>
      <c r="C503">
        <f>A503/10</f>
        <v/>
      </c>
      <c r="D503">
        <f>B503=C503</f>
        <v/>
      </c>
      <c r="E503">
        <f>INT(B503*10)=A503</f>
        <v/>
      </c>
      <c r="F503">
        <f>B503&gt;=C503</f>
        <v/>
      </c>
      <c r="G503">
        <f>ROUND(G502+0.1,1)</f>
        <v/>
      </c>
      <c r="H503">
        <f>G503=C503</f>
        <v/>
      </c>
      <c r="I503">
        <f>TEXT(B503,"0.00000000000000")</f>
        <v/>
      </c>
    </row>
    <row r="504">
      <c r="A504" t="n">
        <v>497</v>
      </c>
      <c r="B504">
        <f>B503+0.1</f>
        <v/>
      </c>
      <c r="C504">
        <f>A504/10</f>
        <v/>
      </c>
      <c r="D504">
        <f>B504=C504</f>
        <v/>
      </c>
      <c r="E504">
        <f>INT(B504*10)=A504</f>
        <v/>
      </c>
      <c r="F504">
        <f>B504&gt;=C504</f>
        <v/>
      </c>
      <c r="G504">
        <f>ROUND(G503+0.1,1)</f>
        <v/>
      </c>
      <c r="H504">
        <f>G504=C504</f>
        <v/>
      </c>
      <c r="I504">
        <f>TEXT(B504,"0.00000000000000")</f>
        <v/>
      </c>
    </row>
    <row r="505">
      <c r="A505" t="n">
        <v>498</v>
      </c>
      <c r="B505">
        <f>B504+0.1</f>
        <v/>
      </c>
      <c r="C505">
        <f>A505/10</f>
        <v/>
      </c>
      <c r="D505">
        <f>B505=C505</f>
        <v/>
      </c>
      <c r="E505">
        <f>INT(B505*10)=A505</f>
        <v/>
      </c>
      <c r="F505">
        <f>B505&gt;=C505</f>
        <v/>
      </c>
      <c r="G505">
        <f>ROUND(G504+0.1,1)</f>
        <v/>
      </c>
      <c r="H505">
        <f>G505=C505</f>
        <v/>
      </c>
      <c r="I505">
        <f>TEXT(B505,"0.00000000000000")</f>
        <v/>
      </c>
    </row>
    <row r="506">
      <c r="A506" t="n">
        <v>499</v>
      </c>
      <c r="B506">
        <f>B505+0.1</f>
        <v/>
      </c>
      <c r="C506">
        <f>A506/10</f>
        <v/>
      </c>
      <c r="D506">
        <f>B506=C506</f>
        <v/>
      </c>
      <c r="E506">
        <f>INT(B506*10)=A506</f>
        <v/>
      </c>
      <c r="F506">
        <f>B506&gt;=C506</f>
        <v/>
      </c>
      <c r="G506">
        <f>ROUND(G505+0.1,1)</f>
        <v/>
      </c>
      <c r="H506">
        <f>G506=C506</f>
        <v/>
      </c>
      <c r="I506">
        <f>TEXT(B506,"0.00000000000000")</f>
        <v/>
      </c>
    </row>
    <row r="507">
      <c r="A507" t="n">
        <v>500</v>
      </c>
      <c r="B507">
        <f>B506+0.1</f>
        <v/>
      </c>
      <c r="C507">
        <f>A507/10</f>
        <v/>
      </c>
      <c r="D507">
        <f>B507=C507</f>
        <v/>
      </c>
      <c r="E507">
        <f>INT(B507*10)=A507</f>
        <v/>
      </c>
      <c r="F507">
        <f>B507&gt;=C507</f>
        <v/>
      </c>
      <c r="G507">
        <f>ROUND(G506+0.1,1)</f>
        <v/>
      </c>
      <c r="H507">
        <f>G507=C507</f>
        <v/>
      </c>
      <c r="I507">
        <f>TEXT(B507,"0.00000000000000")</f>
        <v/>
      </c>
    </row>
    <row r="508">
      <c r="A508" t="n">
        <v>501</v>
      </c>
      <c r="B508">
        <f>B507+0.1</f>
        <v/>
      </c>
      <c r="C508">
        <f>A508/10</f>
        <v/>
      </c>
      <c r="D508">
        <f>B508=C508</f>
        <v/>
      </c>
      <c r="E508">
        <f>INT(B508*10)=A508</f>
        <v/>
      </c>
      <c r="F508">
        <f>B508&gt;=C508</f>
        <v/>
      </c>
      <c r="G508">
        <f>ROUND(G507+0.1,1)</f>
        <v/>
      </c>
      <c r="H508">
        <f>G508=C508</f>
        <v/>
      </c>
      <c r="I508">
        <f>TEXT(B508,"0.00000000000000")</f>
        <v/>
      </c>
    </row>
    <row r="509">
      <c r="A509" t="n">
        <v>502</v>
      </c>
      <c r="B509">
        <f>B508+0.1</f>
        <v/>
      </c>
      <c r="C509">
        <f>A509/10</f>
        <v/>
      </c>
      <c r="D509">
        <f>B509=C509</f>
        <v/>
      </c>
      <c r="E509">
        <f>INT(B509*10)=A509</f>
        <v/>
      </c>
      <c r="F509">
        <f>B509&gt;=C509</f>
        <v/>
      </c>
      <c r="G509">
        <f>ROUND(G508+0.1,1)</f>
        <v/>
      </c>
      <c r="H509">
        <f>G509=C509</f>
        <v/>
      </c>
      <c r="I509">
        <f>TEXT(B509,"0.00000000000000")</f>
        <v/>
      </c>
    </row>
    <row r="510">
      <c r="A510" t="n">
        <v>503</v>
      </c>
      <c r="B510">
        <f>B509+0.1</f>
        <v/>
      </c>
      <c r="C510">
        <f>A510/10</f>
        <v/>
      </c>
      <c r="D510">
        <f>B510=C510</f>
        <v/>
      </c>
      <c r="E510">
        <f>INT(B510*10)=A510</f>
        <v/>
      </c>
      <c r="F510">
        <f>B510&gt;=C510</f>
        <v/>
      </c>
      <c r="G510">
        <f>ROUND(G509+0.1,1)</f>
        <v/>
      </c>
      <c r="H510">
        <f>G510=C510</f>
        <v/>
      </c>
      <c r="I510">
        <f>TEXT(B510,"0.00000000000000")</f>
        <v/>
      </c>
    </row>
    <row r="511">
      <c r="A511" t="n">
        <v>504</v>
      </c>
      <c r="B511">
        <f>B510+0.1</f>
        <v/>
      </c>
      <c r="C511">
        <f>A511/10</f>
        <v/>
      </c>
      <c r="D511">
        <f>B511=C511</f>
        <v/>
      </c>
      <c r="E511">
        <f>INT(B511*10)=A511</f>
        <v/>
      </c>
      <c r="F511">
        <f>B511&gt;=C511</f>
        <v/>
      </c>
      <c r="G511">
        <f>ROUND(G510+0.1,1)</f>
        <v/>
      </c>
      <c r="H511">
        <f>G511=C511</f>
        <v/>
      </c>
      <c r="I511">
        <f>TEXT(B511,"0.00000000000000")</f>
        <v/>
      </c>
    </row>
    <row r="512">
      <c r="A512" t="n">
        <v>505</v>
      </c>
      <c r="B512">
        <f>B511+0.1</f>
        <v/>
      </c>
      <c r="C512">
        <f>A512/10</f>
        <v/>
      </c>
      <c r="D512">
        <f>B512=C512</f>
        <v/>
      </c>
      <c r="E512">
        <f>INT(B512*10)=A512</f>
        <v/>
      </c>
      <c r="F512">
        <f>B512&gt;=C512</f>
        <v/>
      </c>
      <c r="G512">
        <f>ROUND(G511+0.1,1)</f>
        <v/>
      </c>
      <c r="H512">
        <f>G512=C512</f>
        <v/>
      </c>
      <c r="I512">
        <f>TEXT(B512,"0.00000000000000")</f>
        <v/>
      </c>
    </row>
    <row r="513">
      <c r="A513" t="n">
        <v>506</v>
      </c>
      <c r="B513">
        <f>B512+0.1</f>
        <v/>
      </c>
      <c r="C513">
        <f>A513/10</f>
        <v/>
      </c>
      <c r="D513">
        <f>B513=C513</f>
        <v/>
      </c>
      <c r="E513">
        <f>INT(B513*10)=A513</f>
        <v/>
      </c>
      <c r="F513">
        <f>B513&gt;=C513</f>
        <v/>
      </c>
      <c r="G513">
        <f>ROUND(G512+0.1,1)</f>
        <v/>
      </c>
      <c r="H513">
        <f>G513=C513</f>
        <v/>
      </c>
      <c r="I513">
        <f>TEXT(B513,"0.00000000000000")</f>
        <v/>
      </c>
    </row>
    <row r="514">
      <c r="A514" t="n">
        <v>507</v>
      </c>
      <c r="B514">
        <f>B513+0.1</f>
        <v/>
      </c>
      <c r="C514">
        <f>A514/10</f>
        <v/>
      </c>
      <c r="D514">
        <f>B514=C514</f>
        <v/>
      </c>
      <c r="E514">
        <f>INT(B514*10)=A514</f>
        <v/>
      </c>
      <c r="F514">
        <f>B514&gt;=C514</f>
        <v/>
      </c>
      <c r="G514">
        <f>ROUND(G513+0.1,1)</f>
        <v/>
      </c>
      <c r="H514">
        <f>G514=C514</f>
        <v/>
      </c>
      <c r="I514">
        <f>TEXT(B514,"0.00000000000000")</f>
        <v/>
      </c>
    </row>
    <row r="515">
      <c r="A515" t="n">
        <v>508</v>
      </c>
      <c r="B515">
        <f>B514+0.1</f>
        <v/>
      </c>
      <c r="C515">
        <f>A515/10</f>
        <v/>
      </c>
      <c r="D515">
        <f>B515=C515</f>
        <v/>
      </c>
      <c r="E515">
        <f>INT(B515*10)=A515</f>
        <v/>
      </c>
      <c r="F515">
        <f>B515&gt;=C515</f>
        <v/>
      </c>
      <c r="G515">
        <f>ROUND(G514+0.1,1)</f>
        <v/>
      </c>
      <c r="H515">
        <f>G515=C515</f>
        <v/>
      </c>
      <c r="I515">
        <f>TEXT(B515,"0.00000000000000")</f>
        <v/>
      </c>
    </row>
    <row r="516">
      <c r="A516" t="n">
        <v>509</v>
      </c>
      <c r="B516">
        <f>B515+0.1</f>
        <v/>
      </c>
      <c r="C516">
        <f>A516/10</f>
        <v/>
      </c>
      <c r="D516">
        <f>B516=C516</f>
        <v/>
      </c>
      <c r="E516">
        <f>INT(B516*10)=A516</f>
        <v/>
      </c>
      <c r="F516">
        <f>B516&gt;=C516</f>
        <v/>
      </c>
      <c r="G516">
        <f>ROUND(G515+0.1,1)</f>
        <v/>
      </c>
      <c r="H516">
        <f>G516=C516</f>
        <v/>
      </c>
      <c r="I516">
        <f>TEXT(B516,"0.00000000000000")</f>
        <v/>
      </c>
    </row>
    <row r="517">
      <c r="A517" t="n">
        <v>510</v>
      </c>
      <c r="B517">
        <f>B516+0.1</f>
        <v/>
      </c>
      <c r="C517">
        <f>A517/10</f>
        <v/>
      </c>
      <c r="D517">
        <f>B517=C517</f>
        <v/>
      </c>
      <c r="E517">
        <f>INT(B517*10)=A517</f>
        <v/>
      </c>
      <c r="F517">
        <f>B517&gt;=C517</f>
        <v/>
      </c>
      <c r="G517">
        <f>ROUND(G516+0.1,1)</f>
        <v/>
      </c>
      <c r="H517">
        <f>G517=C517</f>
        <v/>
      </c>
      <c r="I517">
        <f>TEXT(B517,"0.00000000000000")</f>
        <v/>
      </c>
    </row>
    <row r="518">
      <c r="A518" t="n">
        <v>511</v>
      </c>
      <c r="B518">
        <f>B517+0.1</f>
        <v/>
      </c>
      <c r="C518">
        <f>A518/10</f>
        <v/>
      </c>
      <c r="D518">
        <f>B518=C518</f>
        <v/>
      </c>
      <c r="E518">
        <f>INT(B518*10)=A518</f>
        <v/>
      </c>
      <c r="F518">
        <f>B518&gt;=C518</f>
        <v/>
      </c>
      <c r="G518">
        <f>ROUND(G517+0.1,1)</f>
        <v/>
      </c>
      <c r="H518">
        <f>G518=C518</f>
        <v/>
      </c>
      <c r="I518">
        <f>TEXT(B518,"0.00000000000000")</f>
        <v/>
      </c>
    </row>
    <row r="519">
      <c r="A519" t="n">
        <v>512</v>
      </c>
      <c r="B519">
        <f>B518+0.1</f>
        <v/>
      </c>
      <c r="C519">
        <f>A519/10</f>
        <v/>
      </c>
      <c r="D519">
        <f>B519=C519</f>
        <v/>
      </c>
      <c r="E519">
        <f>INT(B519*10)=A519</f>
        <v/>
      </c>
      <c r="F519">
        <f>B519&gt;=C519</f>
        <v/>
      </c>
      <c r="G519">
        <f>ROUND(G518+0.1,1)</f>
        <v/>
      </c>
      <c r="H519">
        <f>G519=C519</f>
        <v/>
      </c>
      <c r="I519">
        <f>TEXT(B519,"0.00000000000000")</f>
        <v/>
      </c>
    </row>
    <row r="520">
      <c r="A520" t="n">
        <v>513</v>
      </c>
      <c r="B520">
        <f>B519+0.1</f>
        <v/>
      </c>
      <c r="C520">
        <f>A520/10</f>
        <v/>
      </c>
      <c r="D520">
        <f>B520=C520</f>
        <v/>
      </c>
      <c r="E520">
        <f>INT(B520*10)=A520</f>
        <v/>
      </c>
      <c r="F520">
        <f>B520&gt;=C520</f>
        <v/>
      </c>
      <c r="G520">
        <f>ROUND(G519+0.1,1)</f>
        <v/>
      </c>
      <c r="H520">
        <f>G520=C520</f>
        <v/>
      </c>
      <c r="I520">
        <f>TEXT(B520,"0.00000000000000")</f>
        <v/>
      </c>
    </row>
    <row r="521">
      <c r="A521" t="n">
        <v>514</v>
      </c>
      <c r="B521">
        <f>B520+0.1</f>
        <v/>
      </c>
      <c r="C521">
        <f>A521/10</f>
        <v/>
      </c>
      <c r="D521">
        <f>B521=C521</f>
        <v/>
      </c>
      <c r="E521">
        <f>INT(B521*10)=A521</f>
        <v/>
      </c>
      <c r="F521">
        <f>B521&gt;=C521</f>
        <v/>
      </c>
      <c r="G521">
        <f>ROUND(G520+0.1,1)</f>
        <v/>
      </c>
      <c r="H521">
        <f>G521=C521</f>
        <v/>
      </c>
      <c r="I521">
        <f>TEXT(B521,"0.00000000000000")</f>
        <v/>
      </c>
    </row>
    <row r="522">
      <c r="A522" t="n">
        <v>515</v>
      </c>
      <c r="B522">
        <f>B521+0.1</f>
        <v/>
      </c>
      <c r="C522">
        <f>A522/10</f>
        <v/>
      </c>
      <c r="D522">
        <f>B522=C522</f>
        <v/>
      </c>
      <c r="E522">
        <f>INT(B522*10)=A522</f>
        <v/>
      </c>
      <c r="F522">
        <f>B522&gt;=C522</f>
        <v/>
      </c>
      <c r="G522">
        <f>ROUND(G521+0.1,1)</f>
        <v/>
      </c>
      <c r="H522">
        <f>G522=C522</f>
        <v/>
      </c>
      <c r="I522">
        <f>TEXT(B522,"0.00000000000000")</f>
        <v/>
      </c>
    </row>
    <row r="523">
      <c r="A523" t="n">
        <v>516</v>
      </c>
      <c r="B523">
        <f>B522+0.1</f>
        <v/>
      </c>
      <c r="C523">
        <f>A523/10</f>
        <v/>
      </c>
      <c r="D523">
        <f>B523=C523</f>
        <v/>
      </c>
      <c r="E523">
        <f>INT(B523*10)=A523</f>
        <v/>
      </c>
      <c r="F523">
        <f>B523&gt;=C523</f>
        <v/>
      </c>
      <c r="G523">
        <f>ROUND(G522+0.1,1)</f>
        <v/>
      </c>
      <c r="H523">
        <f>G523=C523</f>
        <v/>
      </c>
      <c r="I523">
        <f>TEXT(B523,"0.00000000000000")</f>
        <v/>
      </c>
    </row>
    <row r="524">
      <c r="A524" t="n">
        <v>517</v>
      </c>
      <c r="B524">
        <f>B523+0.1</f>
        <v/>
      </c>
      <c r="C524">
        <f>A524/10</f>
        <v/>
      </c>
      <c r="D524">
        <f>B524=C524</f>
        <v/>
      </c>
      <c r="E524">
        <f>INT(B524*10)=A524</f>
        <v/>
      </c>
      <c r="F524">
        <f>B524&gt;=C524</f>
        <v/>
      </c>
      <c r="G524">
        <f>ROUND(G523+0.1,1)</f>
        <v/>
      </c>
      <c r="H524">
        <f>G524=C524</f>
        <v/>
      </c>
      <c r="I524">
        <f>TEXT(B524,"0.00000000000000")</f>
        <v/>
      </c>
    </row>
    <row r="525">
      <c r="A525" t="n">
        <v>518</v>
      </c>
      <c r="B525">
        <f>B524+0.1</f>
        <v/>
      </c>
      <c r="C525">
        <f>A525/10</f>
        <v/>
      </c>
      <c r="D525">
        <f>B525=C525</f>
        <v/>
      </c>
      <c r="E525">
        <f>INT(B525*10)=A525</f>
        <v/>
      </c>
      <c r="F525">
        <f>B525&gt;=C525</f>
        <v/>
      </c>
      <c r="G525">
        <f>ROUND(G524+0.1,1)</f>
        <v/>
      </c>
      <c r="H525">
        <f>G525=C525</f>
        <v/>
      </c>
      <c r="I525">
        <f>TEXT(B525,"0.00000000000000")</f>
        <v/>
      </c>
    </row>
    <row r="526">
      <c r="A526" t="n">
        <v>519</v>
      </c>
      <c r="B526">
        <f>B525+0.1</f>
        <v/>
      </c>
      <c r="C526">
        <f>A526/10</f>
        <v/>
      </c>
      <c r="D526">
        <f>B526=C526</f>
        <v/>
      </c>
      <c r="E526">
        <f>INT(B526*10)=A526</f>
        <v/>
      </c>
      <c r="F526">
        <f>B526&gt;=C526</f>
        <v/>
      </c>
      <c r="G526">
        <f>ROUND(G525+0.1,1)</f>
        <v/>
      </c>
      <c r="H526">
        <f>G526=C526</f>
        <v/>
      </c>
      <c r="I526">
        <f>TEXT(B526,"0.00000000000000")</f>
        <v/>
      </c>
    </row>
    <row r="527">
      <c r="A527" t="n">
        <v>520</v>
      </c>
      <c r="B527">
        <f>B526+0.1</f>
        <v/>
      </c>
      <c r="C527">
        <f>A527/10</f>
        <v/>
      </c>
      <c r="D527">
        <f>B527=C527</f>
        <v/>
      </c>
      <c r="E527">
        <f>INT(B527*10)=A527</f>
        <v/>
      </c>
      <c r="F527">
        <f>B527&gt;=C527</f>
        <v/>
      </c>
      <c r="G527">
        <f>ROUND(G526+0.1,1)</f>
        <v/>
      </c>
      <c r="H527">
        <f>G527=C527</f>
        <v/>
      </c>
      <c r="I527">
        <f>TEXT(B527,"0.00000000000000")</f>
        <v/>
      </c>
    </row>
    <row r="528">
      <c r="A528" t="n">
        <v>521</v>
      </c>
      <c r="B528">
        <f>B527+0.1</f>
        <v/>
      </c>
      <c r="C528">
        <f>A528/10</f>
        <v/>
      </c>
      <c r="D528">
        <f>B528=C528</f>
        <v/>
      </c>
      <c r="E528">
        <f>INT(B528*10)=A528</f>
        <v/>
      </c>
      <c r="F528">
        <f>B528&gt;=C528</f>
        <v/>
      </c>
      <c r="G528">
        <f>ROUND(G527+0.1,1)</f>
        <v/>
      </c>
      <c r="H528">
        <f>G528=C528</f>
        <v/>
      </c>
      <c r="I528">
        <f>TEXT(B528,"0.00000000000000")</f>
        <v/>
      </c>
    </row>
    <row r="529">
      <c r="A529" t="n">
        <v>522</v>
      </c>
      <c r="B529">
        <f>B528+0.1</f>
        <v/>
      </c>
      <c r="C529">
        <f>A529/10</f>
        <v/>
      </c>
      <c r="D529">
        <f>B529=C529</f>
        <v/>
      </c>
      <c r="E529">
        <f>INT(B529*10)=A529</f>
        <v/>
      </c>
      <c r="F529">
        <f>B529&gt;=C529</f>
        <v/>
      </c>
      <c r="G529">
        <f>ROUND(G528+0.1,1)</f>
        <v/>
      </c>
      <c r="H529">
        <f>G529=C529</f>
        <v/>
      </c>
      <c r="I529">
        <f>TEXT(B529,"0.00000000000000")</f>
        <v/>
      </c>
    </row>
    <row r="530">
      <c r="A530" t="n">
        <v>523</v>
      </c>
      <c r="B530">
        <f>B529+0.1</f>
        <v/>
      </c>
      <c r="C530">
        <f>A530/10</f>
        <v/>
      </c>
      <c r="D530">
        <f>B530=C530</f>
        <v/>
      </c>
      <c r="E530">
        <f>INT(B530*10)=A530</f>
        <v/>
      </c>
      <c r="F530">
        <f>B530&gt;=C530</f>
        <v/>
      </c>
      <c r="G530">
        <f>ROUND(G529+0.1,1)</f>
        <v/>
      </c>
      <c r="H530">
        <f>G530=C530</f>
        <v/>
      </c>
      <c r="I530">
        <f>TEXT(B530,"0.00000000000000")</f>
        <v/>
      </c>
    </row>
    <row r="531">
      <c r="A531" t="n">
        <v>524</v>
      </c>
      <c r="B531">
        <f>B530+0.1</f>
        <v/>
      </c>
      <c r="C531">
        <f>A531/10</f>
        <v/>
      </c>
      <c r="D531">
        <f>B531=C531</f>
        <v/>
      </c>
      <c r="E531">
        <f>INT(B531*10)=A531</f>
        <v/>
      </c>
      <c r="F531">
        <f>B531&gt;=C531</f>
        <v/>
      </c>
      <c r="G531">
        <f>ROUND(G530+0.1,1)</f>
        <v/>
      </c>
      <c r="H531">
        <f>G531=C531</f>
        <v/>
      </c>
      <c r="I531">
        <f>TEXT(B531,"0.00000000000000")</f>
        <v/>
      </c>
    </row>
    <row r="532">
      <c r="A532" t="n">
        <v>525</v>
      </c>
      <c r="B532">
        <f>B531+0.1</f>
        <v/>
      </c>
      <c r="C532">
        <f>A532/10</f>
        <v/>
      </c>
      <c r="D532">
        <f>B532=C532</f>
        <v/>
      </c>
      <c r="E532">
        <f>INT(B532*10)=A532</f>
        <v/>
      </c>
      <c r="F532">
        <f>B532&gt;=C532</f>
        <v/>
      </c>
      <c r="G532">
        <f>ROUND(G531+0.1,1)</f>
        <v/>
      </c>
      <c r="H532">
        <f>G532=C532</f>
        <v/>
      </c>
      <c r="I532">
        <f>TEXT(B532,"0.00000000000000")</f>
        <v/>
      </c>
    </row>
    <row r="533">
      <c r="A533" t="n">
        <v>526</v>
      </c>
      <c r="B533">
        <f>B532+0.1</f>
        <v/>
      </c>
      <c r="C533">
        <f>A533/10</f>
        <v/>
      </c>
      <c r="D533">
        <f>B533=C533</f>
        <v/>
      </c>
      <c r="E533">
        <f>INT(B533*10)=A533</f>
        <v/>
      </c>
      <c r="F533">
        <f>B533&gt;=C533</f>
        <v/>
      </c>
      <c r="G533">
        <f>ROUND(G532+0.1,1)</f>
        <v/>
      </c>
      <c r="H533">
        <f>G533=C533</f>
        <v/>
      </c>
      <c r="I533">
        <f>TEXT(B533,"0.00000000000000")</f>
        <v/>
      </c>
    </row>
    <row r="534">
      <c r="A534" t="n">
        <v>527</v>
      </c>
      <c r="B534">
        <f>B533+0.1</f>
        <v/>
      </c>
      <c r="C534">
        <f>A534/10</f>
        <v/>
      </c>
      <c r="D534">
        <f>B534=C534</f>
        <v/>
      </c>
      <c r="E534">
        <f>INT(B534*10)=A534</f>
        <v/>
      </c>
      <c r="F534">
        <f>B534&gt;=C534</f>
        <v/>
      </c>
      <c r="G534">
        <f>ROUND(G533+0.1,1)</f>
        <v/>
      </c>
      <c r="H534">
        <f>G534=C534</f>
        <v/>
      </c>
      <c r="I534">
        <f>TEXT(B534,"0.00000000000000")</f>
        <v/>
      </c>
    </row>
    <row r="535">
      <c r="A535" t="n">
        <v>528</v>
      </c>
      <c r="B535">
        <f>B534+0.1</f>
        <v/>
      </c>
      <c r="C535">
        <f>A535/10</f>
        <v/>
      </c>
      <c r="D535">
        <f>B535=C535</f>
        <v/>
      </c>
      <c r="E535">
        <f>INT(B535*10)=A535</f>
        <v/>
      </c>
      <c r="F535">
        <f>B535&gt;=C535</f>
        <v/>
      </c>
      <c r="G535">
        <f>ROUND(G534+0.1,1)</f>
        <v/>
      </c>
      <c r="H535">
        <f>G535=C535</f>
        <v/>
      </c>
      <c r="I535">
        <f>TEXT(B535,"0.00000000000000")</f>
        <v/>
      </c>
    </row>
    <row r="536">
      <c r="A536" t="n">
        <v>529</v>
      </c>
      <c r="B536">
        <f>B535+0.1</f>
        <v/>
      </c>
      <c r="C536">
        <f>A536/10</f>
        <v/>
      </c>
      <c r="D536">
        <f>B536=C536</f>
        <v/>
      </c>
      <c r="E536">
        <f>INT(B536*10)=A536</f>
        <v/>
      </c>
      <c r="F536">
        <f>B536&gt;=C536</f>
        <v/>
      </c>
      <c r="G536">
        <f>ROUND(G535+0.1,1)</f>
        <v/>
      </c>
      <c r="H536">
        <f>G536=C536</f>
        <v/>
      </c>
      <c r="I536">
        <f>TEXT(B536,"0.00000000000000")</f>
        <v/>
      </c>
    </row>
    <row r="537">
      <c r="A537" t="n">
        <v>530</v>
      </c>
      <c r="B537">
        <f>B536+0.1</f>
        <v/>
      </c>
      <c r="C537">
        <f>A537/10</f>
        <v/>
      </c>
      <c r="D537">
        <f>B537=C537</f>
        <v/>
      </c>
      <c r="E537">
        <f>INT(B537*10)=A537</f>
        <v/>
      </c>
      <c r="F537">
        <f>B537&gt;=C537</f>
        <v/>
      </c>
      <c r="G537">
        <f>ROUND(G536+0.1,1)</f>
        <v/>
      </c>
      <c r="H537">
        <f>G537=C537</f>
        <v/>
      </c>
      <c r="I537">
        <f>TEXT(B537,"0.00000000000000")</f>
        <v/>
      </c>
    </row>
    <row r="538">
      <c r="A538" t="n">
        <v>531</v>
      </c>
      <c r="B538">
        <f>B537+0.1</f>
        <v/>
      </c>
      <c r="C538">
        <f>A538/10</f>
        <v/>
      </c>
      <c r="D538">
        <f>B538=C538</f>
        <v/>
      </c>
      <c r="E538">
        <f>INT(B538*10)=A538</f>
        <v/>
      </c>
      <c r="F538">
        <f>B538&gt;=C538</f>
        <v/>
      </c>
      <c r="G538">
        <f>ROUND(G537+0.1,1)</f>
        <v/>
      </c>
      <c r="H538">
        <f>G538=C538</f>
        <v/>
      </c>
      <c r="I538">
        <f>TEXT(B538,"0.00000000000000")</f>
        <v/>
      </c>
    </row>
    <row r="539">
      <c r="A539" t="n">
        <v>532</v>
      </c>
      <c r="B539">
        <f>B538+0.1</f>
        <v/>
      </c>
      <c r="C539">
        <f>A539/10</f>
        <v/>
      </c>
      <c r="D539">
        <f>B539=C539</f>
        <v/>
      </c>
      <c r="E539">
        <f>INT(B539*10)=A539</f>
        <v/>
      </c>
      <c r="F539">
        <f>B539&gt;=C539</f>
        <v/>
      </c>
      <c r="G539">
        <f>ROUND(G538+0.1,1)</f>
        <v/>
      </c>
      <c r="H539">
        <f>G539=C539</f>
        <v/>
      </c>
      <c r="I539">
        <f>TEXT(B539,"0.00000000000000")</f>
        <v/>
      </c>
    </row>
    <row r="540">
      <c r="A540" t="n">
        <v>533</v>
      </c>
      <c r="B540">
        <f>B539+0.1</f>
        <v/>
      </c>
      <c r="C540">
        <f>A540/10</f>
        <v/>
      </c>
      <c r="D540">
        <f>B540=C540</f>
        <v/>
      </c>
      <c r="E540">
        <f>INT(B540*10)=A540</f>
        <v/>
      </c>
      <c r="F540">
        <f>B540&gt;=C540</f>
        <v/>
      </c>
      <c r="G540">
        <f>ROUND(G539+0.1,1)</f>
        <v/>
      </c>
      <c r="H540">
        <f>G540=C540</f>
        <v/>
      </c>
      <c r="I540">
        <f>TEXT(B540,"0.00000000000000")</f>
        <v/>
      </c>
    </row>
    <row r="541">
      <c r="A541" t="n">
        <v>534</v>
      </c>
      <c r="B541">
        <f>B540+0.1</f>
        <v/>
      </c>
      <c r="C541">
        <f>A541/10</f>
        <v/>
      </c>
      <c r="D541">
        <f>B541=C541</f>
        <v/>
      </c>
      <c r="E541">
        <f>INT(B541*10)=A541</f>
        <v/>
      </c>
      <c r="F541">
        <f>B541&gt;=C541</f>
        <v/>
      </c>
      <c r="G541">
        <f>ROUND(G540+0.1,1)</f>
        <v/>
      </c>
      <c r="H541">
        <f>G541=C541</f>
        <v/>
      </c>
      <c r="I541">
        <f>TEXT(B541,"0.00000000000000")</f>
        <v/>
      </c>
    </row>
    <row r="542">
      <c r="A542" t="n">
        <v>535</v>
      </c>
      <c r="B542">
        <f>B541+0.1</f>
        <v/>
      </c>
      <c r="C542">
        <f>A542/10</f>
        <v/>
      </c>
      <c r="D542">
        <f>B542=C542</f>
        <v/>
      </c>
      <c r="E542">
        <f>INT(B542*10)=A542</f>
        <v/>
      </c>
      <c r="F542">
        <f>B542&gt;=C542</f>
        <v/>
      </c>
      <c r="G542">
        <f>ROUND(G541+0.1,1)</f>
        <v/>
      </c>
      <c r="H542">
        <f>G542=C542</f>
        <v/>
      </c>
      <c r="I542">
        <f>TEXT(B542,"0.00000000000000")</f>
        <v/>
      </c>
    </row>
    <row r="543">
      <c r="A543" t="n">
        <v>536</v>
      </c>
      <c r="B543">
        <f>B542+0.1</f>
        <v/>
      </c>
      <c r="C543">
        <f>A543/10</f>
        <v/>
      </c>
      <c r="D543">
        <f>B543=C543</f>
        <v/>
      </c>
      <c r="E543">
        <f>INT(B543*10)=A543</f>
        <v/>
      </c>
      <c r="F543">
        <f>B543&gt;=C543</f>
        <v/>
      </c>
      <c r="G543">
        <f>ROUND(G542+0.1,1)</f>
        <v/>
      </c>
      <c r="H543">
        <f>G543=C543</f>
        <v/>
      </c>
      <c r="I543">
        <f>TEXT(B543,"0.00000000000000")</f>
        <v/>
      </c>
    </row>
    <row r="544">
      <c r="A544" t="n">
        <v>537</v>
      </c>
      <c r="B544">
        <f>B543+0.1</f>
        <v/>
      </c>
      <c r="C544">
        <f>A544/10</f>
        <v/>
      </c>
      <c r="D544">
        <f>B544=C544</f>
        <v/>
      </c>
      <c r="E544">
        <f>INT(B544*10)=A544</f>
        <v/>
      </c>
      <c r="F544">
        <f>B544&gt;=C544</f>
        <v/>
      </c>
      <c r="G544">
        <f>ROUND(G543+0.1,1)</f>
        <v/>
      </c>
      <c r="H544">
        <f>G544=C544</f>
        <v/>
      </c>
      <c r="I544">
        <f>TEXT(B544,"0.00000000000000")</f>
        <v/>
      </c>
    </row>
    <row r="545">
      <c r="A545" t="n">
        <v>538</v>
      </c>
      <c r="B545">
        <f>B544+0.1</f>
        <v/>
      </c>
      <c r="C545">
        <f>A545/10</f>
        <v/>
      </c>
      <c r="D545">
        <f>B545=C545</f>
        <v/>
      </c>
      <c r="E545">
        <f>INT(B545*10)=A545</f>
        <v/>
      </c>
      <c r="F545">
        <f>B545&gt;=C545</f>
        <v/>
      </c>
      <c r="G545">
        <f>ROUND(G544+0.1,1)</f>
        <v/>
      </c>
      <c r="H545">
        <f>G545=C545</f>
        <v/>
      </c>
      <c r="I545">
        <f>TEXT(B545,"0.00000000000000")</f>
        <v/>
      </c>
    </row>
    <row r="546">
      <c r="A546" t="n">
        <v>539</v>
      </c>
      <c r="B546">
        <f>B545+0.1</f>
        <v/>
      </c>
      <c r="C546">
        <f>A546/10</f>
        <v/>
      </c>
      <c r="D546">
        <f>B546=C546</f>
        <v/>
      </c>
      <c r="E546">
        <f>INT(B546*10)=A546</f>
        <v/>
      </c>
      <c r="F546">
        <f>B546&gt;=C546</f>
        <v/>
      </c>
      <c r="G546">
        <f>ROUND(G545+0.1,1)</f>
        <v/>
      </c>
      <c r="H546">
        <f>G546=C546</f>
        <v/>
      </c>
      <c r="I546">
        <f>TEXT(B546,"0.00000000000000")</f>
        <v/>
      </c>
    </row>
    <row r="547">
      <c r="A547" t="n">
        <v>540</v>
      </c>
      <c r="B547">
        <f>B546+0.1</f>
        <v/>
      </c>
      <c r="C547">
        <f>A547/10</f>
        <v/>
      </c>
      <c r="D547">
        <f>B547=C547</f>
        <v/>
      </c>
      <c r="E547">
        <f>INT(B547*10)=A547</f>
        <v/>
      </c>
      <c r="F547">
        <f>B547&gt;=C547</f>
        <v/>
      </c>
      <c r="G547">
        <f>ROUND(G546+0.1,1)</f>
        <v/>
      </c>
      <c r="H547">
        <f>G547=C547</f>
        <v/>
      </c>
      <c r="I547">
        <f>TEXT(B547,"0.00000000000000")</f>
        <v/>
      </c>
    </row>
    <row r="548">
      <c r="A548" t="n">
        <v>541</v>
      </c>
      <c r="B548">
        <f>B547+0.1</f>
        <v/>
      </c>
      <c r="C548">
        <f>A548/10</f>
        <v/>
      </c>
      <c r="D548">
        <f>B548=C548</f>
        <v/>
      </c>
      <c r="E548">
        <f>INT(B548*10)=A548</f>
        <v/>
      </c>
      <c r="F548">
        <f>B548&gt;=C548</f>
        <v/>
      </c>
      <c r="G548">
        <f>ROUND(G547+0.1,1)</f>
        <v/>
      </c>
      <c r="H548">
        <f>G548=C548</f>
        <v/>
      </c>
      <c r="I548">
        <f>TEXT(B548,"0.00000000000000")</f>
        <v/>
      </c>
    </row>
    <row r="549">
      <c r="A549" t="n">
        <v>542</v>
      </c>
      <c r="B549">
        <f>B548+0.1</f>
        <v/>
      </c>
      <c r="C549">
        <f>A549/10</f>
        <v/>
      </c>
      <c r="D549">
        <f>B549=C549</f>
        <v/>
      </c>
      <c r="E549">
        <f>INT(B549*10)=A549</f>
        <v/>
      </c>
      <c r="F549">
        <f>B549&gt;=C549</f>
        <v/>
      </c>
      <c r="G549">
        <f>ROUND(G548+0.1,1)</f>
        <v/>
      </c>
      <c r="H549">
        <f>G549=C549</f>
        <v/>
      </c>
      <c r="I549">
        <f>TEXT(B549,"0.00000000000000")</f>
        <v/>
      </c>
    </row>
    <row r="550">
      <c r="A550" t="n">
        <v>543</v>
      </c>
      <c r="B550">
        <f>B549+0.1</f>
        <v/>
      </c>
      <c r="C550">
        <f>A550/10</f>
        <v/>
      </c>
      <c r="D550">
        <f>B550=C550</f>
        <v/>
      </c>
      <c r="E550">
        <f>INT(B550*10)=A550</f>
        <v/>
      </c>
      <c r="F550">
        <f>B550&gt;=C550</f>
        <v/>
      </c>
      <c r="G550">
        <f>ROUND(G549+0.1,1)</f>
        <v/>
      </c>
      <c r="H550">
        <f>G550=C550</f>
        <v/>
      </c>
      <c r="I550">
        <f>TEXT(B550,"0.00000000000000")</f>
        <v/>
      </c>
    </row>
    <row r="551">
      <c r="A551" t="n">
        <v>544</v>
      </c>
      <c r="B551">
        <f>B550+0.1</f>
        <v/>
      </c>
      <c r="C551">
        <f>A551/10</f>
        <v/>
      </c>
      <c r="D551">
        <f>B551=C551</f>
        <v/>
      </c>
      <c r="E551">
        <f>INT(B551*10)=A551</f>
        <v/>
      </c>
      <c r="F551">
        <f>B551&gt;=C551</f>
        <v/>
      </c>
      <c r="G551">
        <f>ROUND(G550+0.1,1)</f>
        <v/>
      </c>
      <c r="H551">
        <f>G551=C551</f>
        <v/>
      </c>
      <c r="I551">
        <f>TEXT(B551,"0.00000000000000")</f>
        <v/>
      </c>
    </row>
    <row r="552">
      <c r="A552" t="n">
        <v>545</v>
      </c>
      <c r="B552">
        <f>B551+0.1</f>
        <v/>
      </c>
      <c r="C552">
        <f>A552/10</f>
        <v/>
      </c>
      <c r="D552">
        <f>B552=C552</f>
        <v/>
      </c>
      <c r="E552">
        <f>INT(B552*10)=A552</f>
        <v/>
      </c>
      <c r="F552">
        <f>B552&gt;=C552</f>
        <v/>
      </c>
      <c r="G552">
        <f>ROUND(G551+0.1,1)</f>
        <v/>
      </c>
      <c r="H552">
        <f>G552=C552</f>
        <v/>
      </c>
      <c r="I552">
        <f>TEXT(B552,"0.00000000000000")</f>
        <v/>
      </c>
    </row>
    <row r="553">
      <c r="A553" t="n">
        <v>546</v>
      </c>
      <c r="B553">
        <f>B552+0.1</f>
        <v/>
      </c>
      <c r="C553">
        <f>A553/10</f>
        <v/>
      </c>
      <c r="D553">
        <f>B553=C553</f>
        <v/>
      </c>
      <c r="E553">
        <f>INT(B553*10)=A553</f>
        <v/>
      </c>
      <c r="F553">
        <f>B553&gt;=C553</f>
        <v/>
      </c>
      <c r="G553">
        <f>ROUND(G552+0.1,1)</f>
        <v/>
      </c>
      <c r="H553">
        <f>G553=C553</f>
        <v/>
      </c>
      <c r="I553">
        <f>TEXT(B553,"0.00000000000000")</f>
        <v/>
      </c>
    </row>
    <row r="554">
      <c r="A554" t="n">
        <v>547</v>
      </c>
      <c r="B554">
        <f>B553+0.1</f>
        <v/>
      </c>
      <c r="C554">
        <f>A554/10</f>
        <v/>
      </c>
      <c r="D554">
        <f>B554=C554</f>
        <v/>
      </c>
      <c r="E554">
        <f>INT(B554*10)=A554</f>
        <v/>
      </c>
      <c r="F554">
        <f>B554&gt;=C554</f>
        <v/>
      </c>
      <c r="G554">
        <f>ROUND(G553+0.1,1)</f>
        <v/>
      </c>
      <c r="H554">
        <f>G554=C554</f>
        <v/>
      </c>
      <c r="I554">
        <f>TEXT(B554,"0.00000000000000")</f>
        <v/>
      </c>
    </row>
    <row r="555">
      <c r="A555" t="n">
        <v>548</v>
      </c>
      <c r="B555">
        <f>B554+0.1</f>
        <v/>
      </c>
      <c r="C555">
        <f>A555/10</f>
        <v/>
      </c>
      <c r="D555">
        <f>B555=C555</f>
        <v/>
      </c>
      <c r="E555">
        <f>INT(B555*10)=A555</f>
        <v/>
      </c>
      <c r="F555">
        <f>B555&gt;=C555</f>
        <v/>
      </c>
      <c r="G555">
        <f>ROUND(G554+0.1,1)</f>
        <v/>
      </c>
      <c r="H555">
        <f>G555=C555</f>
        <v/>
      </c>
      <c r="I555">
        <f>TEXT(B555,"0.00000000000000")</f>
        <v/>
      </c>
    </row>
    <row r="556">
      <c r="A556" t="n">
        <v>549</v>
      </c>
      <c r="B556">
        <f>B555+0.1</f>
        <v/>
      </c>
      <c r="C556">
        <f>A556/10</f>
        <v/>
      </c>
      <c r="D556">
        <f>B556=C556</f>
        <v/>
      </c>
      <c r="E556">
        <f>INT(B556*10)=A556</f>
        <v/>
      </c>
      <c r="F556">
        <f>B556&gt;=C556</f>
        <v/>
      </c>
      <c r="G556">
        <f>ROUND(G555+0.1,1)</f>
        <v/>
      </c>
      <c r="H556">
        <f>G556=C556</f>
        <v/>
      </c>
      <c r="I556">
        <f>TEXT(B556,"0.00000000000000")</f>
        <v/>
      </c>
    </row>
    <row r="557">
      <c r="A557" t="n">
        <v>550</v>
      </c>
      <c r="B557">
        <f>B556+0.1</f>
        <v/>
      </c>
      <c r="C557">
        <f>A557/10</f>
        <v/>
      </c>
      <c r="D557">
        <f>B557=C557</f>
        <v/>
      </c>
      <c r="E557">
        <f>INT(B557*10)=A557</f>
        <v/>
      </c>
      <c r="F557">
        <f>B557&gt;=C557</f>
        <v/>
      </c>
      <c r="G557">
        <f>ROUND(G556+0.1,1)</f>
        <v/>
      </c>
      <c r="H557">
        <f>G557=C557</f>
        <v/>
      </c>
      <c r="I557">
        <f>TEXT(B557,"0.00000000000000")</f>
        <v/>
      </c>
    </row>
    <row r="558">
      <c r="A558" t="n">
        <v>551</v>
      </c>
      <c r="B558">
        <f>B557+0.1</f>
        <v/>
      </c>
      <c r="C558">
        <f>A558/10</f>
        <v/>
      </c>
      <c r="D558">
        <f>B558=C558</f>
        <v/>
      </c>
      <c r="E558">
        <f>INT(B558*10)=A558</f>
        <v/>
      </c>
      <c r="F558">
        <f>B558&gt;=C558</f>
        <v/>
      </c>
      <c r="G558">
        <f>ROUND(G557+0.1,1)</f>
        <v/>
      </c>
      <c r="H558">
        <f>G558=C558</f>
        <v/>
      </c>
      <c r="I558">
        <f>TEXT(B558,"0.00000000000000")</f>
        <v/>
      </c>
    </row>
    <row r="559">
      <c r="A559" t="n">
        <v>552</v>
      </c>
      <c r="B559">
        <f>B558+0.1</f>
        <v/>
      </c>
      <c r="C559">
        <f>A559/10</f>
        <v/>
      </c>
      <c r="D559">
        <f>B559=C559</f>
        <v/>
      </c>
      <c r="E559">
        <f>INT(B559*10)=A559</f>
        <v/>
      </c>
      <c r="F559">
        <f>B559&gt;=C559</f>
        <v/>
      </c>
      <c r="G559">
        <f>ROUND(G558+0.1,1)</f>
        <v/>
      </c>
      <c r="H559">
        <f>G559=C559</f>
        <v/>
      </c>
      <c r="I559">
        <f>TEXT(B559,"0.00000000000000")</f>
        <v/>
      </c>
    </row>
    <row r="560">
      <c r="A560" t="n">
        <v>553</v>
      </c>
      <c r="B560">
        <f>B559+0.1</f>
        <v/>
      </c>
      <c r="C560">
        <f>A560/10</f>
        <v/>
      </c>
      <c r="D560">
        <f>B560=C560</f>
        <v/>
      </c>
      <c r="E560">
        <f>INT(B560*10)=A560</f>
        <v/>
      </c>
      <c r="F560">
        <f>B560&gt;=C560</f>
        <v/>
      </c>
      <c r="G560">
        <f>ROUND(G559+0.1,1)</f>
        <v/>
      </c>
      <c r="H560">
        <f>G560=C560</f>
        <v/>
      </c>
      <c r="I560">
        <f>TEXT(B560,"0.00000000000000")</f>
        <v/>
      </c>
    </row>
    <row r="561">
      <c r="A561" t="n">
        <v>554</v>
      </c>
      <c r="B561">
        <f>B560+0.1</f>
        <v/>
      </c>
      <c r="C561">
        <f>A561/10</f>
        <v/>
      </c>
      <c r="D561">
        <f>B561=C561</f>
        <v/>
      </c>
      <c r="E561">
        <f>INT(B561*10)=A561</f>
        <v/>
      </c>
      <c r="F561">
        <f>B561&gt;=C561</f>
        <v/>
      </c>
      <c r="G561">
        <f>ROUND(G560+0.1,1)</f>
        <v/>
      </c>
      <c r="H561">
        <f>G561=C561</f>
        <v/>
      </c>
      <c r="I561">
        <f>TEXT(B561,"0.00000000000000")</f>
        <v/>
      </c>
    </row>
    <row r="562">
      <c r="A562" t="n">
        <v>555</v>
      </c>
      <c r="B562">
        <f>B561+0.1</f>
        <v/>
      </c>
      <c r="C562">
        <f>A562/10</f>
        <v/>
      </c>
      <c r="D562">
        <f>B562=C562</f>
        <v/>
      </c>
      <c r="E562">
        <f>INT(B562*10)=A562</f>
        <v/>
      </c>
      <c r="F562">
        <f>B562&gt;=C562</f>
        <v/>
      </c>
      <c r="G562">
        <f>ROUND(G561+0.1,1)</f>
        <v/>
      </c>
      <c r="H562">
        <f>G562=C562</f>
        <v/>
      </c>
      <c r="I562">
        <f>TEXT(B562,"0.00000000000000")</f>
        <v/>
      </c>
    </row>
    <row r="563">
      <c r="A563" t="n">
        <v>556</v>
      </c>
      <c r="B563">
        <f>B562+0.1</f>
        <v/>
      </c>
      <c r="C563">
        <f>A563/10</f>
        <v/>
      </c>
      <c r="D563">
        <f>B563=C563</f>
        <v/>
      </c>
      <c r="E563">
        <f>INT(B563*10)=A563</f>
        <v/>
      </c>
      <c r="F563">
        <f>B563&gt;=C563</f>
        <v/>
      </c>
      <c r="G563">
        <f>ROUND(G562+0.1,1)</f>
        <v/>
      </c>
      <c r="H563">
        <f>G563=C563</f>
        <v/>
      </c>
      <c r="I563">
        <f>TEXT(B563,"0.00000000000000")</f>
        <v/>
      </c>
    </row>
    <row r="564">
      <c r="A564" t="n">
        <v>557</v>
      </c>
      <c r="B564">
        <f>B563+0.1</f>
        <v/>
      </c>
      <c r="C564">
        <f>A564/10</f>
        <v/>
      </c>
      <c r="D564">
        <f>B564=C564</f>
        <v/>
      </c>
      <c r="E564">
        <f>INT(B564*10)=A564</f>
        <v/>
      </c>
      <c r="F564">
        <f>B564&gt;=C564</f>
        <v/>
      </c>
      <c r="G564">
        <f>ROUND(G563+0.1,1)</f>
        <v/>
      </c>
      <c r="H564">
        <f>G564=C564</f>
        <v/>
      </c>
      <c r="I564">
        <f>TEXT(B564,"0.00000000000000")</f>
        <v/>
      </c>
    </row>
    <row r="565">
      <c r="A565" t="n">
        <v>558</v>
      </c>
      <c r="B565">
        <f>B564+0.1</f>
        <v/>
      </c>
      <c r="C565">
        <f>A565/10</f>
        <v/>
      </c>
      <c r="D565">
        <f>B565=C565</f>
        <v/>
      </c>
      <c r="E565">
        <f>INT(B565*10)=A565</f>
        <v/>
      </c>
      <c r="F565">
        <f>B565&gt;=C565</f>
        <v/>
      </c>
      <c r="G565">
        <f>ROUND(G564+0.1,1)</f>
        <v/>
      </c>
      <c r="H565">
        <f>G565=C565</f>
        <v/>
      </c>
      <c r="I565">
        <f>TEXT(B565,"0.00000000000000")</f>
        <v/>
      </c>
    </row>
    <row r="566">
      <c r="A566" t="n">
        <v>559</v>
      </c>
      <c r="B566">
        <f>B565+0.1</f>
        <v/>
      </c>
      <c r="C566">
        <f>A566/10</f>
        <v/>
      </c>
      <c r="D566">
        <f>B566=C566</f>
        <v/>
      </c>
      <c r="E566">
        <f>INT(B566*10)=A566</f>
        <v/>
      </c>
      <c r="F566">
        <f>B566&gt;=C566</f>
        <v/>
      </c>
      <c r="G566">
        <f>ROUND(G565+0.1,1)</f>
        <v/>
      </c>
      <c r="H566">
        <f>G566=C566</f>
        <v/>
      </c>
      <c r="I566">
        <f>TEXT(B566,"0.00000000000000")</f>
        <v/>
      </c>
    </row>
    <row r="567">
      <c r="A567" t="n">
        <v>560</v>
      </c>
      <c r="B567">
        <f>B566+0.1</f>
        <v/>
      </c>
      <c r="C567">
        <f>A567/10</f>
        <v/>
      </c>
      <c r="D567">
        <f>B567=C567</f>
        <v/>
      </c>
      <c r="E567">
        <f>INT(B567*10)=A567</f>
        <v/>
      </c>
      <c r="F567">
        <f>B567&gt;=C567</f>
        <v/>
      </c>
      <c r="G567">
        <f>ROUND(G566+0.1,1)</f>
        <v/>
      </c>
      <c r="H567">
        <f>G567=C567</f>
        <v/>
      </c>
      <c r="I567">
        <f>TEXT(B567,"0.00000000000000")</f>
        <v/>
      </c>
    </row>
    <row r="568">
      <c r="A568" t="n">
        <v>561</v>
      </c>
      <c r="B568">
        <f>B567+0.1</f>
        <v/>
      </c>
      <c r="C568">
        <f>A568/10</f>
        <v/>
      </c>
      <c r="D568">
        <f>B568=C568</f>
        <v/>
      </c>
      <c r="E568">
        <f>INT(B568*10)=A568</f>
        <v/>
      </c>
      <c r="F568">
        <f>B568&gt;=C568</f>
        <v/>
      </c>
      <c r="G568">
        <f>ROUND(G567+0.1,1)</f>
        <v/>
      </c>
      <c r="H568">
        <f>G568=C568</f>
        <v/>
      </c>
      <c r="I568">
        <f>TEXT(B568,"0.00000000000000")</f>
        <v/>
      </c>
    </row>
    <row r="569">
      <c r="A569" t="n">
        <v>562</v>
      </c>
      <c r="B569">
        <f>B568+0.1</f>
        <v/>
      </c>
      <c r="C569">
        <f>A569/10</f>
        <v/>
      </c>
      <c r="D569">
        <f>B569=C569</f>
        <v/>
      </c>
      <c r="E569">
        <f>INT(B569*10)=A569</f>
        <v/>
      </c>
      <c r="F569">
        <f>B569&gt;=C569</f>
        <v/>
      </c>
      <c r="G569">
        <f>ROUND(G568+0.1,1)</f>
        <v/>
      </c>
      <c r="H569">
        <f>G569=C569</f>
        <v/>
      </c>
      <c r="I569">
        <f>TEXT(B569,"0.00000000000000")</f>
        <v/>
      </c>
    </row>
    <row r="570">
      <c r="A570" t="n">
        <v>563</v>
      </c>
      <c r="B570">
        <f>B569+0.1</f>
        <v/>
      </c>
      <c r="C570">
        <f>A570/10</f>
        <v/>
      </c>
      <c r="D570">
        <f>B570=C570</f>
        <v/>
      </c>
      <c r="E570">
        <f>INT(B570*10)=A570</f>
        <v/>
      </c>
      <c r="F570">
        <f>B570&gt;=C570</f>
        <v/>
      </c>
      <c r="G570">
        <f>ROUND(G569+0.1,1)</f>
        <v/>
      </c>
      <c r="H570">
        <f>G570=C570</f>
        <v/>
      </c>
      <c r="I570">
        <f>TEXT(B570,"0.00000000000000")</f>
        <v/>
      </c>
    </row>
    <row r="571">
      <c r="A571" t="n">
        <v>564</v>
      </c>
      <c r="B571">
        <f>B570+0.1</f>
        <v/>
      </c>
      <c r="C571">
        <f>A571/10</f>
        <v/>
      </c>
      <c r="D571">
        <f>B571=C571</f>
        <v/>
      </c>
      <c r="E571">
        <f>INT(B571*10)=A571</f>
        <v/>
      </c>
      <c r="F571">
        <f>B571&gt;=C571</f>
        <v/>
      </c>
      <c r="G571">
        <f>ROUND(G570+0.1,1)</f>
        <v/>
      </c>
      <c r="H571">
        <f>G571=C571</f>
        <v/>
      </c>
      <c r="I571">
        <f>TEXT(B571,"0.00000000000000")</f>
        <v/>
      </c>
    </row>
    <row r="572">
      <c r="A572" t="n">
        <v>565</v>
      </c>
      <c r="B572">
        <f>B571+0.1</f>
        <v/>
      </c>
      <c r="C572">
        <f>A572/10</f>
        <v/>
      </c>
      <c r="D572">
        <f>B572=C572</f>
        <v/>
      </c>
      <c r="E572">
        <f>INT(B572*10)=A572</f>
        <v/>
      </c>
      <c r="F572">
        <f>B572&gt;=C572</f>
        <v/>
      </c>
      <c r="G572">
        <f>ROUND(G571+0.1,1)</f>
        <v/>
      </c>
      <c r="H572">
        <f>G572=C572</f>
        <v/>
      </c>
      <c r="I572">
        <f>TEXT(B572,"0.00000000000000")</f>
        <v/>
      </c>
    </row>
    <row r="573">
      <c r="A573" t="n">
        <v>566</v>
      </c>
      <c r="B573">
        <f>B572+0.1</f>
        <v/>
      </c>
      <c r="C573">
        <f>A573/10</f>
        <v/>
      </c>
      <c r="D573">
        <f>B573=C573</f>
        <v/>
      </c>
      <c r="E573">
        <f>INT(B573*10)=A573</f>
        <v/>
      </c>
      <c r="F573">
        <f>B573&gt;=C573</f>
        <v/>
      </c>
      <c r="G573">
        <f>ROUND(G572+0.1,1)</f>
        <v/>
      </c>
      <c r="H573">
        <f>G573=C573</f>
        <v/>
      </c>
      <c r="I573">
        <f>TEXT(B573,"0.00000000000000")</f>
        <v/>
      </c>
    </row>
    <row r="574">
      <c r="A574" t="n">
        <v>567</v>
      </c>
      <c r="B574">
        <f>B573+0.1</f>
        <v/>
      </c>
      <c r="C574">
        <f>A574/10</f>
        <v/>
      </c>
      <c r="D574">
        <f>B574=C574</f>
        <v/>
      </c>
      <c r="E574">
        <f>INT(B574*10)=A574</f>
        <v/>
      </c>
      <c r="F574">
        <f>B574&gt;=C574</f>
        <v/>
      </c>
      <c r="G574">
        <f>ROUND(G573+0.1,1)</f>
        <v/>
      </c>
      <c r="H574">
        <f>G574=C574</f>
        <v/>
      </c>
      <c r="I574">
        <f>TEXT(B574,"0.00000000000000")</f>
        <v/>
      </c>
    </row>
    <row r="575">
      <c r="A575" t="n">
        <v>568</v>
      </c>
      <c r="B575">
        <f>B574+0.1</f>
        <v/>
      </c>
      <c r="C575">
        <f>A575/10</f>
        <v/>
      </c>
      <c r="D575">
        <f>B575=C575</f>
        <v/>
      </c>
      <c r="E575">
        <f>INT(B575*10)=A575</f>
        <v/>
      </c>
      <c r="F575">
        <f>B575&gt;=C575</f>
        <v/>
      </c>
      <c r="G575">
        <f>ROUND(G574+0.1,1)</f>
        <v/>
      </c>
      <c r="H575">
        <f>G575=C575</f>
        <v/>
      </c>
      <c r="I575">
        <f>TEXT(B575,"0.00000000000000")</f>
        <v/>
      </c>
    </row>
    <row r="576">
      <c r="A576" t="n">
        <v>569</v>
      </c>
      <c r="B576">
        <f>B575+0.1</f>
        <v/>
      </c>
      <c r="C576">
        <f>A576/10</f>
        <v/>
      </c>
      <c r="D576">
        <f>B576=C576</f>
        <v/>
      </c>
      <c r="E576">
        <f>INT(B576*10)=A576</f>
        <v/>
      </c>
      <c r="F576">
        <f>B576&gt;=C576</f>
        <v/>
      </c>
      <c r="G576">
        <f>ROUND(G575+0.1,1)</f>
        <v/>
      </c>
      <c r="H576">
        <f>G576=C576</f>
        <v/>
      </c>
      <c r="I576">
        <f>TEXT(B576,"0.00000000000000")</f>
        <v/>
      </c>
    </row>
    <row r="577">
      <c r="A577" t="n">
        <v>570</v>
      </c>
      <c r="B577">
        <f>B576+0.1</f>
        <v/>
      </c>
      <c r="C577">
        <f>A577/10</f>
        <v/>
      </c>
      <c r="D577">
        <f>B577=C577</f>
        <v/>
      </c>
      <c r="E577">
        <f>INT(B577*10)=A577</f>
        <v/>
      </c>
      <c r="F577">
        <f>B577&gt;=C577</f>
        <v/>
      </c>
      <c r="G577">
        <f>ROUND(G576+0.1,1)</f>
        <v/>
      </c>
      <c r="H577">
        <f>G577=C577</f>
        <v/>
      </c>
      <c r="I577">
        <f>TEXT(B577,"0.00000000000000")</f>
        <v/>
      </c>
    </row>
    <row r="578">
      <c r="A578" t="n">
        <v>571</v>
      </c>
      <c r="B578">
        <f>B577+0.1</f>
        <v/>
      </c>
      <c r="C578">
        <f>A578/10</f>
        <v/>
      </c>
      <c r="D578">
        <f>B578=C578</f>
        <v/>
      </c>
      <c r="E578">
        <f>INT(B578*10)=A578</f>
        <v/>
      </c>
      <c r="F578">
        <f>B578&gt;=C578</f>
        <v/>
      </c>
      <c r="G578">
        <f>ROUND(G577+0.1,1)</f>
        <v/>
      </c>
      <c r="H578">
        <f>G578=C578</f>
        <v/>
      </c>
      <c r="I578">
        <f>TEXT(B578,"0.00000000000000")</f>
        <v/>
      </c>
    </row>
    <row r="579">
      <c r="A579" t="n">
        <v>572</v>
      </c>
      <c r="B579">
        <f>B578+0.1</f>
        <v/>
      </c>
      <c r="C579">
        <f>A579/10</f>
        <v/>
      </c>
      <c r="D579">
        <f>B579=C579</f>
        <v/>
      </c>
      <c r="E579">
        <f>INT(B579*10)=A579</f>
        <v/>
      </c>
      <c r="F579">
        <f>B579&gt;=C579</f>
        <v/>
      </c>
      <c r="G579">
        <f>ROUND(G578+0.1,1)</f>
        <v/>
      </c>
      <c r="H579">
        <f>G579=C579</f>
        <v/>
      </c>
      <c r="I579">
        <f>TEXT(B579,"0.00000000000000")</f>
        <v/>
      </c>
    </row>
    <row r="580">
      <c r="A580" t="n">
        <v>573</v>
      </c>
      <c r="B580">
        <f>B579+0.1</f>
        <v/>
      </c>
      <c r="C580">
        <f>A580/10</f>
        <v/>
      </c>
      <c r="D580">
        <f>B580=C580</f>
        <v/>
      </c>
      <c r="E580">
        <f>INT(B580*10)=A580</f>
        <v/>
      </c>
      <c r="F580">
        <f>B580&gt;=C580</f>
        <v/>
      </c>
      <c r="G580">
        <f>ROUND(G579+0.1,1)</f>
        <v/>
      </c>
      <c r="H580">
        <f>G580=C580</f>
        <v/>
      </c>
      <c r="I580">
        <f>TEXT(B580,"0.00000000000000")</f>
        <v/>
      </c>
    </row>
    <row r="581">
      <c r="A581" t="n">
        <v>574</v>
      </c>
      <c r="B581">
        <f>B580+0.1</f>
        <v/>
      </c>
      <c r="C581">
        <f>A581/10</f>
        <v/>
      </c>
      <c r="D581">
        <f>B581=C581</f>
        <v/>
      </c>
      <c r="E581">
        <f>INT(B581*10)=A581</f>
        <v/>
      </c>
      <c r="F581">
        <f>B581&gt;=C581</f>
        <v/>
      </c>
      <c r="G581">
        <f>ROUND(G580+0.1,1)</f>
        <v/>
      </c>
      <c r="H581">
        <f>G581=C581</f>
        <v/>
      </c>
      <c r="I581">
        <f>TEXT(B581,"0.00000000000000")</f>
        <v/>
      </c>
    </row>
    <row r="582">
      <c r="A582" t="n">
        <v>575</v>
      </c>
      <c r="B582">
        <f>B581+0.1</f>
        <v/>
      </c>
      <c r="C582">
        <f>A582/10</f>
        <v/>
      </c>
      <c r="D582">
        <f>B582=C582</f>
        <v/>
      </c>
      <c r="E582">
        <f>INT(B582*10)=A582</f>
        <v/>
      </c>
      <c r="F582">
        <f>B582&gt;=C582</f>
        <v/>
      </c>
      <c r="G582">
        <f>ROUND(G581+0.1,1)</f>
        <v/>
      </c>
      <c r="H582">
        <f>G582=C582</f>
        <v/>
      </c>
      <c r="I582">
        <f>TEXT(B582,"0.00000000000000")</f>
        <v/>
      </c>
    </row>
    <row r="583">
      <c r="A583" t="n">
        <v>576</v>
      </c>
      <c r="B583">
        <f>B582+0.1</f>
        <v/>
      </c>
      <c r="C583">
        <f>A583/10</f>
        <v/>
      </c>
      <c r="D583">
        <f>B583=C583</f>
        <v/>
      </c>
      <c r="E583">
        <f>INT(B583*10)=A583</f>
        <v/>
      </c>
      <c r="F583">
        <f>B583&gt;=C583</f>
        <v/>
      </c>
      <c r="G583">
        <f>ROUND(G582+0.1,1)</f>
        <v/>
      </c>
      <c r="H583">
        <f>G583=C583</f>
        <v/>
      </c>
      <c r="I583">
        <f>TEXT(B583,"0.00000000000000")</f>
        <v/>
      </c>
    </row>
    <row r="584">
      <c r="A584" t="n">
        <v>577</v>
      </c>
      <c r="B584">
        <f>B583+0.1</f>
        <v/>
      </c>
      <c r="C584">
        <f>A584/10</f>
        <v/>
      </c>
      <c r="D584">
        <f>B584=C584</f>
        <v/>
      </c>
      <c r="E584">
        <f>INT(B584*10)=A584</f>
        <v/>
      </c>
      <c r="F584">
        <f>B584&gt;=C584</f>
        <v/>
      </c>
      <c r="G584">
        <f>ROUND(G583+0.1,1)</f>
        <v/>
      </c>
      <c r="H584">
        <f>G584=C584</f>
        <v/>
      </c>
      <c r="I584">
        <f>TEXT(B584,"0.00000000000000")</f>
        <v/>
      </c>
    </row>
    <row r="585">
      <c r="A585" t="n">
        <v>578</v>
      </c>
      <c r="B585">
        <f>B584+0.1</f>
        <v/>
      </c>
      <c r="C585">
        <f>A585/10</f>
        <v/>
      </c>
      <c r="D585">
        <f>B585=C585</f>
        <v/>
      </c>
      <c r="E585">
        <f>INT(B585*10)=A585</f>
        <v/>
      </c>
      <c r="F585">
        <f>B585&gt;=C585</f>
        <v/>
      </c>
      <c r="G585">
        <f>ROUND(G584+0.1,1)</f>
        <v/>
      </c>
      <c r="H585">
        <f>G585=C585</f>
        <v/>
      </c>
      <c r="I585">
        <f>TEXT(B585,"0.00000000000000")</f>
        <v/>
      </c>
    </row>
    <row r="586">
      <c r="A586" t="n">
        <v>579</v>
      </c>
      <c r="B586">
        <f>B585+0.1</f>
        <v/>
      </c>
      <c r="C586">
        <f>A586/10</f>
        <v/>
      </c>
      <c r="D586">
        <f>B586=C586</f>
        <v/>
      </c>
      <c r="E586">
        <f>INT(B586*10)=A586</f>
        <v/>
      </c>
      <c r="F586">
        <f>B586&gt;=C586</f>
        <v/>
      </c>
      <c r="G586">
        <f>ROUND(G585+0.1,1)</f>
        <v/>
      </c>
      <c r="H586">
        <f>G586=C586</f>
        <v/>
      </c>
      <c r="I586">
        <f>TEXT(B586,"0.00000000000000")</f>
        <v/>
      </c>
    </row>
    <row r="587">
      <c r="A587" t="n">
        <v>580</v>
      </c>
      <c r="B587">
        <f>B586+0.1</f>
        <v/>
      </c>
      <c r="C587">
        <f>A587/10</f>
        <v/>
      </c>
      <c r="D587">
        <f>B587=C587</f>
        <v/>
      </c>
      <c r="E587">
        <f>INT(B587*10)=A587</f>
        <v/>
      </c>
      <c r="F587">
        <f>B587&gt;=C587</f>
        <v/>
      </c>
      <c r="G587">
        <f>ROUND(G586+0.1,1)</f>
        <v/>
      </c>
      <c r="H587">
        <f>G587=C587</f>
        <v/>
      </c>
      <c r="I587">
        <f>TEXT(B587,"0.00000000000000")</f>
        <v/>
      </c>
    </row>
    <row r="588">
      <c r="A588" t="n">
        <v>581</v>
      </c>
      <c r="B588">
        <f>B587+0.1</f>
        <v/>
      </c>
      <c r="C588">
        <f>A588/10</f>
        <v/>
      </c>
      <c r="D588">
        <f>B588=C588</f>
        <v/>
      </c>
      <c r="E588">
        <f>INT(B588*10)=A588</f>
        <v/>
      </c>
      <c r="F588">
        <f>B588&gt;=C588</f>
        <v/>
      </c>
      <c r="G588">
        <f>ROUND(G587+0.1,1)</f>
        <v/>
      </c>
      <c r="H588">
        <f>G588=C588</f>
        <v/>
      </c>
      <c r="I588">
        <f>TEXT(B588,"0.00000000000000")</f>
        <v/>
      </c>
    </row>
    <row r="589">
      <c r="A589" t="n">
        <v>582</v>
      </c>
      <c r="B589">
        <f>B588+0.1</f>
        <v/>
      </c>
      <c r="C589">
        <f>A589/10</f>
        <v/>
      </c>
      <c r="D589">
        <f>B589=C589</f>
        <v/>
      </c>
      <c r="E589">
        <f>INT(B589*10)=A589</f>
        <v/>
      </c>
      <c r="F589">
        <f>B589&gt;=C589</f>
        <v/>
      </c>
      <c r="G589">
        <f>ROUND(G588+0.1,1)</f>
        <v/>
      </c>
      <c r="H589">
        <f>G589=C589</f>
        <v/>
      </c>
      <c r="I589">
        <f>TEXT(B589,"0.00000000000000")</f>
        <v/>
      </c>
    </row>
    <row r="590">
      <c r="A590" t="n">
        <v>583</v>
      </c>
      <c r="B590">
        <f>B589+0.1</f>
        <v/>
      </c>
      <c r="C590">
        <f>A590/10</f>
        <v/>
      </c>
      <c r="D590">
        <f>B590=C590</f>
        <v/>
      </c>
      <c r="E590">
        <f>INT(B590*10)=A590</f>
        <v/>
      </c>
      <c r="F590">
        <f>B590&gt;=C590</f>
        <v/>
      </c>
      <c r="G590">
        <f>ROUND(G589+0.1,1)</f>
        <v/>
      </c>
      <c r="H590">
        <f>G590=C590</f>
        <v/>
      </c>
      <c r="I590">
        <f>TEXT(B590,"0.00000000000000")</f>
        <v/>
      </c>
    </row>
    <row r="591">
      <c r="A591" t="n">
        <v>584</v>
      </c>
      <c r="B591">
        <f>B590+0.1</f>
        <v/>
      </c>
      <c r="C591">
        <f>A591/10</f>
        <v/>
      </c>
      <c r="D591">
        <f>B591=C591</f>
        <v/>
      </c>
      <c r="E591">
        <f>INT(B591*10)=A591</f>
        <v/>
      </c>
      <c r="F591">
        <f>B591&gt;=C591</f>
        <v/>
      </c>
      <c r="G591">
        <f>ROUND(G590+0.1,1)</f>
        <v/>
      </c>
      <c r="H591">
        <f>G591=C591</f>
        <v/>
      </c>
      <c r="I591">
        <f>TEXT(B591,"0.00000000000000")</f>
        <v/>
      </c>
    </row>
    <row r="592">
      <c r="A592" t="n">
        <v>585</v>
      </c>
      <c r="B592">
        <f>B591+0.1</f>
        <v/>
      </c>
      <c r="C592">
        <f>A592/10</f>
        <v/>
      </c>
      <c r="D592">
        <f>B592=C592</f>
        <v/>
      </c>
      <c r="E592">
        <f>INT(B592*10)=A592</f>
        <v/>
      </c>
      <c r="F592">
        <f>B592&gt;=C592</f>
        <v/>
      </c>
      <c r="G592">
        <f>ROUND(G591+0.1,1)</f>
        <v/>
      </c>
      <c r="H592">
        <f>G592=C592</f>
        <v/>
      </c>
      <c r="I592">
        <f>TEXT(B592,"0.00000000000000")</f>
        <v/>
      </c>
    </row>
    <row r="593">
      <c r="A593" t="n">
        <v>586</v>
      </c>
      <c r="B593">
        <f>B592+0.1</f>
        <v/>
      </c>
      <c r="C593">
        <f>A593/10</f>
        <v/>
      </c>
      <c r="D593">
        <f>B593=C593</f>
        <v/>
      </c>
      <c r="E593">
        <f>INT(B593*10)=A593</f>
        <v/>
      </c>
      <c r="F593">
        <f>B593&gt;=C593</f>
        <v/>
      </c>
      <c r="G593">
        <f>ROUND(G592+0.1,1)</f>
        <v/>
      </c>
      <c r="H593">
        <f>G593=C593</f>
        <v/>
      </c>
      <c r="I593">
        <f>TEXT(B593,"0.00000000000000")</f>
        <v/>
      </c>
    </row>
    <row r="594">
      <c r="A594" t="n">
        <v>587</v>
      </c>
      <c r="B594">
        <f>B593+0.1</f>
        <v/>
      </c>
      <c r="C594">
        <f>A594/10</f>
        <v/>
      </c>
      <c r="D594">
        <f>B594=C594</f>
        <v/>
      </c>
      <c r="E594">
        <f>INT(B594*10)=A594</f>
        <v/>
      </c>
      <c r="F594">
        <f>B594&gt;=C594</f>
        <v/>
      </c>
      <c r="G594">
        <f>ROUND(G593+0.1,1)</f>
        <v/>
      </c>
      <c r="H594">
        <f>G594=C594</f>
        <v/>
      </c>
      <c r="I594">
        <f>TEXT(B594,"0.00000000000000")</f>
        <v/>
      </c>
    </row>
    <row r="595">
      <c r="A595" t="n">
        <v>588</v>
      </c>
      <c r="B595">
        <f>B594+0.1</f>
        <v/>
      </c>
      <c r="C595">
        <f>A595/10</f>
        <v/>
      </c>
      <c r="D595">
        <f>B595=C595</f>
        <v/>
      </c>
      <c r="E595">
        <f>INT(B595*10)=A595</f>
        <v/>
      </c>
      <c r="F595">
        <f>B595&gt;=C595</f>
        <v/>
      </c>
      <c r="G595">
        <f>ROUND(G594+0.1,1)</f>
        <v/>
      </c>
      <c r="H595">
        <f>G595=C595</f>
        <v/>
      </c>
      <c r="I595">
        <f>TEXT(B595,"0.00000000000000")</f>
        <v/>
      </c>
    </row>
    <row r="596">
      <c r="A596" t="n">
        <v>589</v>
      </c>
      <c r="B596">
        <f>B595+0.1</f>
        <v/>
      </c>
      <c r="C596">
        <f>A596/10</f>
        <v/>
      </c>
      <c r="D596">
        <f>B596=C596</f>
        <v/>
      </c>
      <c r="E596">
        <f>INT(B596*10)=A596</f>
        <v/>
      </c>
      <c r="F596">
        <f>B596&gt;=C596</f>
        <v/>
      </c>
      <c r="G596">
        <f>ROUND(G595+0.1,1)</f>
        <v/>
      </c>
      <c r="H596">
        <f>G596=C596</f>
        <v/>
      </c>
      <c r="I596">
        <f>TEXT(B596,"0.00000000000000")</f>
        <v/>
      </c>
    </row>
    <row r="597">
      <c r="A597" t="n">
        <v>590</v>
      </c>
      <c r="B597">
        <f>B596+0.1</f>
        <v/>
      </c>
      <c r="C597">
        <f>A597/10</f>
        <v/>
      </c>
      <c r="D597">
        <f>B597=C597</f>
        <v/>
      </c>
      <c r="E597">
        <f>INT(B597*10)=A597</f>
        <v/>
      </c>
      <c r="F597">
        <f>B597&gt;=C597</f>
        <v/>
      </c>
      <c r="G597">
        <f>ROUND(G596+0.1,1)</f>
        <v/>
      </c>
      <c r="H597">
        <f>G597=C597</f>
        <v/>
      </c>
      <c r="I597">
        <f>TEXT(B597,"0.00000000000000")</f>
        <v/>
      </c>
    </row>
    <row r="598">
      <c r="A598" t="n">
        <v>591</v>
      </c>
      <c r="B598">
        <f>B597+0.1</f>
        <v/>
      </c>
      <c r="C598">
        <f>A598/10</f>
        <v/>
      </c>
      <c r="D598">
        <f>B598=C598</f>
        <v/>
      </c>
      <c r="E598">
        <f>INT(B598*10)=A598</f>
        <v/>
      </c>
      <c r="F598">
        <f>B598&gt;=C598</f>
        <v/>
      </c>
      <c r="G598">
        <f>ROUND(G597+0.1,1)</f>
        <v/>
      </c>
      <c r="H598">
        <f>G598=C598</f>
        <v/>
      </c>
      <c r="I598">
        <f>TEXT(B598,"0.00000000000000")</f>
        <v/>
      </c>
    </row>
    <row r="599">
      <c r="A599" t="n">
        <v>592</v>
      </c>
      <c r="B599">
        <f>B598+0.1</f>
        <v/>
      </c>
      <c r="C599">
        <f>A599/10</f>
        <v/>
      </c>
      <c r="D599">
        <f>B599=C599</f>
        <v/>
      </c>
      <c r="E599">
        <f>INT(B599*10)=A599</f>
        <v/>
      </c>
      <c r="F599">
        <f>B599&gt;=C599</f>
        <v/>
      </c>
      <c r="G599">
        <f>ROUND(G598+0.1,1)</f>
        <v/>
      </c>
      <c r="H599">
        <f>G599=C599</f>
        <v/>
      </c>
      <c r="I599">
        <f>TEXT(B599,"0.00000000000000")</f>
        <v/>
      </c>
    </row>
    <row r="600">
      <c r="A600" t="n">
        <v>593</v>
      </c>
      <c r="B600">
        <f>B599+0.1</f>
        <v/>
      </c>
      <c r="C600">
        <f>A600/10</f>
        <v/>
      </c>
      <c r="D600">
        <f>B600=C600</f>
        <v/>
      </c>
      <c r="E600">
        <f>INT(B600*10)=A600</f>
        <v/>
      </c>
      <c r="F600">
        <f>B600&gt;=C600</f>
        <v/>
      </c>
      <c r="G600">
        <f>ROUND(G599+0.1,1)</f>
        <v/>
      </c>
      <c r="H600">
        <f>G600=C600</f>
        <v/>
      </c>
      <c r="I600">
        <f>TEXT(B600,"0.00000000000000")</f>
        <v/>
      </c>
    </row>
    <row r="601">
      <c r="A601" t="n">
        <v>594</v>
      </c>
      <c r="B601">
        <f>B600+0.1</f>
        <v/>
      </c>
      <c r="C601">
        <f>A601/10</f>
        <v/>
      </c>
      <c r="D601">
        <f>B601=C601</f>
        <v/>
      </c>
      <c r="E601">
        <f>INT(B601*10)=A601</f>
        <v/>
      </c>
      <c r="F601">
        <f>B601&gt;=C601</f>
        <v/>
      </c>
      <c r="G601">
        <f>ROUND(G600+0.1,1)</f>
        <v/>
      </c>
      <c r="H601">
        <f>G601=C601</f>
        <v/>
      </c>
      <c r="I601">
        <f>TEXT(B601,"0.00000000000000")</f>
        <v/>
      </c>
    </row>
    <row r="602">
      <c r="A602" t="n">
        <v>595</v>
      </c>
      <c r="B602">
        <f>B601+0.1</f>
        <v/>
      </c>
      <c r="C602">
        <f>A602/10</f>
        <v/>
      </c>
      <c r="D602">
        <f>B602=C602</f>
        <v/>
      </c>
      <c r="E602">
        <f>INT(B602*10)=A602</f>
        <v/>
      </c>
      <c r="F602">
        <f>B602&gt;=C602</f>
        <v/>
      </c>
      <c r="G602">
        <f>ROUND(G601+0.1,1)</f>
        <v/>
      </c>
      <c r="H602">
        <f>G602=C602</f>
        <v/>
      </c>
      <c r="I602">
        <f>TEXT(B602,"0.00000000000000")</f>
        <v/>
      </c>
    </row>
    <row r="603">
      <c r="A603" t="n">
        <v>596</v>
      </c>
      <c r="B603">
        <f>B602+0.1</f>
        <v/>
      </c>
      <c r="C603">
        <f>A603/10</f>
        <v/>
      </c>
      <c r="D603">
        <f>B603=C603</f>
        <v/>
      </c>
      <c r="E603">
        <f>INT(B603*10)=A603</f>
        <v/>
      </c>
      <c r="F603">
        <f>B603&gt;=C603</f>
        <v/>
      </c>
      <c r="G603">
        <f>ROUND(G602+0.1,1)</f>
        <v/>
      </c>
      <c r="H603">
        <f>G603=C603</f>
        <v/>
      </c>
      <c r="I603">
        <f>TEXT(B603,"0.00000000000000")</f>
        <v/>
      </c>
    </row>
    <row r="604">
      <c r="A604" t="n">
        <v>597</v>
      </c>
      <c r="B604">
        <f>B603+0.1</f>
        <v/>
      </c>
      <c r="C604">
        <f>A604/10</f>
        <v/>
      </c>
      <c r="D604">
        <f>B604=C604</f>
        <v/>
      </c>
      <c r="E604">
        <f>INT(B604*10)=A604</f>
        <v/>
      </c>
      <c r="F604">
        <f>B604&gt;=C604</f>
        <v/>
      </c>
      <c r="G604">
        <f>ROUND(G603+0.1,1)</f>
        <v/>
      </c>
      <c r="H604">
        <f>G604=C604</f>
        <v/>
      </c>
      <c r="I604">
        <f>TEXT(B604,"0.00000000000000")</f>
        <v/>
      </c>
    </row>
    <row r="605">
      <c r="A605" t="n">
        <v>598</v>
      </c>
      <c r="B605">
        <f>B604+0.1</f>
        <v/>
      </c>
      <c r="C605">
        <f>A605/10</f>
        <v/>
      </c>
      <c r="D605">
        <f>B605=C605</f>
        <v/>
      </c>
      <c r="E605">
        <f>INT(B605*10)=A605</f>
        <v/>
      </c>
      <c r="F605">
        <f>B605&gt;=C605</f>
        <v/>
      </c>
      <c r="G605">
        <f>ROUND(G604+0.1,1)</f>
        <v/>
      </c>
      <c r="H605">
        <f>G605=C605</f>
        <v/>
      </c>
      <c r="I605">
        <f>TEXT(B605,"0.00000000000000")</f>
        <v/>
      </c>
    </row>
    <row r="606">
      <c r="A606" t="n">
        <v>599</v>
      </c>
      <c r="B606">
        <f>B605+0.1</f>
        <v/>
      </c>
      <c r="C606">
        <f>A606/10</f>
        <v/>
      </c>
      <c r="D606">
        <f>B606=C606</f>
        <v/>
      </c>
      <c r="E606">
        <f>INT(B606*10)=A606</f>
        <v/>
      </c>
      <c r="F606">
        <f>B606&gt;=C606</f>
        <v/>
      </c>
      <c r="G606">
        <f>ROUND(G605+0.1,1)</f>
        <v/>
      </c>
      <c r="H606">
        <f>G606=C606</f>
        <v/>
      </c>
      <c r="I606">
        <f>TEXT(B606,"0.00000000000000")</f>
        <v/>
      </c>
    </row>
    <row r="607">
      <c r="A607" t="n">
        <v>600</v>
      </c>
      <c r="B607">
        <f>B606+0.1</f>
        <v/>
      </c>
      <c r="C607">
        <f>A607/10</f>
        <v/>
      </c>
      <c r="D607">
        <f>B607=C607</f>
        <v/>
      </c>
      <c r="E607">
        <f>INT(B607*10)=A607</f>
        <v/>
      </c>
      <c r="F607">
        <f>B607&gt;=C607</f>
        <v/>
      </c>
      <c r="G607">
        <f>ROUND(G606+0.1,1)</f>
        <v/>
      </c>
      <c r="H607">
        <f>G607=C607</f>
        <v/>
      </c>
      <c r="I607">
        <f>TEXT(B607,"0.00000000000000")</f>
        <v/>
      </c>
    </row>
    <row r="608">
      <c r="A608" t="n">
        <v>601</v>
      </c>
      <c r="B608">
        <f>B607+0.1</f>
        <v/>
      </c>
      <c r="C608">
        <f>A608/10</f>
        <v/>
      </c>
      <c r="D608">
        <f>B608=C608</f>
        <v/>
      </c>
      <c r="E608">
        <f>INT(B608*10)=A608</f>
        <v/>
      </c>
      <c r="F608">
        <f>B608&gt;=C608</f>
        <v/>
      </c>
      <c r="G608">
        <f>ROUND(G607+0.1,1)</f>
        <v/>
      </c>
      <c r="H608">
        <f>G608=C608</f>
        <v/>
      </c>
      <c r="I608">
        <f>TEXT(B608,"0.00000000000000")</f>
        <v/>
      </c>
    </row>
    <row r="609">
      <c r="A609" t="n">
        <v>602</v>
      </c>
      <c r="B609">
        <f>B608+0.1</f>
        <v/>
      </c>
      <c r="C609">
        <f>A609/10</f>
        <v/>
      </c>
      <c r="D609">
        <f>B609=C609</f>
        <v/>
      </c>
      <c r="E609">
        <f>INT(B609*10)=A609</f>
        <v/>
      </c>
      <c r="F609">
        <f>B609&gt;=C609</f>
        <v/>
      </c>
      <c r="G609">
        <f>ROUND(G608+0.1,1)</f>
        <v/>
      </c>
      <c r="H609">
        <f>G609=C609</f>
        <v/>
      </c>
      <c r="I609">
        <f>TEXT(B609,"0.00000000000000")</f>
        <v/>
      </c>
    </row>
    <row r="610">
      <c r="A610" t="n">
        <v>603</v>
      </c>
      <c r="B610">
        <f>B609+0.1</f>
        <v/>
      </c>
      <c r="C610">
        <f>A610/10</f>
        <v/>
      </c>
      <c r="D610">
        <f>B610=C610</f>
        <v/>
      </c>
      <c r="E610">
        <f>INT(B610*10)=A610</f>
        <v/>
      </c>
      <c r="F610">
        <f>B610&gt;=C610</f>
        <v/>
      </c>
      <c r="G610">
        <f>ROUND(G609+0.1,1)</f>
        <v/>
      </c>
      <c r="H610">
        <f>G610=C610</f>
        <v/>
      </c>
      <c r="I610">
        <f>TEXT(B610,"0.00000000000000")</f>
        <v/>
      </c>
    </row>
    <row r="611">
      <c r="A611" t="n">
        <v>604</v>
      </c>
      <c r="B611">
        <f>B610+0.1</f>
        <v/>
      </c>
      <c r="C611">
        <f>A611/10</f>
        <v/>
      </c>
      <c r="D611">
        <f>B611=C611</f>
        <v/>
      </c>
      <c r="E611">
        <f>INT(B611*10)=A611</f>
        <v/>
      </c>
      <c r="F611">
        <f>B611&gt;=C611</f>
        <v/>
      </c>
      <c r="G611">
        <f>ROUND(G610+0.1,1)</f>
        <v/>
      </c>
      <c r="H611">
        <f>G611=C611</f>
        <v/>
      </c>
      <c r="I611">
        <f>TEXT(B611,"0.00000000000000")</f>
        <v/>
      </c>
    </row>
    <row r="612">
      <c r="A612" t="n">
        <v>605</v>
      </c>
      <c r="B612">
        <f>B611+0.1</f>
        <v/>
      </c>
      <c r="C612">
        <f>A612/10</f>
        <v/>
      </c>
      <c r="D612">
        <f>B612=C612</f>
        <v/>
      </c>
      <c r="E612">
        <f>INT(B612*10)=A612</f>
        <v/>
      </c>
      <c r="F612">
        <f>B612&gt;=C612</f>
        <v/>
      </c>
      <c r="G612">
        <f>ROUND(G611+0.1,1)</f>
        <v/>
      </c>
      <c r="H612">
        <f>G612=C612</f>
        <v/>
      </c>
      <c r="I612">
        <f>TEXT(B612,"0.00000000000000")</f>
        <v/>
      </c>
    </row>
    <row r="613">
      <c r="A613" t="n">
        <v>606</v>
      </c>
      <c r="B613">
        <f>B612+0.1</f>
        <v/>
      </c>
      <c r="C613">
        <f>A613/10</f>
        <v/>
      </c>
      <c r="D613">
        <f>B613=C613</f>
        <v/>
      </c>
      <c r="E613">
        <f>INT(B613*10)=A613</f>
        <v/>
      </c>
      <c r="F613">
        <f>B613&gt;=C613</f>
        <v/>
      </c>
      <c r="G613">
        <f>ROUND(G612+0.1,1)</f>
        <v/>
      </c>
      <c r="H613">
        <f>G613=C613</f>
        <v/>
      </c>
      <c r="I613">
        <f>TEXT(B613,"0.00000000000000")</f>
        <v/>
      </c>
    </row>
    <row r="614">
      <c r="A614" t="n">
        <v>607</v>
      </c>
      <c r="B614">
        <f>B613+0.1</f>
        <v/>
      </c>
      <c r="C614">
        <f>A614/10</f>
        <v/>
      </c>
      <c r="D614">
        <f>B614=C614</f>
        <v/>
      </c>
      <c r="E614">
        <f>INT(B614*10)=A614</f>
        <v/>
      </c>
      <c r="F614">
        <f>B614&gt;=C614</f>
        <v/>
      </c>
      <c r="G614">
        <f>ROUND(G613+0.1,1)</f>
        <v/>
      </c>
      <c r="H614">
        <f>G614=C614</f>
        <v/>
      </c>
      <c r="I614">
        <f>TEXT(B614,"0.00000000000000")</f>
        <v/>
      </c>
    </row>
    <row r="615">
      <c r="A615" t="n">
        <v>608</v>
      </c>
      <c r="B615">
        <f>B614+0.1</f>
        <v/>
      </c>
      <c r="C615">
        <f>A615/10</f>
        <v/>
      </c>
      <c r="D615">
        <f>B615=C615</f>
        <v/>
      </c>
      <c r="E615">
        <f>INT(B615*10)=A615</f>
        <v/>
      </c>
      <c r="F615">
        <f>B615&gt;=C615</f>
        <v/>
      </c>
      <c r="G615">
        <f>ROUND(G614+0.1,1)</f>
        <v/>
      </c>
      <c r="H615">
        <f>G615=C615</f>
        <v/>
      </c>
      <c r="I615">
        <f>TEXT(B615,"0.00000000000000")</f>
        <v/>
      </c>
    </row>
    <row r="616">
      <c r="A616" t="n">
        <v>609</v>
      </c>
      <c r="B616">
        <f>B615+0.1</f>
        <v/>
      </c>
      <c r="C616">
        <f>A616/10</f>
        <v/>
      </c>
      <c r="D616">
        <f>B616=C616</f>
        <v/>
      </c>
      <c r="E616">
        <f>INT(B616*10)=A616</f>
        <v/>
      </c>
      <c r="F616">
        <f>B616&gt;=C616</f>
        <v/>
      </c>
      <c r="G616">
        <f>ROUND(G615+0.1,1)</f>
        <v/>
      </c>
      <c r="H616">
        <f>G616=C616</f>
        <v/>
      </c>
      <c r="I616">
        <f>TEXT(B616,"0.00000000000000")</f>
        <v/>
      </c>
    </row>
    <row r="617">
      <c r="A617" t="n">
        <v>610</v>
      </c>
      <c r="B617">
        <f>B616+0.1</f>
        <v/>
      </c>
      <c r="C617">
        <f>A617/10</f>
        <v/>
      </c>
      <c r="D617">
        <f>B617=C617</f>
        <v/>
      </c>
      <c r="E617">
        <f>INT(B617*10)=A617</f>
        <v/>
      </c>
      <c r="F617">
        <f>B617&gt;=C617</f>
        <v/>
      </c>
      <c r="G617">
        <f>ROUND(G616+0.1,1)</f>
        <v/>
      </c>
      <c r="H617">
        <f>G617=C617</f>
        <v/>
      </c>
      <c r="I617">
        <f>TEXT(B617,"0.00000000000000")</f>
        <v/>
      </c>
    </row>
    <row r="618">
      <c r="A618" t="n">
        <v>611</v>
      </c>
      <c r="B618">
        <f>B617+0.1</f>
        <v/>
      </c>
      <c r="C618">
        <f>A618/10</f>
        <v/>
      </c>
      <c r="D618">
        <f>B618=C618</f>
        <v/>
      </c>
      <c r="E618">
        <f>INT(B618*10)=A618</f>
        <v/>
      </c>
      <c r="F618">
        <f>B618&gt;=C618</f>
        <v/>
      </c>
      <c r="G618">
        <f>ROUND(G617+0.1,1)</f>
        <v/>
      </c>
      <c r="H618">
        <f>G618=C618</f>
        <v/>
      </c>
      <c r="I618">
        <f>TEXT(B618,"0.00000000000000")</f>
        <v/>
      </c>
    </row>
    <row r="619">
      <c r="A619" t="n">
        <v>612</v>
      </c>
      <c r="B619">
        <f>B618+0.1</f>
        <v/>
      </c>
      <c r="C619">
        <f>A619/10</f>
        <v/>
      </c>
      <c r="D619">
        <f>B619=C619</f>
        <v/>
      </c>
      <c r="E619">
        <f>INT(B619*10)=A619</f>
        <v/>
      </c>
      <c r="F619">
        <f>B619&gt;=C619</f>
        <v/>
      </c>
      <c r="G619">
        <f>ROUND(G618+0.1,1)</f>
        <v/>
      </c>
      <c r="H619">
        <f>G619=C619</f>
        <v/>
      </c>
      <c r="I619">
        <f>TEXT(B619,"0.00000000000000")</f>
        <v/>
      </c>
    </row>
    <row r="620">
      <c r="A620" t="n">
        <v>613</v>
      </c>
      <c r="B620">
        <f>B619+0.1</f>
        <v/>
      </c>
      <c r="C620">
        <f>A620/10</f>
        <v/>
      </c>
      <c r="D620">
        <f>B620=C620</f>
        <v/>
      </c>
      <c r="E620">
        <f>INT(B620*10)=A620</f>
        <v/>
      </c>
      <c r="F620">
        <f>B620&gt;=C620</f>
        <v/>
      </c>
      <c r="G620">
        <f>ROUND(G619+0.1,1)</f>
        <v/>
      </c>
      <c r="H620">
        <f>G620=C620</f>
        <v/>
      </c>
      <c r="I620">
        <f>TEXT(B620,"0.00000000000000")</f>
        <v/>
      </c>
    </row>
    <row r="621">
      <c r="A621" t="n">
        <v>614</v>
      </c>
      <c r="B621">
        <f>B620+0.1</f>
        <v/>
      </c>
      <c r="C621">
        <f>A621/10</f>
        <v/>
      </c>
      <c r="D621">
        <f>B621=C621</f>
        <v/>
      </c>
      <c r="E621">
        <f>INT(B621*10)=A621</f>
        <v/>
      </c>
      <c r="F621">
        <f>B621&gt;=C621</f>
        <v/>
      </c>
      <c r="G621">
        <f>ROUND(G620+0.1,1)</f>
        <v/>
      </c>
      <c r="H621">
        <f>G621=C621</f>
        <v/>
      </c>
      <c r="I621">
        <f>TEXT(B621,"0.00000000000000")</f>
        <v/>
      </c>
    </row>
    <row r="622">
      <c r="A622" t="n">
        <v>615</v>
      </c>
      <c r="B622">
        <f>B621+0.1</f>
        <v/>
      </c>
      <c r="C622">
        <f>A622/10</f>
        <v/>
      </c>
      <c r="D622">
        <f>B622=C622</f>
        <v/>
      </c>
      <c r="E622">
        <f>INT(B622*10)=A622</f>
        <v/>
      </c>
      <c r="F622">
        <f>B622&gt;=C622</f>
        <v/>
      </c>
      <c r="G622">
        <f>ROUND(G621+0.1,1)</f>
        <v/>
      </c>
      <c r="H622">
        <f>G622=C622</f>
        <v/>
      </c>
      <c r="I622">
        <f>TEXT(B622,"0.00000000000000")</f>
        <v/>
      </c>
    </row>
    <row r="623">
      <c r="A623" t="n">
        <v>616</v>
      </c>
      <c r="B623">
        <f>B622+0.1</f>
        <v/>
      </c>
      <c r="C623">
        <f>A623/10</f>
        <v/>
      </c>
      <c r="D623">
        <f>B623=C623</f>
        <v/>
      </c>
      <c r="E623">
        <f>INT(B623*10)=A623</f>
        <v/>
      </c>
      <c r="F623">
        <f>B623&gt;=C623</f>
        <v/>
      </c>
      <c r="G623">
        <f>ROUND(G622+0.1,1)</f>
        <v/>
      </c>
      <c r="H623">
        <f>G623=C623</f>
        <v/>
      </c>
      <c r="I623">
        <f>TEXT(B623,"0.00000000000000")</f>
        <v/>
      </c>
    </row>
    <row r="624">
      <c r="A624" t="n">
        <v>617</v>
      </c>
      <c r="B624">
        <f>B623+0.1</f>
        <v/>
      </c>
      <c r="C624">
        <f>A624/10</f>
        <v/>
      </c>
      <c r="D624">
        <f>B624=C624</f>
        <v/>
      </c>
      <c r="E624">
        <f>INT(B624*10)=A624</f>
        <v/>
      </c>
      <c r="F624">
        <f>B624&gt;=C624</f>
        <v/>
      </c>
      <c r="G624">
        <f>ROUND(G623+0.1,1)</f>
        <v/>
      </c>
      <c r="H624">
        <f>G624=C624</f>
        <v/>
      </c>
      <c r="I624">
        <f>TEXT(B624,"0.00000000000000")</f>
        <v/>
      </c>
    </row>
    <row r="625">
      <c r="A625" t="n">
        <v>618</v>
      </c>
      <c r="B625">
        <f>B624+0.1</f>
        <v/>
      </c>
      <c r="C625">
        <f>A625/10</f>
        <v/>
      </c>
      <c r="D625">
        <f>B625=C625</f>
        <v/>
      </c>
      <c r="E625">
        <f>INT(B625*10)=A625</f>
        <v/>
      </c>
      <c r="F625">
        <f>B625&gt;=C625</f>
        <v/>
      </c>
      <c r="G625">
        <f>ROUND(G624+0.1,1)</f>
        <v/>
      </c>
      <c r="H625">
        <f>G625=C625</f>
        <v/>
      </c>
      <c r="I625">
        <f>TEXT(B625,"0.00000000000000")</f>
        <v/>
      </c>
    </row>
    <row r="626">
      <c r="A626" t="n">
        <v>619</v>
      </c>
      <c r="B626">
        <f>B625+0.1</f>
        <v/>
      </c>
      <c r="C626">
        <f>A626/10</f>
        <v/>
      </c>
      <c r="D626">
        <f>B626=C626</f>
        <v/>
      </c>
      <c r="E626">
        <f>INT(B626*10)=A626</f>
        <v/>
      </c>
      <c r="F626">
        <f>B626&gt;=C626</f>
        <v/>
      </c>
      <c r="G626">
        <f>ROUND(G625+0.1,1)</f>
        <v/>
      </c>
      <c r="H626">
        <f>G626=C626</f>
        <v/>
      </c>
      <c r="I626">
        <f>TEXT(B626,"0.00000000000000")</f>
        <v/>
      </c>
    </row>
    <row r="627">
      <c r="A627" t="n">
        <v>620</v>
      </c>
      <c r="B627">
        <f>B626+0.1</f>
        <v/>
      </c>
      <c r="C627">
        <f>A627/10</f>
        <v/>
      </c>
      <c r="D627">
        <f>B627=C627</f>
        <v/>
      </c>
      <c r="E627">
        <f>INT(B627*10)=A627</f>
        <v/>
      </c>
      <c r="F627">
        <f>B627&gt;=C627</f>
        <v/>
      </c>
      <c r="G627">
        <f>ROUND(G626+0.1,1)</f>
        <v/>
      </c>
      <c r="H627">
        <f>G627=C627</f>
        <v/>
      </c>
      <c r="I627">
        <f>TEXT(B627,"0.00000000000000")</f>
        <v/>
      </c>
    </row>
    <row r="628">
      <c r="A628" t="n">
        <v>621</v>
      </c>
      <c r="B628">
        <f>B627+0.1</f>
        <v/>
      </c>
      <c r="C628">
        <f>A628/10</f>
        <v/>
      </c>
      <c r="D628">
        <f>B628=C628</f>
        <v/>
      </c>
      <c r="E628">
        <f>INT(B628*10)=A628</f>
        <v/>
      </c>
      <c r="F628">
        <f>B628&gt;=C628</f>
        <v/>
      </c>
      <c r="G628">
        <f>ROUND(G627+0.1,1)</f>
        <v/>
      </c>
      <c r="H628">
        <f>G628=C628</f>
        <v/>
      </c>
      <c r="I628">
        <f>TEXT(B628,"0.00000000000000")</f>
        <v/>
      </c>
    </row>
    <row r="629">
      <c r="A629" t="n">
        <v>622</v>
      </c>
      <c r="B629">
        <f>B628+0.1</f>
        <v/>
      </c>
      <c r="C629">
        <f>A629/10</f>
        <v/>
      </c>
      <c r="D629">
        <f>B629=C629</f>
        <v/>
      </c>
      <c r="E629">
        <f>INT(B629*10)=A629</f>
        <v/>
      </c>
      <c r="F629">
        <f>B629&gt;=C629</f>
        <v/>
      </c>
      <c r="G629">
        <f>ROUND(G628+0.1,1)</f>
        <v/>
      </c>
      <c r="H629">
        <f>G629=C629</f>
        <v/>
      </c>
      <c r="I629">
        <f>TEXT(B629,"0.00000000000000")</f>
        <v/>
      </c>
    </row>
    <row r="630">
      <c r="A630" t="n">
        <v>623</v>
      </c>
      <c r="B630">
        <f>B629+0.1</f>
        <v/>
      </c>
      <c r="C630">
        <f>A630/10</f>
        <v/>
      </c>
      <c r="D630">
        <f>B630=C630</f>
        <v/>
      </c>
      <c r="E630">
        <f>INT(B630*10)=A630</f>
        <v/>
      </c>
      <c r="F630">
        <f>B630&gt;=C630</f>
        <v/>
      </c>
      <c r="G630">
        <f>ROUND(G629+0.1,1)</f>
        <v/>
      </c>
      <c r="H630">
        <f>G630=C630</f>
        <v/>
      </c>
      <c r="I630">
        <f>TEXT(B630,"0.00000000000000")</f>
        <v/>
      </c>
    </row>
    <row r="631">
      <c r="A631" t="n">
        <v>624</v>
      </c>
      <c r="B631">
        <f>B630+0.1</f>
        <v/>
      </c>
      <c r="C631">
        <f>A631/10</f>
        <v/>
      </c>
      <c r="D631">
        <f>B631=C631</f>
        <v/>
      </c>
      <c r="E631">
        <f>INT(B631*10)=A631</f>
        <v/>
      </c>
      <c r="F631">
        <f>B631&gt;=C631</f>
        <v/>
      </c>
      <c r="G631">
        <f>ROUND(G630+0.1,1)</f>
        <v/>
      </c>
      <c r="H631">
        <f>G631=C631</f>
        <v/>
      </c>
      <c r="I631">
        <f>TEXT(B631,"0.00000000000000")</f>
        <v/>
      </c>
    </row>
    <row r="632">
      <c r="A632" t="n">
        <v>625</v>
      </c>
      <c r="B632">
        <f>B631+0.1</f>
        <v/>
      </c>
      <c r="C632">
        <f>A632/10</f>
        <v/>
      </c>
      <c r="D632">
        <f>B632=C632</f>
        <v/>
      </c>
      <c r="E632">
        <f>INT(B632*10)=A632</f>
        <v/>
      </c>
      <c r="F632">
        <f>B632&gt;=C632</f>
        <v/>
      </c>
      <c r="G632">
        <f>ROUND(G631+0.1,1)</f>
        <v/>
      </c>
      <c r="H632">
        <f>G632=C632</f>
        <v/>
      </c>
      <c r="I632">
        <f>TEXT(B632,"0.00000000000000")</f>
        <v/>
      </c>
    </row>
    <row r="633">
      <c r="A633" t="n">
        <v>626</v>
      </c>
      <c r="B633">
        <f>B632+0.1</f>
        <v/>
      </c>
      <c r="C633">
        <f>A633/10</f>
        <v/>
      </c>
      <c r="D633">
        <f>B633=C633</f>
        <v/>
      </c>
      <c r="E633">
        <f>INT(B633*10)=A633</f>
        <v/>
      </c>
      <c r="F633">
        <f>B633&gt;=C633</f>
        <v/>
      </c>
      <c r="G633">
        <f>ROUND(G632+0.1,1)</f>
        <v/>
      </c>
      <c r="H633">
        <f>G633=C633</f>
        <v/>
      </c>
      <c r="I633">
        <f>TEXT(B633,"0.00000000000000")</f>
        <v/>
      </c>
    </row>
    <row r="634">
      <c r="A634" t="n">
        <v>627</v>
      </c>
      <c r="B634">
        <f>B633+0.1</f>
        <v/>
      </c>
      <c r="C634">
        <f>A634/10</f>
        <v/>
      </c>
      <c r="D634">
        <f>B634=C634</f>
        <v/>
      </c>
      <c r="E634">
        <f>INT(B634*10)=A634</f>
        <v/>
      </c>
      <c r="F634">
        <f>B634&gt;=C634</f>
        <v/>
      </c>
      <c r="G634">
        <f>ROUND(G633+0.1,1)</f>
        <v/>
      </c>
      <c r="H634">
        <f>G634=C634</f>
        <v/>
      </c>
      <c r="I634">
        <f>TEXT(B634,"0.00000000000000")</f>
        <v/>
      </c>
    </row>
    <row r="635">
      <c r="A635" t="n">
        <v>628</v>
      </c>
      <c r="B635">
        <f>B634+0.1</f>
        <v/>
      </c>
      <c r="C635">
        <f>A635/10</f>
        <v/>
      </c>
      <c r="D635">
        <f>B635=C635</f>
        <v/>
      </c>
      <c r="E635">
        <f>INT(B635*10)=A635</f>
        <v/>
      </c>
      <c r="F635">
        <f>B635&gt;=C635</f>
        <v/>
      </c>
      <c r="G635">
        <f>ROUND(G634+0.1,1)</f>
        <v/>
      </c>
      <c r="H635">
        <f>G635=C635</f>
        <v/>
      </c>
      <c r="I635">
        <f>TEXT(B635,"0.00000000000000")</f>
        <v/>
      </c>
    </row>
    <row r="636">
      <c r="A636" t="n">
        <v>629</v>
      </c>
      <c r="B636">
        <f>B635+0.1</f>
        <v/>
      </c>
      <c r="C636">
        <f>A636/10</f>
        <v/>
      </c>
      <c r="D636">
        <f>B636=C636</f>
        <v/>
      </c>
      <c r="E636">
        <f>INT(B636*10)=A636</f>
        <v/>
      </c>
      <c r="F636">
        <f>B636&gt;=C636</f>
        <v/>
      </c>
      <c r="G636">
        <f>ROUND(G635+0.1,1)</f>
        <v/>
      </c>
      <c r="H636">
        <f>G636=C636</f>
        <v/>
      </c>
      <c r="I636">
        <f>TEXT(B636,"0.00000000000000")</f>
        <v/>
      </c>
    </row>
    <row r="637">
      <c r="A637" t="n">
        <v>630</v>
      </c>
      <c r="B637">
        <f>B636+0.1</f>
        <v/>
      </c>
      <c r="C637">
        <f>A637/10</f>
        <v/>
      </c>
      <c r="D637">
        <f>B637=C637</f>
        <v/>
      </c>
      <c r="E637">
        <f>INT(B637*10)=A637</f>
        <v/>
      </c>
      <c r="F637">
        <f>B637&gt;=C637</f>
        <v/>
      </c>
      <c r="G637">
        <f>ROUND(G636+0.1,1)</f>
        <v/>
      </c>
      <c r="H637">
        <f>G637=C637</f>
        <v/>
      </c>
      <c r="I637">
        <f>TEXT(B637,"0.00000000000000")</f>
        <v/>
      </c>
    </row>
    <row r="638">
      <c r="A638" t="n">
        <v>631</v>
      </c>
      <c r="B638">
        <f>B637+0.1</f>
        <v/>
      </c>
      <c r="C638">
        <f>A638/10</f>
        <v/>
      </c>
      <c r="D638">
        <f>B638=C638</f>
        <v/>
      </c>
      <c r="E638">
        <f>INT(B638*10)=A638</f>
        <v/>
      </c>
      <c r="F638">
        <f>B638&gt;=C638</f>
        <v/>
      </c>
      <c r="G638">
        <f>ROUND(G637+0.1,1)</f>
        <v/>
      </c>
      <c r="H638">
        <f>G638=C638</f>
        <v/>
      </c>
      <c r="I638">
        <f>TEXT(B638,"0.00000000000000")</f>
        <v/>
      </c>
    </row>
    <row r="639">
      <c r="A639" t="n">
        <v>632</v>
      </c>
      <c r="B639">
        <f>B638+0.1</f>
        <v/>
      </c>
      <c r="C639">
        <f>A639/10</f>
        <v/>
      </c>
      <c r="D639">
        <f>B639=C639</f>
        <v/>
      </c>
      <c r="E639">
        <f>INT(B639*10)=A639</f>
        <v/>
      </c>
      <c r="F639">
        <f>B639&gt;=C639</f>
        <v/>
      </c>
      <c r="G639">
        <f>ROUND(G638+0.1,1)</f>
        <v/>
      </c>
      <c r="H639">
        <f>G639=C639</f>
        <v/>
      </c>
      <c r="I639">
        <f>TEXT(B639,"0.00000000000000")</f>
        <v/>
      </c>
    </row>
    <row r="640">
      <c r="A640" t="n">
        <v>633</v>
      </c>
      <c r="B640">
        <f>B639+0.1</f>
        <v/>
      </c>
      <c r="C640">
        <f>A640/10</f>
        <v/>
      </c>
      <c r="D640">
        <f>B640=C640</f>
        <v/>
      </c>
      <c r="E640">
        <f>INT(B640*10)=A640</f>
        <v/>
      </c>
      <c r="F640">
        <f>B640&gt;=C640</f>
        <v/>
      </c>
      <c r="G640">
        <f>ROUND(G639+0.1,1)</f>
        <v/>
      </c>
      <c r="H640">
        <f>G640=C640</f>
        <v/>
      </c>
      <c r="I640">
        <f>TEXT(B640,"0.00000000000000")</f>
        <v/>
      </c>
    </row>
    <row r="641">
      <c r="A641" t="n">
        <v>634</v>
      </c>
      <c r="B641">
        <f>B640+0.1</f>
        <v/>
      </c>
      <c r="C641">
        <f>A641/10</f>
        <v/>
      </c>
      <c r="D641">
        <f>B641=C641</f>
        <v/>
      </c>
      <c r="E641">
        <f>INT(B641*10)=A641</f>
        <v/>
      </c>
      <c r="F641">
        <f>B641&gt;=C641</f>
        <v/>
      </c>
      <c r="G641">
        <f>ROUND(G640+0.1,1)</f>
        <v/>
      </c>
      <c r="H641">
        <f>G641=C641</f>
        <v/>
      </c>
      <c r="I641">
        <f>TEXT(B641,"0.00000000000000")</f>
        <v/>
      </c>
    </row>
    <row r="642">
      <c r="A642" t="n">
        <v>635</v>
      </c>
      <c r="B642">
        <f>B641+0.1</f>
        <v/>
      </c>
      <c r="C642">
        <f>A642/10</f>
        <v/>
      </c>
      <c r="D642">
        <f>B642=C642</f>
        <v/>
      </c>
      <c r="E642">
        <f>INT(B642*10)=A642</f>
        <v/>
      </c>
      <c r="F642">
        <f>B642&gt;=C642</f>
        <v/>
      </c>
      <c r="G642">
        <f>ROUND(G641+0.1,1)</f>
        <v/>
      </c>
      <c r="H642">
        <f>G642=C642</f>
        <v/>
      </c>
      <c r="I642">
        <f>TEXT(B642,"0.00000000000000")</f>
        <v/>
      </c>
    </row>
    <row r="643">
      <c r="A643" t="n">
        <v>636</v>
      </c>
      <c r="B643">
        <f>B642+0.1</f>
        <v/>
      </c>
      <c r="C643">
        <f>A643/10</f>
        <v/>
      </c>
      <c r="D643">
        <f>B643=C643</f>
        <v/>
      </c>
      <c r="E643">
        <f>INT(B643*10)=A643</f>
        <v/>
      </c>
      <c r="F643">
        <f>B643&gt;=C643</f>
        <v/>
      </c>
      <c r="G643">
        <f>ROUND(G642+0.1,1)</f>
        <v/>
      </c>
      <c r="H643">
        <f>G643=C643</f>
        <v/>
      </c>
      <c r="I643">
        <f>TEXT(B643,"0.00000000000000")</f>
        <v/>
      </c>
    </row>
    <row r="644">
      <c r="A644" t="n">
        <v>637</v>
      </c>
      <c r="B644">
        <f>B643+0.1</f>
        <v/>
      </c>
      <c r="C644">
        <f>A644/10</f>
        <v/>
      </c>
      <c r="D644">
        <f>B644=C644</f>
        <v/>
      </c>
      <c r="E644">
        <f>INT(B644*10)=A644</f>
        <v/>
      </c>
      <c r="F644">
        <f>B644&gt;=C644</f>
        <v/>
      </c>
      <c r="G644">
        <f>ROUND(G643+0.1,1)</f>
        <v/>
      </c>
      <c r="H644">
        <f>G644=C644</f>
        <v/>
      </c>
      <c r="I644">
        <f>TEXT(B644,"0.00000000000000")</f>
        <v/>
      </c>
    </row>
    <row r="645">
      <c r="A645" t="n">
        <v>638</v>
      </c>
      <c r="B645">
        <f>B644+0.1</f>
        <v/>
      </c>
      <c r="C645">
        <f>A645/10</f>
        <v/>
      </c>
      <c r="D645">
        <f>B645=C645</f>
        <v/>
      </c>
      <c r="E645">
        <f>INT(B645*10)=A645</f>
        <v/>
      </c>
      <c r="F645">
        <f>B645&gt;=C645</f>
        <v/>
      </c>
      <c r="G645">
        <f>ROUND(G644+0.1,1)</f>
        <v/>
      </c>
      <c r="H645">
        <f>G645=C645</f>
        <v/>
      </c>
      <c r="I645">
        <f>TEXT(B645,"0.00000000000000")</f>
        <v/>
      </c>
    </row>
    <row r="646">
      <c r="A646" t="n">
        <v>639</v>
      </c>
      <c r="B646">
        <f>B645+0.1</f>
        <v/>
      </c>
      <c r="C646">
        <f>A646/10</f>
        <v/>
      </c>
      <c r="D646">
        <f>B646=C646</f>
        <v/>
      </c>
      <c r="E646">
        <f>INT(B646*10)=A646</f>
        <v/>
      </c>
      <c r="F646">
        <f>B646&gt;=C646</f>
        <v/>
      </c>
      <c r="G646">
        <f>ROUND(G645+0.1,1)</f>
        <v/>
      </c>
      <c r="H646">
        <f>G646=C646</f>
        <v/>
      </c>
      <c r="I646">
        <f>TEXT(B646,"0.00000000000000")</f>
        <v/>
      </c>
    </row>
    <row r="647">
      <c r="A647" t="n">
        <v>640</v>
      </c>
      <c r="B647">
        <f>B646+0.1</f>
        <v/>
      </c>
      <c r="C647">
        <f>A647/10</f>
        <v/>
      </c>
      <c r="D647">
        <f>B647=C647</f>
        <v/>
      </c>
      <c r="E647">
        <f>INT(B647*10)=A647</f>
        <v/>
      </c>
      <c r="F647">
        <f>B647&gt;=C647</f>
        <v/>
      </c>
      <c r="G647">
        <f>ROUND(G646+0.1,1)</f>
        <v/>
      </c>
      <c r="H647">
        <f>G647=C647</f>
        <v/>
      </c>
      <c r="I647">
        <f>TEXT(B647,"0.00000000000000")</f>
        <v/>
      </c>
    </row>
    <row r="648">
      <c r="A648" t="n">
        <v>641</v>
      </c>
      <c r="B648">
        <f>B647+0.1</f>
        <v/>
      </c>
      <c r="C648">
        <f>A648/10</f>
        <v/>
      </c>
      <c r="D648">
        <f>B648=C648</f>
        <v/>
      </c>
      <c r="E648">
        <f>INT(B648*10)=A648</f>
        <v/>
      </c>
      <c r="F648">
        <f>B648&gt;=C648</f>
        <v/>
      </c>
      <c r="G648">
        <f>ROUND(G647+0.1,1)</f>
        <v/>
      </c>
      <c r="H648">
        <f>G648=C648</f>
        <v/>
      </c>
      <c r="I648">
        <f>TEXT(B648,"0.00000000000000")</f>
        <v/>
      </c>
    </row>
    <row r="649">
      <c r="A649" t="n">
        <v>642</v>
      </c>
      <c r="B649">
        <f>B648+0.1</f>
        <v/>
      </c>
      <c r="C649">
        <f>A649/10</f>
        <v/>
      </c>
      <c r="D649">
        <f>B649=C649</f>
        <v/>
      </c>
      <c r="E649">
        <f>INT(B649*10)=A649</f>
        <v/>
      </c>
      <c r="F649">
        <f>B649&gt;=C649</f>
        <v/>
      </c>
      <c r="G649">
        <f>ROUND(G648+0.1,1)</f>
        <v/>
      </c>
      <c r="H649">
        <f>G649=C649</f>
        <v/>
      </c>
      <c r="I649">
        <f>TEXT(B649,"0.00000000000000")</f>
        <v/>
      </c>
    </row>
    <row r="650">
      <c r="A650" t="n">
        <v>643</v>
      </c>
      <c r="B650">
        <f>B649+0.1</f>
        <v/>
      </c>
      <c r="C650">
        <f>A650/10</f>
        <v/>
      </c>
      <c r="D650">
        <f>B650=C650</f>
        <v/>
      </c>
      <c r="E650">
        <f>INT(B650*10)=A650</f>
        <v/>
      </c>
      <c r="F650">
        <f>B650&gt;=C650</f>
        <v/>
      </c>
      <c r="G650">
        <f>ROUND(G649+0.1,1)</f>
        <v/>
      </c>
      <c r="H650">
        <f>G650=C650</f>
        <v/>
      </c>
      <c r="I650">
        <f>TEXT(B650,"0.00000000000000")</f>
        <v/>
      </c>
    </row>
    <row r="651">
      <c r="A651" t="n">
        <v>644</v>
      </c>
      <c r="B651">
        <f>B650+0.1</f>
        <v/>
      </c>
      <c r="C651">
        <f>A651/10</f>
        <v/>
      </c>
      <c r="D651">
        <f>B651=C651</f>
        <v/>
      </c>
      <c r="E651">
        <f>INT(B651*10)=A651</f>
        <v/>
      </c>
      <c r="F651">
        <f>B651&gt;=C651</f>
        <v/>
      </c>
      <c r="G651">
        <f>ROUND(G650+0.1,1)</f>
        <v/>
      </c>
      <c r="H651">
        <f>G651=C651</f>
        <v/>
      </c>
      <c r="I651">
        <f>TEXT(B651,"0.00000000000000")</f>
        <v/>
      </c>
    </row>
    <row r="652">
      <c r="A652" t="n">
        <v>645</v>
      </c>
      <c r="B652">
        <f>B651+0.1</f>
        <v/>
      </c>
      <c r="C652">
        <f>A652/10</f>
        <v/>
      </c>
      <c r="D652">
        <f>B652=C652</f>
        <v/>
      </c>
      <c r="E652">
        <f>INT(B652*10)=A652</f>
        <v/>
      </c>
      <c r="F652">
        <f>B652&gt;=C652</f>
        <v/>
      </c>
      <c r="G652">
        <f>ROUND(G651+0.1,1)</f>
        <v/>
      </c>
      <c r="H652">
        <f>G652=C652</f>
        <v/>
      </c>
      <c r="I652">
        <f>TEXT(B652,"0.00000000000000")</f>
        <v/>
      </c>
    </row>
    <row r="653">
      <c r="A653" t="n">
        <v>646</v>
      </c>
      <c r="B653">
        <f>B652+0.1</f>
        <v/>
      </c>
      <c r="C653">
        <f>A653/10</f>
        <v/>
      </c>
      <c r="D653">
        <f>B653=C653</f>
        <v/>
      </c>
      <c r="E653">
        <f>INT(B653*10)=A653</f>
        <v/>
      </c>
      <c r="F653">
        <f>B653&gt;=C653</f>
        <v/>
      </c>
      <c r="G653">
        <f>ROUND(G652+0.1,1)</f>
        <v/>
      </c>
      <c r="H653">
        <f>G653=C653</f>
        <v/>
      </c>
      <c r="I653">
        <f>TEXT(B653,"0.00000000000000")</f>
        <v/>
      </c>
    </row>
    <row r="654">
      <c r="A654" t="n">
        <v>647</v>
      </c>
      <c r="B654">
        <f>B653+0.1</f>
        <v/>
      </c>
      <c r="C654">
        <f>A654/10</f>
        <v/>
      </c>
      <c r="D654">
        <f>B654=C654</f>
        <v/>
      </c>
      <c r="E654">
        <f>INT(B654*10)=A654</f>
        <v/>
      </c>
      <c r="F654">
        <f>B654&gt;=C654</f>
        <v/>
      </c>
      <c r="G654">
        <f>ROUND(G653+0.1,1)</f>
        <v/>
      </c>
      <c r="H654">
        <f>G654=C654</f>
        <v/>
      </c>
      <c r="I654">
        <f>TEXT(B654,"0.00000000000000")</f>
        <v/>
      </c>
    </row>
    <row r="655">
      <c r="A655" t="n">
        <v>648</v>
      </c>
      <c r="B655">
        <f>B654+0.1</f>
        <v/>
      </c>
      <c r="C655">
        <f>A655/10</f>
        <v/>
      </c>
      <c r="D655">
        <f>B655=C655</f>
        <v/>
      </c>
      <c r="E655">
        <f>INT(B655*10)=A655</f>
        <v/>
      </c>
      <c r="F655">
        <f>B655&gt;=C655</f>
        <v/>
      </c>
      <c r="G655">
        <f>ROUND(G654+0.1,1)</f>
        <v/>
      </c>
      <c r="H655">
        <f>G655=C655</f>
        <v/>
      </c>
      <c r="I655">
        <f>TEXT(B655,"0.00000000000000")</f>
        <v/>
      </c>
    </row>
    <row r="656">
      <c r="A656" t="n">
        <v>649</v>
      </c>
      <c r="B656">
        <f>B655+0.1</f>
        <v/>
      </c>
      <c r="C656">
        <f>A656/10</f>
        <v/>
      </c>
      <c r="D656">
        <f>B656=C656</f>
        <v/>
      </c>
      <c r="E656">
        <f>INT(B656*10)=A656</f>
        <v/>
      </c>
      <c r="F656">
        <f>B656&gt;=C656</f>
        <v/>
      </c>
      <c r="G656">
        <f>ROUND(G655+0.1,1)</f>
        <v/>
      </c>
      <c r="H656">
        <f>G656=C656</f>
        <v/>
      </c>
      <c r="I656">
        <f>TEXT(B656,"0.00000000000000")</f>
        <v/>
      </c>
    </row>
    <row r="657">
      <c r="A657" t="n">
        <v>650</v>
      </c>
      <c r="B657">
        <f>B656+0.1</f>
        <v/>
      </c>
      <c r="C657">
        <f>A657/10</f>
        <v/>
      </c>
      <c r="D657">
        <f>B657=C657</f>
        <v/>
      </c>
      <c r="E657">
        <f>INT(B657*10)=A657</f>
        <v/>
      </c>
      <c r="F657">
        <f>B657&gt;=C657</f>
        <v/>
      </c>
      <c r="G657">
        <f>ROUND(G656+0.1,1)</f>
        <v/>
      </c>
      <c r="H657">
        <f>G657=C657</f>
        <v/>
      </c>
      <c r="I657">
        <f>TEXT(B657,"0.00000000000000")</f>
        <v/>
      </c>
    </row>
    <row r="658">
      <c r="A658" t="n">
        <v>651</v>
      </c>
      <c r="B658">
        <f>B657+0.1</f>
        <v/>
      </c>
      <c r="C658">
        <f>A658/10</f>
        <v/>
      </c>
      <c r="D658">
        <f>B658=C658</f>
        <v/>
      </c>
      <c r="E658">
        <f>INT(B658*10)=A658</f>
        <v/>
      </c>
      <c r="F658">
        <f>B658&gt;=C658</f>
        <v/>
      </c>
      <c r="G658">
        <f>ROUND(G657+0.1,1)</f>
        <v/>
      </c>
      <c r="H658">
        <f>G658=C658</f>
        <v/>
      </c>
      <c r="I658">
        <f>TEXT(B658,"0.00000000000000")</f>
        <v/>
      </c>
    </row>
    <row r="659">
      <c r="A659" t="n">
        <v>652</v>
      </c>
      <c r="B659">
        <f>B658+0.1</f>
        <v/>
      </c>
      <c r="C659">
        <f>A659/10</f>
        <v/>
      </c>
      <c r="D659">
        <f>B659=C659</f>
        <v/>
      </c>
      <c r="E659">
        <f>INT(B659*10)=A659</f>
        <v/>
      </c>
      <c r="F659">
        <f>B659&gt;=C659</f>
        <v/>
      </c>
      <c r="G659">
        <f>ROUND(G658+0.1,1)</f>
        <v/>
      </c>
      <c r="H659">
        <f>G659=C659</f>
        <v/>
      </c>
      <c r="I659">
        <f>TEXT(B659,"0.00000000000000")</f>
        <v/>
      </c>
    </row>
    <row r="660">
      <c r="A660" t="n">
        <v>653</v>
      </c>
      <c r="B660">
        <f>B659+0.1</f>
        <v/>
      </c>
      <c r="C660">
        <f>A660/10</f>
        <v/>
      </c>
      <c r="D660">
        <f>B660=C660</f>
        <v/>
      </c>
      <c r="E660">
        <f>INT(B660*10)=A660</f>
        <v/>
      </c>
      <c r="F660">
        <f>B660&gt;=C660</f>
        <v/>
      </c>
      <c r="G660">
        <f>ROUND(G659+0.1,1)</f>
        <v/>
      </c>
      <c r="H660">
        <f>G660=C660</f>
        <v/>
      </c>
      <c r="I660">
        <f>TEXT(B660,"0.00000000000000")</f>
        <v/>
      </c>
    </row>
    <row r="661">
      <c r="A661" t="n">
        <v>654</v>
      </c>
      <c r="B661">
        <f>B660+0.1</f>
        <v/>
      </c>
      <c r="C661">
        <f>A661/10</f>
        <v/>
      </c>
      <c r="D661">
        <f>B661=C661</f>
        <v/>
      </c>
      <c r="E661">
        <f>INT(B661*10)=A661</f>
        <v/>
      </c>
      <c r="F661">
        <f>B661&gt;=C661</f>
        <v/>
      </c>
      <c r="G661">
        <f>ROUND(G660+0.1,1)</f>
        <v/>
      </c>
      <c r="H661">
        <f>G661=C661</f>
        <v/>
      </c>
      <c r="I661">
        <f>TEXT(B661,"0.00000000000000")</f>
        <v/>
      </c>
    </row>
    <row r="662">
      <c r="A662" t="n">
        <v>655</v>
      </c>
      <c r="B662">
        <f>B661+0.1</f>
        <v/>
      </c>
      <c r="C662">
        <f>A662/10</f>
        <v/>
      </c>
      <c r="D662">
        <f>B662=C662</f>
        <v/>
      </c>
      <c r="E662">
        <f>INT(B662*10)=A662</f>
        <v/>
      </c>
      <c r="F662">
        <f>B662&gt;=C662</f>
        <v/>
      </c>
      <c r="G662">
        <f>ROUND(G661+0.1,1)</f>
        <v/>
      </c>
      <c r="H662">
        <f>G662=C662</f>
        <v/>
      </c>
      <c r="I662">
        <f>TEXT(B662,"0.00000000000000")</f>
        <v/>
      </c>
    </row>
    <row r="663">
      <c r="A663" t="n">
        <v>656</v>
      </c>
      <c r="B663">
        <f>B662+0.1</f>
        <v/>
      </c>
      <c r="C663">
        <f>A663/10</f>
        <v/>
      </c>
      <c r="D663">
        <f>B663=C663</f>
        <v/>
      </c>
      <c r="E663">
        <f>INT(B663*10)=A663</f>
        <v/>
      </c>
      <c r="F663">
        <f>B663&gt;=C663</f>
        <v/>
      </c>
      <c r="G663">
        <f>ROUND(G662+0.1,1)</f>
        <v/>
      </c>
      <c r="H663">
        <f>G663=C663</f>
        <v/>
      </c>
      <c r="I663">
        <f>TEXT(B663,"0.00000000000000")</f>
        <v/>
      </c>
    </row>
    <row r="664">
      <c r="A664" t="n">
        <v>657</v>
      </c>
      <c r="B664">
        <f>B663+0.1</f>
        <v/>
      </c>
      <c r="C664">
        <f>A664/10</f>
        <v/>
      </c>
      <c r="D664">
        <f>B664=C664</f>
        <v/>
      </c>
      <c r="E664">
        <f>INT(B664*10)=A664</f>
        <v/>
      </c>
      <c r="F664">
        <f>B664&gt;=C664</f>
        <v/>
      </c>
      <c r="G664">
        <f>ROUND(G663+0.1,1)</f>
        <v/>
      </c>
      <c r="H664">
        <f>G664=C664</f>
        <v/>
      </c>
      <c r="I664">
        <f>TEXT(B664,"0.00000000000000")</f>
        <v/>
      </c>
    </row>
    <row r="665">
      <c r="A665" t="n">
        <v>658</v>
      </c>
      <c r="B665">
        <f>B664+0.1</f>
        <v/>
      </c>
      <c r="C665">
        <f>A665/10</f>
        <v/>
      </c>
      <c r="D665">
        <f>B665=C665</f>
        <v/>
      </c>
      <c r="E665">
        <f>INT(B665*10)=A665</f>
        <v/>
      </c>
      <c r="F665">
        <f>B665&gt;=C665</f>
        <v/>
      </c>
      <c r="G665">
        <f>ROUND(G664+0.1,1)</f>
        <v/>
      </c>
      <c r="H665">
        <f>G665=C665</f>
        <v/>
      </c>
      <c r="I665">
        <f>TEXT(B665,"0.00000000000000")</f>
        <v/>
      </c>
    </row>
    <row r="666">
      <c r="A666" t="n">
        <v>659</v>
      </c>
      <c r="B666">
        <f>B665+0.1</f>
        <v/>
      </c>
      <c r="C666">
        <f>A666/10</f>
        <v/>
      </c>
      <c r="D666">
        <f>B666=C666</f>
        <v/>
      </c>
      <c r="E666">
        <f>INT(B666*10)=A666</f>
        <v/>
      </c>
      <c r="F666">
        <f>B666&gt;=C666</f>
        <v/>
      </c>
      <c r="G666">
        <f>ROUND(G665+0.1,1)</f>
        <v/>
      </c>
      <c r="H666">
        <f>G666=C666</f>
        <v/>
      </c>
      <c r="I666">
        <f>TEXT(B666,"0.00000000000000")</f>
        <v/>
      </c>
    </row>
    <row r="667">
      <c r="A667" t="n">
        <v>660</v>
      </c>
      <c r="B667">
        <f>B666+0.1</f>
        <v/>
      </c>
      <c r="C667">
        <f>A667/10</f>
        <v/>
      </c>
      <c r="D667">
        <f>B667=C667</f>
        <v/>
      </c>
      <c r="E667">
        <f>INT(B667*10)=A667</f>
        <v/>
      </c>
      <c r="F667">
        <f>B667&gt;=C667</f>
        <v/>
      </c>
      <c r="G667">
        <f>ROUND(G666+0.1,1)</f>
        <v/>
      </c>
      <c r="H667">
        <f>G667=C667</f>
        <v/>
      </c>
      <c r="I667">
        <f>TEXT(B667,"0.00000000000000")</f>
        <v/>
      </c>
    </row>
    <row r="668">
      <c r="A668" t="n">
        <v>661</v>
      </c>
      <c r="B668">
        <f>B667+0.1</f>
        <v/>
      </c>
      <c r="C668">
        <f>A668/10</f>
        <v/>
      </c>
      <c r="D668">
        <f>B668=C668</f>
        <v/>
      </c>
      <c r="E668">
        <f>INT(B668*10)=A668</f>
        <v/>
      </c>
      <c r="F668">
        <f>B668&gt;=C668</f>
        <v/>
      </c>
      <c r="G668">
        <f>ROUND(G667+0.1,1)</f>
        <v/>
      </c>
      <c r="H668">
        <f>G668=C668</f>
        <v/>
      </c>
      <c r="I668">
        <f>TEXT(B668,"0.00000000000000")</f>
        <v/>
      </c>
    </row>
    <row r="669">
      <c r="A669" t="n">
        <v>662</v>
      </c>
      <c r="B669">
        <f>B668+0.1</f>
        <v/>
      </c>
      <c r="C669">
        <f>A669/10</f>
        <v/>
      </c>
      <c r="D669">
        <f>B669=C669</f>
        <v/>
      </c>
      <c r="E669">
        <f>INT(B669*10)=A669</f>
        <v/>
      </c>
      <c r="F669">
        <f>B669&gt;=C669</f>
        <v/>
      </c>
      <c r="G669">
        <f>ROUND(G668+0.1,1)</f>
        <v/>
      </c>
      <c r="H669">
        <f>G669=C669</f>
        <v/>
      </c>
      <c r="I669">
        <f>TEXT(B669,"0.00000000000000")</f>
        <v/>
      </c>
    </row>
    <row r="670">
      <c r="A670" t="n">
        <v>663</v>
      </c>
      <c r="B670">
        <f>B669+0.1</f>
        <v/>
      </c>
      <c r="C670">
        <f>A670/10</f>
        <v/>
      </c>
      <c r="D670">
        <f>B670=C670</f>
        <v/>
      </c>
      <c r="E670">
        <f>INT(B670*10)=A670</f>
        <v/>
      </c>
      <c r="F670">
        <f>B670&gt;=C670</f>
        <v/>
      </c>
      <c r="G670">
        <f>ROUND(G669+0.1,1)</f>
        <v/>
      </c>
      <c r="H670">
        <f>G670=C670</f>
        <v/>
      </c>
      <c r="I670">
        <f>TEXT(B670,"0.00000000000000")</f>
        <v/>
      </c>
    </row>
    <row r="671">
      <c r="A671" t="n">
        <v>664</v>
      </c>
      <c r="B671">
        <f>B670+0.1</f>
        <v/>
      </c>
      <c r="C671">
        <f>A671/10</f>
        <v/>
      </c>
      <c r="D671">
        <f>B671=C671</f>
        <v/>
      </c>
      <c r="E671">
        <f>INT(B671*10)=A671</f>
        <v/>
      </c>
      <c r="F671">
        <f>B671&gt;=C671</f>
        <v/>
      </c>
      <c r="G671">
        <f>ROUND(G670+0.1,1)</f>
        <v/>
      </c>
      <c r="H671">
        <f>G671=C671</f>
        <v/>
      </c>
      <c r="I671">
        <f>TEXT(B671,"0.00000000000000")</f>
        <v/>
      </c>
    </row>
    <row r="672">
      <c r="A672" t="n">
        <v>665</v>
      </c>
      <c r="B672">
        <f>B671+0.1</f>
        <v/>
      </c>
      <c r="C672">
        <f>A672/10</f>
        <v/>
      </c>
      <c r="D672">
        <f>B672=C672</f>
        <v/>
      </c>
      <c r="E672">
        <f>INT(B672*10)=A672</f>
        <v/>
      </c>
      <c r="F672">
        <f>B672&gt;=C672</f>
        <v/>
      </c>
      <c r="G672">
        <f>ROUND(G671+0.1,1)</f>
        <v/>
      </c>
      <c r="H672">
        <f>G672=C672</f>
        <v/>
      </c>
      <c r="I672">
        <f>TEXT(B672,"0.00000000000000")</f>
        <v/>
      </c>
    </row>
    <row r="673">
      <c r="A673" t="n">
        <v>666</v>
      </c>
      <c r="B673">
        <f>B672+0.1</f>
        <v/>
      </c>
      <c r="C673">
        <f>A673/10</f>
        <v/>
      </c>
      <c r="D673">
        <f>B673=C673</f>
        <v/>
      </c>
      <c r="E673">
        <f>INT(B673*10)=A673</f>
        <v/>
      </c>
      <c r="F673">
        <f>B673&gt;=C673</f>
        <v/>
      </c>
      <c r="G673">
        <f>ROUND(G672+0.1,1)</f>
        <v/>
      </c>
      <c r="H673">
        <f>G673=C673</f>
        <v/>
      </c>
      <c r="I673">
        <f>TEXT(B673,"0.00000000000000")</f>
        <v/>
      </c>
    </row>
    <row r="674">
      <c r="A674" t="n">
        <v>667</v>
      </c>
      <c r="B674">
        <f>B673+0.1</f>
        <v/>
      </c>
      <c r="C674">
        <f>A674/10</f>
        <v/>
      </c>
      <c r="D674">
        <f>B674=C674</f>
        <v/>
      </c>
      <c r="E674">
        <f>INT(B674*10)=A674</f>
        <v/>
      </c>
      <c r="F674">
        <f>B674&gt;=C674</f>
        <v/>
      </c>
      <c r="G674">
        <f>ROUND(G673+0.1,1)</f>
        <v/>
      </c>
      <c r="H674">
        <f>G674=C674</f>
        <v/>
      </c>
      <c r="I674">
        <f>TEXT(B674,"0.00000000000000")</f>
        <v/>
      </c>
    </row>
    <row r="675">
      <c r="A675" t="n">
        <v>668</v>
      </c>
      <c r="B675">
        <f>B674+0.1</f>
        <v/>
      </c>
      <c r="C675">
        <f>A675/10</f>
        <v/>
      </c>
      <c r="D675">
        <f>B675=C675</f>
        <v/>
      </c>
      <c r="E675">
        <f>INT(B675*10)=A675</f>
        <v/>
      </c>
      <c r="F675">
        <f>B675&gt;=C675</f>
        <v/>
      </c>
      <c r="G675">
        <f>ROUND(G674+0.1,1)</f>
        <v/>
      </c>
      <c r="H675">
        <f>G675=C675</f>
        <v/>
      </c>
      <c r="I675">
        <f>TEXT(B675,"0.00000000000000")</f>
        <v/>
      </c>
    </row>
    <row r="676">
      <c r="A676" t="n">
        <v>669</v>
      </c>
      <c r="B676">
        <f>B675+0.1</f>
        <v/>
      </c>
      <c r="C676">
        <f>A676/10</f>
        <v/>
      </c>
      <c r="D676">
        <f>B676=C676</f>
        <v/>
      </c>
      <c r="E676">
        <f>INT(B676*10)=A676</f>
        <v/>
      </c>
      <c r="F676">
        <f>B676&gt;=C676</f>
        <v/>
      </c>
      <c r="G676">
        <f>ROUND(G675+0.1,1)</f>
        <v/>
      </c>
      <c r="H676">
        <f>G676=C676</f>
        <v/>
      </c>
      <c r="I676">
        <f>TEXT(B676,"0.00000000000000")</f>
        <v/>
      </c>
    </row>
    <row r="677">
      <c r="A677" t="n">
        <v>670</v>
      </c>
      <c r="B677">
        <f>B676+0.1</f>
        <v/>
      </c>
      <c r="C677">
        <f>A677/10</f>
        <v/>
      </c>
      <c r="D677">
        <f>B677=C677</f>
        <v/>
      </c>
      <c r="E677">
        <f>INT(B677*10)=A677</f>
        <v/>
      </c>
      <c r="F677">
        <f>B677&gt;=C677</f>
        <v/>
      </c>
      <c r="G677">
        <f>ROUND(G676+0.1,1)</f>
        <v/>
      </c>
      <c r="H677">
        <f>G677=C677</f>
        <v/>
      </c>
      <c r="I677">
        <f>TEXT(B677,"0.00000000000000")</f>
        <v/>
      </c>
    </row>
    <row r="678">
      <c r="A678" t="n">
        <v>671</v>
      </c>
      <c r="B678">
        <f>B677+0.1</f>
        <v/>
      </c>
      <c r="C678">
        <f>A678/10</f>
        <v/>
      </c>
      <c r="D678">
        <f>B678=C678</f>
        <v/>
      </c>
      <c r="E678">
        <f>INT(B678*10)=A678</f>
        <v/>
      </c>
      <c r="F678">
        <f>B678&gt;=C678</f>
        <v/>
      </c>
      <c r="G678">
        <f>ROUND(G677+0.1,1)</f>
        <v/>
      </c>
      <c r="H678">
        <f>G678=C678</f>
        <v/>
      </c>
      <c r="I678">
        <f>TEXT(B678,"0.00000000000000")</f>
        <v/>
      </c>
    </row>
    <row r="679">
      <c r="A679" t="n">
        <v>672</v>
      </c>
      <c r="B679">
        <f>B678+0.1</f>
        <v/>
      </c>
      <c r="C679">
        <f>A679/10</f>
        <v/>
      </c>
      <c r="D679">
        <f>B679=C679</f>
        <v/>
      </c>
      <c r="E679">
        <f>INT(B679*10)=A679</f>
        <v/>
      </c>
      <c r="F679">
        <f>B679&gt;=C679</f>
        <v/>
      </c>
      <c r="G679">
        <f>ROUND(G678+0.1,1)</f>
        <v/>
      </c>
      <c r="H679">
        <f>G679=C679</f>
        <v/>
      </c>
      <c r="I679">
        <f>TEXT(B679,"0.00000000000000")</f>
        <v/>
      </c>
    </row>
    <row r="680">
      <c r="A680" t="n">
        <v>673</v>
      </c>
      <c r="B680">
        <f>B679+0.1</f>
        <v/>
      </c>
      <c r="C680">
        <f>A680/10</f>
        <v/>
      </c>
      <c r="D680">
        <f>B680=C680</f>
        <v/>
      </c>
      <c r="E680">
        <f>INT(B680*10)=A680</f>
        <v/>
      </c>
      <c r="F680">
        <f>B680&gt;=C680</f>
        <v/>
      </c>
      <c r="G680">
        <f>ROUND(G679+0.1,1)</f>
        <v/>
      </c>
      <c r="H680">
        <f>G680=C680</f>
        <v/>
      </c>
      <c r="I680">
        <f>TEXT(B680,"0.00000000000000")</f>
        <v/>
      </c>
    </row>
    <row r="681">
      <c r="A681" t="n">
        <v>674</v>
      </c>
      <c r="B681">
        <f>B680+0.1</f>
        <v/>
      </c>
      <c r="C681">
        <f>A681/10</f>
        <v/>
      </c>
      <c r="D681">
        <f>B681=C681</f>
        <v/>
      </c>
      <c r="E681">
        <f>INT(B681*10)=A681</f>
        <v/>
      </c>
      <c r="F681">
        <f>B681&gt;=C681</f>
        <v/>
      </c>
      <c r="G681">
        <f>ROUND(G680+0.1,1)</f>
        <v/>
      </c>
      <c r="H681">
        <f>G681=C681</f>
        <v/>
      </c>
      <c r="I681">
        <f>TEXT(B681,"0.00000000000000")</f>
        <v/>
      </c>
    </row>
    <row r="682">
      <c r="A682" t="n">
        <v>675</v>
      </c>
      <c r="B682">
        <f>B681+0.1</f>
        <v/>
      </c>
      <c r="C682">
        <f>A682/10</f>
        <v/>
      </c>
      <c r="D682">
        <f>B682=C682</f>
        <v/>
      </c>
      <c r="E682">
        <f>INT(B682*10)=A682</f>
        <v/>
      </c>
      <c r="F682">
        <f>B682&gt;=C682</f>
        <v/>
      </c>
      <c r="G682">
        <f>ROUND(G681+0.1,1)</f>
        <v/>
      </c>
      <c r="H682">
        <f>G682=C682</f>
        <v/>
      </c>
      <c r="I682">
        <f>TEXT(B682,"0.00000000000000")</f>
        <v/>
      </c>
    </row>
    <row r="683">
      <c r="A683" t="n">
        <v>676</v>
      </c>
      <c r="B683">
        <f>B682+0.1</f>
        <v/>
      </c>
      <c r="C683">
        <f>A683/10</f>
        <v/>
      </c>
      <c r="D683">
        <f>B683=C683</f>
        <v/>
      </c>
      <c r="E683">
        <f>INT(B683*10)=A683</f>
        <v/>
      </c>
      <c r="F683">
        <f>B683&gt;=C683</f>
        <v/>
      </c>
      <c r="G683">
        <f>ROUND(G682+0.1,1)</f>
        <v/>
      </c>
      <c r="H683">
        <f>G683=C683</f>
        <v/>
      </c>
      <c r="I683">
        <f>TEXT(B683,"0.00000000000000")</f>
        <v/>
      </c>
    </row>
    <row r="684">
      <c r="A684" t="n">
        <v>677</v>
      </c>
      <c r="B684">
        <f>B683+0.1</f>
        <v/>
      </c>
      <c r="C684">
        <f>A684/10</f>
        <v/>
      </c>
      <c r="D684">
        <f>B684=C684</f>
        <v/>
      </c>
      <c r="E684">
        <f>INT(B684*10)=A684</f>
        <v/>
      </c>
      <c r="F684">
        <f>B684&gt;=C684</f>
        <v/>
      </c>
      <c r="G684">
        <f>ROUND(G683+0.1,1)</f>
        <v/>
      </c>
      <c r="H684">
        <f>G684=C684</f>
        <v/>
      </c>
      <c r="I684">
        <f>TEXT(B684,"0.00000000000000")</f>
        <v/>
      </c>
    </row>
    <row r="685">
      <c r="A685" t="n">
        <v>678</v>
      </c>
      <c r="B685">
        <f>B684+0.1</f>
        <v/>
      </c>
      <c r="C685">
        <f>A685/10</f>
        <v/>
      </c>
      <c r="D685">
        <f>B685=C685</f>
        <v/>
      </c>
      <c r="E685">
        <f>INT(B685*10)=A685</f>
        <v/>
      </c>
      <c r="F685">
        <f>B685&gt;=C685</f>
        <v/>
      </c>
      <c r="G685">
        <f>ROUND(G684+0.1,1)</f>
        <v/>
      </c>
      <c r="H685">
        <f>G685=C685</f>
        <v/>
      </c>
      <c r="I685">
        <f>TEXT(B685,"0.00000000000000")</f>
        <v/>
      </c>
    </row>
    <row r="686">
      <c r="A686" t="n">
        <v>679</v>
      </c>
      <c r="B686">
        <f>B685+0.1</f>
        <v/>
      </c>
      <c r="C686">
        <f>A686/10</f>
        <v/>
      </c>
      <c r="D686">
        <f>B686=C686</f>
        <v/>
      </c>
      <c r="E686">
        <f>INT(B686*10)=A686</f>
        <v/>
      </c>
      <c r="F686">
        <f>B686&gt;=C686</f>
        <v/>
      </c>
      <c r="G686">
        <f>ROUND(G685+0.1,1)</f>
        <v/>
      </c>
      <c r="H686">
        <f>G686=C686</f>
        <v/>
      </c>
      <c r="I686">
        <f>TEXT(B686,"0.00000000000000")</f>
        <v/>
      </c>
    </row>
    <row r="687">
      <c r="A687" t="n">
        <v>680</v>
      </c>
      <c r="B687">
        <f>B686+0.1</f>
        <v/>
      </c>
      <c r="C687">
        <f>A687/10</f>
        <v/>
      </c>
      <c r="D687">
        <f>B687=C687</f>
        <v/>
      </c>
      <c r="E687">
        <f>INT(B687*10)=A687</f>
        <v/>
      </c>
      <c r="F687">
        <f>B687&gt;=C687</f>
        <v/>
      </c>
      <c r="G687">
        <f>ROUND(G686+0.1,1)</f>
        <v/>
      </c>
      <c r="H687">
        <f>G687=C687</f>
        <v/>
      </c>
      <c r="I687">
        <f>TEXT(B687,"0.00000000000000")</f>
        <v/>
      </c>
    </row>
    <row r="688">
      <c r="A688" t="n">
        <v>681</v>
      </c>
      <c r="B688">
        <f>B687+0.1</f>
        <v/>
      </c>
      <c r="C688">
        <f>A688/10</f>
        <v/>
      </c>
      <c r="D688">
        <f>B688=C688</f>
        <v/>
      </c>
      <c r="E688">
        <f>INT(B688*10)=A688</f>
        <v/>
      </c>
      <c r="F688">
        <f>B688&gt;=C688</f>
        <v/>
      </c>
      <c r="G688">
        <f>ROUND(G687+0.1,1)</f>
        <v/>
      </c>
      <c r="H688">
        <f>G688=C688</f>
        <v/>
      </c>
      <c r="I688">
        <f>TEXT(B688,"0.00000000000000")</f>
        <v/>
      </c>
    </row>
    <row r="689">
      <c r="A689" t="n">
        <v>682</v>
      </c>
      <c r="B689">
        <f>B688+0.1</f>
        <v/>
      </c>
      <c r="C689">
        <f>A689/10</f>
        <v/>
      </c>
      <c r="D689">
        <f>B689=C689</f>
        <v/>
      </c>
      <c r="E689">
        <f>INT(B689*10)=A689</f>
        <v/>
      </c>
      <c r="F689">
        <f>B689&gt;=C689</f>
        <v/>
      </c>
      <c r="G689">
        <f>ROUND(G688+0.1,1)</f>
        <v/>
      </c>
      <c r="H689">
        <f>G689=C689</f>
        <v/>
      </c>
      <c r="I689">
        <f>TEXT(B689,"0.00000000000000")</f>
        <v/>
      </c>
    </row>
    <row r="690">
      <c r="A690" t="n">
        <v>683</v>
      </c>
      <c r="B690">
        <f>B689+0.1</f>
        <v/>
      </c>
      <c r="C690">
        <f>A690/10</f>
        <v/>
      </c>
      <c r="D690">
        <f>B690=C690</f>
        <v/>
      </c>
      <c r="E690">
        <f>INT(B690*10)=A690</f>
        <v/>
      </c>
      <c r="F690">
        <f>B690&gt;=C690</f>
        <v/>
      </c>
      <c r="G690">
        <f>ROUND(G689+0.1,1)</f>
        <v/>
      </c>
      <c r="H690">
        <f>G690=C690</f>
        <v/>
      </c>
      <c r="I690">
        <f>TEXT(B690,"0.00000000000000")</f>
        <v/>
      </c>
    </row>
    <row r="691">
      <c r="A691" t="n">
        <v>684</v>
      </c>
      <c r="B691">
        <f>B690+0.1</f>
        <v/>
      </c>
      <c r="C691">
        <f>A691/10</f>
        <v/>
      </c>
      <c r="D691">
        <f>B691=C691</f>
        <v/>
      </c>
      <c r="E691">
        <f>INT(B691*10)=A691</f>
        <v/>
      </c>
      <c r="F691">
        <f>B691&gt;=C691</f>
        <v/>
      </c>
      <c r="G691">
        <f>ROUND(G690+0.1,1)</f>
        <v/>
      </c>
      <c r="H691">
        <f>G691=C691</f>
        <v/>
      </c>
      <c r="I691">
        <f>TEXT(B691,"0.00000000000000")</f>
        <v/>
      </c>
    </row>
    <row r="692">
      <c r="A692" t="n">
        <v>685</v>
      </c>
      <c r="B692">
        <f>B691+0.1</f>
        <v/>
      </c>
      <c r="C692">
        <f>A692/10</f>
        <v/>
      </c>
      <c r="D692">
        <f>B692=C692</f>
        <v/>
      </c>
      <c r="E692">
        <f>INT(B692*10)=A692</f>
        <v/>
      </c>
      <c r="F692">
        <f>B692&gt;=C692</f>
        <v/>
      </c>
      <c r="G692">
        <f>ROUND(G691+0.1,1)</f>
        <v/>
      </c>
      <c r="H692">
        <f>G692=C692</f>
        <v/>
      </c>
      <c r="I692">
        <f>TEXT(B692,"0.00000000000000")</f>
        <v/>
      </c>
    </row>
    <row r="693">
      <c r="A693" t="n">
        <v>686</v>
      </c>
      <c r="B693">
        <f>B692+0.1</f>
        <v/>
      </c>
      <c r="C693">
        <f>A693/10</f>
        <v/>
      </c>
      <c r="D693">
        <f>B693=C693</f>
        <v/>
      </c>
      <c r="E693">
        <f>INT(B693*10)=A693</f>
        <v/>
      </c>
      <c r="F693">
        <f>B693&gt;=C693</f>
        <v/>
      </c>
      <c r="G693">
        <f>ROUND(G692+0.1,1)</f>
        <v/>
      </c>
      <c r="H693">
        <f>G693=C693</f>
        <v/>
      </c>
      <c r="I693">
        <f>TEXT(B693,"0.00000000000000")</f>
        <v/>
      </c>
    </row>
    <row r="694">
      <c r="A694" t="n">
        <v>687</v>
      </c>
      <c r="B694">
        <f>B693+0.1</f>
        <v/>
      </c>
      <c r="C694">
        <f>A694/10</f>
        <v/>
      </c>
      <c r="D694">
        <f>B694=C694</f>
        <v/>
      </c>
      <c r="E694">
        <f>INT(B694*10)=A694</f>
        <v/>
      </c>
      <c r="F694">
        <f>B694&gt;=C694</f>
        <v/>
      </c>
      <c r="G694">
        <f>ROUND(G693+0.1,1)</f>
        <v/>
      </c>
      <c r="H694">
        <f>G694=C694</f>
        <v/>
      </c>
      <c r="I694">
        <f>TEXT(B694,"0.00000000000000")</f>
        <v/>
      </c>
    </row>
    <row r="695">
      <c r="A695" t="n">
        <v>688</v>
      </c>
      <c r="B695">
        <f>B694+0.1</f>
        <v/>
      </c>
      <c r="C695">
        <f>A695/10</f>
        <v/>
      </c>
      <c r="D695">
        <f>B695=C695</f>
        <v/>
      </c>
      <c r="E695">
        <f>INT(B695*10)=A695</f>
        <v/>
      </c>
      <c r="F695">
        <f>B695&gt;=C695</f>
        <v/>
      </c>
      <c r="G695">
        <f>ROUND(G694+0.1,1)</f>
        <v/>
      </c>
      <c r="H695">
        <f>G695=C695</f>
        <v/>
      </c>
      <c r="I695">
        <f>TEXT(B695,"0.00000000000000")</f>
        <v/>
      </c>
    </row>
    <row r="696">
      <c r="A696" t="n">
        <v>689</v>
      </c>
      <c r="B696">
        <f>B695+0.1</f>
        <v/>
      </c>
      <c r="C696">
        <f>A696/10</f>
        <v/>
      </c>
      <c r="D696">
        <f>B696=C696</f>
        <v/>
      </c>
      <c r="E696">
        <f>INT(B696*10)=A696</f>
        <v/>
      </c>
      <c r="F696">
        <f>B696&gt;=C696</f>
        <v/>
      </c>
      <c r="G696">
        <f>ROUND(G695+0.1,1)</f>
        <v/>
      </c>
      <c r="H696">
        <f>G696=C696</f>
        <v/>
      </c>
      <c r="I696">
        <f>TEXT(B696,"0.00000000000000")</f>
        <v/>
      </c>
    </row>
    <row r="697">
      <c r="A697" t="n">
        <v>690</v>
      </c>
      <c r="B697">
        <f>B696+0.1</f>
        <v/>
      </c>
      <c r="C697">
        <f>A697/10</f>
        <v/>
      </c>
      <c r="D697">
        <f>B697=C697</f>
        <v/>
      </c>
      <c r="E697">
        <f>INT(B697*10)=A697</f>
        <v/>
      </c>
      <c r="F697">
        <f>B697&gt;=C697</f>
        <v/>
      </c>
      <c r="G697">
        <f>ROUND(G696+0.1,1)</f>
        <v/>
      </c>
      <c r="H697">
        <f>G697=C697</f>
        <v/>
      </c>
      <c r="I697">
        <f>TEXT(B697,"0.00000000000000")</f>
        <v/>
      </c>
    </row>
    <row r="698">
      <c r="A698" t="n">
        <v>691</v>
      </c>
      <c r="B698">
        <f>B697+0.1</f>
        <v/>
      </c>
      <c r="C698">
        <f>A698/10</f>
        <v/>
      </c>
      <c r="D698">
        <f>B698=C698</f>
        <v/>
      </c>
      <c r="E698">
        <f>INT(B698*10)=A698</f>
        <v/>
      </c>
      <c r="F698">
        <f>B698&gt;=C698</f>
        <v/>
      </c>
      <c r="G698">
        <f>ROUND(G697+0.1,1)</f>
        <v/>
      </c>
      <c r="H698">
        <f>G698=C698</f>
        <v/>
      </c>
      <c r="I698">
        <f>TEXT(B698,"0.00000000000000")</f>
        <v/>
      </c>
    </row>
    <row r="699">
      <c r="A699" t="n">
        <v>692</v>
      </c>
      <c r="B699">
        <f>B698+0.1</f>
        <v/>
      </c>
      <c r="C699">
        <f>A699/10</f>
        <v/>
      </c>
      <c r="D699">
        <f>B699=C699</f>
        <v/>
      </c>
      <c r="E699">
        <f>INT(B699*10)=A699</f>
        <v/>
      </c>
      <c r="F699">
        <f>B699&gt;=C699</f>
        <v/>
      </c>
      <c r="G699">
        <f>ROUND(G698+0.1,1)</f>
        <v/>
      </c>
      <c r="H699">
        <f>G699=C699</f>
        <v/>
      </c>
      <c r="I699">
        <f>TEXT(B699,"0.00000000000000")</f>
        <v/>
      </c>
    </row>
    <row r="700">
      <c r="A700" t="n">
        <v>693</v>
      </c>
      <c r="B700">
        <f>B699+0.1</f>
        <v/>
      </c>
      <c r="C700">
        <f>A700/10</f>
        <v/>
      </c>
      <c r="D700">
        <f>B700=C700</f>
        <v/>
      </c>
      <c r="E700">
        <f>INT(B700*10)=A700</f>
        <v/>
      </c>
      <c r="F700">
        <f>B700&gt;=C700</f>
        <v/>
      </c>
      <c r="G700">
        <f>ROUND(G699+0.1,1)</f>
        <v/>
      </c>
      <c r="H700">
        <f>G700=C700</f>
        <v/>
      </c>
      <c r="I700">
        <f>TEXT(B700,"0.00000000000000")</f>
        <v/>
      </c>
    </row>
    <row r="701">
      <c r="A701" t="n">
        <v>694</v>
      </c>
      <c r="B701">
        <f>B700+0.1</f>
        <v/>
      </c>
      <c r="C701">
        <f>A701/10</f>
        <v/>
      </c>
      <c r="D701">
        <f>B701=C701</f>
        <v/>
      </c>
      <c r="E701">
        <f>INT(B701*10)=A701</f>
        <v/>
      </c>
      <c r="F701">
        <f>B701&gt;=C701</f>
        <v/>
      </c>
      <c r="G701">
        <f>ROUND(G700+0.1,1)</f>
        <v/>
      </c>
      <c r="H701">
        <f>G701=C701</f>
        <v/>
      </c>
      <c r="I701">
        <f>TEXT(B701,"0.00000000000000")</f>
        <v/>
      </c>
    </row>
    <row r="702">
      <c r="A702" t="n">
        <v>695</v>
      </c>
      <c r="B702">
        <f>B701+0.1</f>
        <v/>
      </c>
      <c r="C702">
        <f>A702/10</f>
        <v/>
      </c>
      <c r="D702">
        <f>B702=C702</f>
        <v/>
      </c>
      <c r="E702">
        <f>INT(B702*10)=A702</f>
        <v/>
      </c>
      <c r="F702">
        <f>B702&gt;=C702</f>
        <v/>
      </c>
      <c r="G702">
        <f>ROUND(G701+0.1,1)</f>
        <v/>
      </c>
      <c r="H702">
        <f>G702=C702</f>
        <v/>
      </c>
      <c r="I702">
        <f>TEXT(B702,"0.00000000000000")</f>
        <v/>
      </c>
    </row>
    <row r="703">
      <c r="A703" t="n">
        <v>696</v>
      </c>
      <c r="B703">
        <f>B702+0.1</f>
        <v/>
      </c>
      <c r="C703">
        <f>A703/10</f>
        <v/>
      </c>
      <c r="D703">
        <f>B703=C703</f>
        <v/>
      </c>
      <c r="E703">
        <f>INT(B703*10)=A703</f>
        <v/>
      </c>
      <c r="F703">
        <f>B703&gt;=C703</f>
        <v/>
      </c>
      <c r="G703">
        <f>ROUND(G702+0.1,1)</f>
        <v/>
      </c>
      <c r="H703">
        <f>G703=C703</f>
        <v/>
      </c>
      <c r="I703">
        <f>TEXT(B703,"0.00000000000000")</f>
        <v/>
      </c>
    </row>
    <row r="704">
      <c r="A704" t="n">
        <v>697</v>
      </c>
      <c r="B704">
        <f>B703+0.1</f>
        <v/>
      </c>
      <c r="C704">
        <f>A704/10</f>
        <v/>
      </c>
      <c r="D704">
        <f>B704=C704</f>
        <v/>
      </c>
      <c r="E704">
        <f>INT(B704*10)=A704</f>
        <v/>
      </c>
      <c r="F704">
        <f>B704&gt;=C704</f>
        <v/>
      </c>
      <c r="G704">
        <f>ROUND(G703+0.1,1)</f>
        <v/>
      </c>
      <c r="H704">
        <f>G704=C704</f>
        <v/>
      </c>
      <c r="I704">
        <f>TEXT(B704,"0.00000000000000")</f>
        <v/>
      </c>
    </row>
    <row r="705">
      <c r="A705" t="n">
        <v>698</v>
      </c>
      <c r="B705">
        <f>B704+0.1</f>
        <v/>
      </c>
      <c r="C705">
        <f>A705/10</f>
        <v/>
      </c>
      <c r="D705">
        <f>B705=C705</f>
        <v/>
      </c>
      <c r="E705">
        <f>INT(B705*10)=A705</f>
        <v/>
      </c>
      <c r="F705">
        <f>B705&gt;=C705</f>
        <v/>
      </c>
      <c r="G705">
        <f>ROUND(G704+0.1,1)</f>
        <v/>
      </c>
      <c r="H705">
        <f>G705=C705</f>
        <v/>
      </c>
      <c r="I705">
        <f>TEXT(B705,"0.00000000000000")</f>
        <v/>
      </c>
    </row>
    <row r="706">
      <c r="A706" t="n">
        <v>699</v>
      </c>
      <c r="B706">
        <f>B705+0.1</f>
        <v/>
      </c>
      <c r="C706">
        <f>A706/10</f>
        <v/>
      </c>
      <c r="D706">
        <f>B706=C706</f>
        <v/>
      </c>
      <c r="E706">
        <f>INT(B706*10)=A706</f>
        <v/>
      </c>
      <c r="F706">
        <f>B706&gt;=C706</f>
        <v/>
      </c>
      <c r="G706">
        <f>ROUND(G705+0.1,1)</f>
        <v/>
      </c>
      <c r="H706">
        <f>G706=C706</f>
        <v/>
      </c>
      <c r="I706">
        <f>TEXT(B706,"0.00000000000000")</f>
        <v/>
      </c>
    </row>
    <row r="707">
      <c r="A707" t="n">
        <v>700</v>
      </c>
      <c r="B707">
        <f>B706+0.1</f>
        <v/>
      </c>
      <c r="C707">
        <f>A707/10</f>
        <v/>
      </c>
      <c r="D707">
        <f>B707=C707</f>
        <v/>
      </c>
      <c r="E707">
        <f>INT(B707*10)=A707</f>
        <v/>
      </c>
      <c r="F707">
        <f>B707&gt;=C707</f>
        <v/>
      </c>
      <c r="G707">
        <f>ROUND(G706+0.1,1)</f>
        <v/>
      </c>
      <c r="H707">
        <f>G707=C707</f>
        <v/>
      </c>
      <c r="I707">
        <f>TEXT(B707,"0.00000000000000")</f>
        <v/>
      </c>
    </row>
    <row r="708">
      <c r="A708" t="n">
        <v>701</v>
      </c>
      <c r="B708">
        <f>B707+0.1</f>
        <v/>
      </c>
      <c r="C708">
        <f>A708/10</f>
        <v/>
      </c>
      <c r="D708">
        <f>B708=C708</f>
        <v/>
      </c>
      <c r="E708">
        <f>INT(B708*10)=A708</f>
        <v/>
      </c>
      <c r="F708">
        <f>B708&gt;=C708</f>
        <v/>
      </c>
      <c r="G708">
        <f>ROUND(G707+0.1,1)</f>
        <v/>
      </c>
      <c r="H708">
        <f>G708=C708</f>
        <v/>
      </c>
      <c r="I708">
        <f>TEXT(B708,"0.00000000000000")</f>
        <v/>
      </c>
    </row>
    <row r="709">
      <c r="A709" t="n">
        <v>702</v>
      </c>
      <c r="B709">
        <f>B708+0.1</f>
        <v/>
      </c>
      <c r="C709">
        <f>A709/10</f>
        <v/>
      </c>
      <c r="D709">
        <f>B709=C709</f>
        <v/>
      </c>
      <c r="E709">
        <f>INT(B709*10)=A709</f>
        <v/>
      </c>
      <c r="F709">
        <f>B709&gt;=C709</f>
        <v/>
      </c>
      <c r="G709">
        <f>ROUND(G708+0.1,1)</f>
        <v/>
      </c>
      <c r="H709">
        <f>G709=C709</f>
        <v/>
      </c>
      <c r="I709">
        <f>TEXT(B709,"0.00000000000000")</f>
        <v/>
      </c>
    </row>
    <row r="710">
      <c r="A710" t="n">
        <v>703</v>
      </c>
      <c r="B710">
        <f>B709+0.1</f>
        <v/>
      </c>
      <c r="C710">
        <f>A710/10</f>
        <v/>
      </c>
      <c r="D710">
        <f>B710=C710</f>
        <v/>
      </c>
      <c r="E710">
        <f>INT(B710*10)=A710</f>
        <v/>
      </c>
      <c r="F710">
        <f>B710&gt;=C710</f>
        <v/>
      </c>
      <c r="G710">
        <f>ROUND(G709+0.1,1)</f>
        <v/>
      </c>
      <c r="H710">
        <f>G710=C710</f>
        <v/>
      </c>
      <c r="I710">
        <f>TEXT(B710,"0.00000000000000")</f>
        <v/>
      </c>
    </row>
    <row r="711">
      <c r="A711" t="n">
        <v>704</v>
      </c>
      <c r="B711">
        <f>B710+0.1</f>
        <v/>
      </c>
      <c r="C711">
        <f>A711/10</f>
        <v/>
      </c>
      <c r="D711">
        <f>B711=C711</f>
        <v/>
      </c>
      <c r="E711">
        <f>INT(B711*10)=A711</f>
        <v/>
      </c>
      <c r="F711">
        <f>B711&gt;=C711</f>
        <v/>
      </c>
      <c r="G711">
        <f>ROUND(G710+0.1,1)</f>
        <v/>
      </c>
      <c r="H711">
        <f>G711=C711</f>
        <v/>
      </c>
      <c r="I711">
        <f>TEXT(B711,"0.00000000000000")</f>
        <v/>
      </c>
    </row>
    <row r="712">
      <c r="A712" t="n">
        <v>705</v>
      </c>
      <c r="B712">
        <f>B711+0.1</f>
        <v/>
      </c>
      <c r="C712">
        <f>A712/10</f>
        <v/>
      </c>
      <c r="D712">
        <f>B712=C712</f>
        <v/>
      </c>
      <c r="E712">
        <f>INT(B712*10)=A712</f>
        <v/>
      </c>
      <c r="F712">
        <f>B712&gt;=C712</f>
        <v/>
      </c>
      <c r="G712">
        <f>ROUND(G711+0.1,1)</f>
        <v/>
      </c>
      <c r="H712">
        <f>G712=C712</f>
        <v/>
      </c>
      <c r="I712">
        <f>TEXT(B712,"0.00000000000000")</f>
        <v/>
      </c>
    </row>
    <row r="713">
      <c r="A713" t="n">
        <v>706</v>
      </c>
      <c r="B713">
        <f>B712+0.1</f>
        <v/>
      </c>
      <c r="C713">
        <f>A713/10</f>
        <v/>
      </c>
      <c r="D713">
        <f>B713=C713</f>
        <v/>
      </c>
      <c r="E713">
        <f>INT(B713*10)=A713</f>
        <v/>
      </c>
      <c r="F713">
        <f>B713&gt;=C713</f>
        <v/>
      </c>
      <c r="G713">
        <f>ROUND(G712+0.1,1)</f>
        <v/>
      </c>
      <c r="H713">
        <f>G713=C713</f>
        <v/>
      </c>
      <c r="I713">
        <f>TEXT(B713,"0.00000000000000")</f>
        <v/>
      </c>
    </row>
    <row r="714">
      <c r="A714" t="n">
        <v>707</v>
      </c>
      <c r="B714">
        <f>B713+0.1</f>
        <v/>
      </c>
      <c r="C714">
        <f>A714/10</f>
        <v/>
      </c>
      <c r="D714">
        <f>B714=C714</f>
        <v/>
      </c>
      <c r="E714">
        <f>INT(B714*10)=A714</f>
        <v/>
      </c>
      <c r="F714">
        <f>B714&gt;=C714</f>
        <v/>
      </c>
      <c r="G714">
        <f>ROUND(G713+0.1,1)</f>
        <v/>
      </c>
      <c r="H714">
        <f>G714=C714</f>
        <v/>
      </c>
      <c r="I714">
        <f>TEXT(B714,"0.00000000000000")</f>
        <v/>
      </c>
    </row>
    <row r="715">
      <c r="A715" t="n">
        <v>708</v>
      </c>
      <c r="B715">
        <f>B714+0.1</f>
        <v/>
      </c>
      <c r="C715">
        <f>A715/10</f>
        <v/>
      </c>
      <c r="D715">
        <f>B715=C715</f>
        <v/>
      </c>
      <c r="E715">
        <f>INT(B715*10)=A715</f>
        <v/>
      </c>
      <c r="F715">
        <f>B715&gt;=C715</f>
        <v/>
      </c>
      <c r="G715">
        <f>ROUND(G714+0.1,1)</f>
        <v/>
      </c>
      <c r="H715">
        <f>G715=C715</f>
        <v/>
      </c>
      <c r="I715">
        <f>TEXT(B715,"0.00000000000000")</f>
        <v/>
      </c>
    </row>
    <row r="716">
      <c r="A716" t="n">
        <v>709</v>
      </c>
      <c r="B716">
        <f>B715+0.1</f>
        <v/>
      </c>
      <c r="C716">
        <f>A716/10</f>
        <v/>
      </c>
      <c r="D716">
        <f>B716=C716</f>
        <v/>
      </c>
      <c r="E716">
        <f>INT(B716*10)=A716</f>
        <v/>
      </c>
      <c r="F716">
        <f>B716&gt;=C716</f>
        <v/>
      </c>
      <c r="G716">
        <f>ROUND(G715+0.1,1)</f>
        <v/>
      </c>
      <c r="H716">
        <f>G716=C716</f>
        <v/>
      </c>
      <c r="I716">
        <f>TEXT(B716,"0.00000000000000")</f>
        <v/>
      </c>
    </row>
    <row r="717">
      <c r="A717" t="n">
        <v>710</v>
      </c>
      <c r="B717">
        <f>B716+0.1</f>
        <v/>
      </c>
      <c r="C717">
        <f>A717/10</f>
        <v/>
      </c>
      <c r="D717">
        <f>B717=C717</f>
        <v/>
      </c>
      <c r="E717">
        <f>INT(B717*10)=A717</f>
        <v/>
      </c>
      <c r="F717">
        <f>B717&gt;=C717</f>
        <v/>
      </c>
      <c r="G717">
        <f>ROUND(G716+0.1,1)</f>
        <v/>
      </c>
      <c r="H717">
        <f>G717=C717</f>
        <v/>
      </c>
      <c r="I717">
        <f>TEXT(B717,"0.00000000000000")</f>
        <v/>
      </c>
    </row>
    <row r="718">
      <c r="A718" t="n">
        <v>711</v>
      </c>
      <c r="B718">
        <f>B717+0.1</f>
        <v/>
      </c>
      <c r="C718">
        <f>A718/10</f>
        <v/>
      </c>
      <c r="D718">
        <f>B718=C718</f>
        <v/>
      </c>
      <c r="E718">
        <f>INT(B718*10)=A718</f>
        <v/>
      </c>
      <c r="F718">
        <f>B718&gt;=C718</f>
        <v/>
      </c>
      <c r="G718">
        <f>ROUND(G717+0.1,1)</f>
        <v/>
      </c>
      <c r="H718">
        <f>G718=C718</f>
        <v/>
      </c>
      <c r="I718">
        <f>TEXT(B718,"0.00000000000000")</f>
        <v/>
      </c>
    </row>
    <row r="719">
      <c r="A719" t="n">
        <v>712</v>
      </c>
      <c r="B719">
        <f>B718+0.1</f>
        <v/>
      </c>
      <c r="C719">
        <f>A719/10</f>
        <v/>
      </c>
      <c r="D719">
        <f>B719=C719</f>
        <v/>
      </c>
      <c r="E719">
        <f>INT(B719*10)=A719</f>
        <v/>
      </c>
      <c r="F719">
        <f>B719&gt;=C719</f>
        <v/>
      </c>
      <c r="G719">
        <f>ROUND(G718+0.1,1)</f>
        <v/>
      </c>
      <c r="H719">
        <f>G719=C719</f>
        <v/>
      </c>
      <c r="I719">
        <f>TEXT(B719,"0.00000000000000")</f>
        <v/>
      </c>
    </row>
    <row r="720">
      <c r="A720" t="n">
        <v>713</v>
      </c>
      <c r="B720">
        <f>B719+0.1</f>
        <v/>
      </c>
      <c r="C720">
        <f>A720/10</f>
        <v/>
      </c>
      <c r="D720">
        <f>B720=C720</f>
        <v/>
      </c>
      <c r="E720">
        <f>INT(B720*10)=A720</f>
        <v/>
      </c>
      <c r="F720">
        <f>B720&gt;=C720</f>
        <v/>
      </c>
      <c r="G720">
        <f>ROUND(G719+0.1,1)</f>
        <v/>
      </c>
      <c r="H720">
        <f>G720=C720</f>
        <v/>
      </c>
      <c r="I720">
        <f>TEXT(B720,"0.00000000000000")</f>
        <v/>
      </c>
    </row>
    <row r="721">
      <c r="A721" t="n">
        <v>714</v>
      </c>
      <c r="B721">
        <f>B720+0.1</f>
        <v/>
      </c>
      <c r="C721">
        <f>A721/10</f>
        <v/>
      </c>
      <c r="D721">
        <f>B721=C721</f>
        <v/>
      </c>
      <c r="E721">
        <f>INT(B721*10)=A721</f>
        <v/>
      </c>
      <c r="F721">
        <f>B721&gt;=C721</f>
        <v/>
      </c>
      <c r="G721">
        <f>ROUND(G720+0.1,1)</f>
        <v/>
      </c>
      <c r="H721">
        <f>G721=C721</f>
        <v/>
      </c>
      <c r="I721">
        <f>TEXT(B721,"0.00000000000000")</f>
        <v/>
      </c>
    </row>
    <row r="722">
      <c r="A722" t="n">
        <v>715</v>
      </c>
      <c r="B722">
        <f>B721+0.1</f>
        <v/>
      </c>
      <c r="C722">
        <f>A722/10</f>
        <v/>
      </c>
      <c r="D722">
        <f>B722=C722</f>
        <v/>
      </c>
      <c r="E722">
        <f>INT(B722*10)=A722</f>
        <v/>
      </c>
      <c r="F722">
        <f>B722&gt;=C722</f>
        <v/>
      </c>
      <c r="G722">
        <f>ROUND(G721+0.1,1)</f>
        <v/>
      </c>
      <c r="H722">
        <f>G722=C722</f>
        <v/>
      </c>
      <c r="I722">
        <f>TEXT(B722,"0.00000000000000")</f>
        <v/>
      </c>
    </row>
    <row r="723">
      <c r="A723" t="n">
        <v>716</v>
      </c>
      <c r="B723">
        <f>B722+0.1</f>
        <v/>
      </c>
      <c r="C723">
        <f>A723/10</f>
        <v/>
      </c>
      <c r="D723">
        <f>B723=C723</f>
        <v/>
      </c>
      <c r="E723">
        <f>INT(B723*10)=A723</f>
        <v/>
      </c>
      <c r="F723">
        <f>B723&gt;=C723</f>
        <v/>
      </c>
      <c r="G723">
        <f>ROUND(G722+0.1,1)</f>
        <v/>
      </c>
      <c r="H723">
        <f>G723=C723</f>
        <v/>
      </c>
      <c r="I723">
        <f>TEXT(B723,"0.00000000000000")</f>
        <v/>
      </c>
    </row>
    <row r="724">
      <c r="A724" t="n">
        <v>717</v>
      </c>
      <c r="B724">
        <f>B723+0.1</f>
        <v/>
      </c>
      <c r="C724">
        <f>A724/10</f>
        <v/>
      </c>
      <c r="D724">
        <f>B724=C724</f>
        <v/>
      </c>
      <c r="E724">
        <f>INT(B724*10)=A724</f>
        <v/>
      </c>
      <c r="F724">
        <f>B724&gt;=C724</f>
        <v/>
      </c>
      <c r="G724">
        <f>ROUND(G723+0.1,1)</f>
        <v/>
      </c>
      <c r="H724">
        <f>G724=C724</f>
        <v/>
      </c>
      <c r="I724">
        <f>TEXT(B724,"0.00000000000000")</f>
        <v/>
      </c>
    </row>
    <row r="725">
      <c r="A725" t="n">
        <v>718</v>
      </c>
      <c r="B725">
        <f>B724+0.1</f>
        <v/>
      </c>
      <c r="C725">
        <f>A725/10</f>
        <v/>
      </c>
      <c r="D725">
        <f>B725=C725</f>
        <v/>
      </c>
      <c r="E725">
        <f>INT(B725*10)=A725</f>
        <v/>
      </c>
      <c r="F725">
        <f>B725&gt;=C725</f>
        <v/>
      </c>
      <c r="G725">
        <f>ROUND(G724+0.1,1)</f>
        <v/>
      </c>
      <c r="H725">
        <f>G725=C725</f>
        <v/>
      </c>
      <c r="I725">
        <f>TEXT(B725,"0.00000000000000")</f>
        <v/>
      </c>
    </row>
    <row r="726">
      <c r="A726" t="n">
        <v>719</v>
      </c>
      <c r="B726">
        <f>B725+0.1</f>
        <v/>
      </c>
      <c r="C726">
        <f>A726/10</f>
        <v/>
      </c>
      <c r="D726">
        <f>B726=C726</f>
        <v/>
      </c>
      <c r="E726">
        <f>INT(B726*10)=A726</f>
        <v/>
      </c>
      <c r="F726">
        <f>B726&gt;=C726</f>
        <v/>
      </c>
      <c r="G726">
        <f>ROUND(G725+0.1,1)</f>
        <v/>
      </c>
      <c r="H726">
        <f>G726=C726</f>
        <v/>
      </c>
      <c r="I726">
        <f>TEXT(B726,"0.00000000000000")</f>
        <v/>
      </c>
    </row>
    <row r="727">
      <c r="A727" t="n">
        <v>720</v>
      </c>
      <c r="B727">
        <f>B726+0.1</f>
        <v/>
      </c>
      <c r="C727">
        <f>A727/10</f>
        <v/>
      </c>
      <c r="D727">
        <f>B727=C727</f>
        <v/>
      </c>
      <c r="E727">
        <f>INT(B727*10)=A727</f>
        <v/>
      </c>
      <c r="F727">
        <f>B727&gt;=C727</f>
        <v/>
      </c>
      <c r="G727">
        <f>ROUND(G726+0.1,1)</f>
        <v/>
      </c>
      <c r="H727">
        <f>G727=C727</f>
        <v/>
      </c>
      <c r="I727">
        <f>TEXT(B727,"0.00000000000000")</f>
        <v/>
      </c>
    </row>
    <row r="728">
      <c r="A728" t="n">
        <v>721</v>
      </c>
      <c r="B728">
        <f>B727+0.1</f>
        <v/>
      </c>
      <c r="C728">
        <f>A728/10</f>
        <v/>
      </c>
      <c r="D728">
        <f>B728=C728</f>
        <v/>
      </c>
      <c r="E728">
        <f>INT(B728*10)=A728</f>
        <v/>
      </c>
      <c r="F728">
        <f>B728&gt;=C728</f>
        <v/>
      </c>
      <c r="G728">
        <f>ROUND(G727+0.1,1)</f>
        <v/>
      </c>
      <c r="H728">
        <f>G728=C728</f>
        <v/>
      </c>
      <c r="I728">
        <f>TEXT(B728,"0.00000000000000")</f>
        <v/>
      </c>
    </row>
    <row r="729">
      <c r="A729" t="n">
        <v>722</v>
      </c>
      <c r="B729">
        <f>B728+0.1</f>
        <v/>
      </c>
      <c r="C729">
        <f>A729/10</f>
        <v/>
      </c>
      <c r="D729">
        <f>B729=C729</f>
        <v/>
      </c>
      <c r="E729">
        <f>INT(B729*10)=A729</f>
        <v/>
      </c>
      <c r="F729">
        <f>B729&gt;=C729</f>
        <v/>
      </c>
      <c r="G729">
        <f>ROUND(G728+0.1,1)</f>
        <v/>
      </c>
      <c r="H729">
        <f>G729=C729</f>
        <v/>
      </c>
      <c r="I729">
        <f>TEXT(B729,"0.00000000000000")</f>
        <v/>
      </c>
    </row>
    <row r="730">
      <c r="A730" t="n">
        <v>723</v>
      </c>
      <c r="B730">
        <f>B729+0.1</f>
        <v/>
      </c>
      <c r="C730">
        <f>A730/10</f>
        <v/>
      </c>
      <c r="D730">
        <f>B730=C730</f>
        <v/>
      </c>
      <c r="E730">
        <f>INT(B730*10)=A730</f>
        <v/>
      </c>
      <c r="F730">
        <f>B730&gt;=C730</f>
        <v/>
      </c>
      <c r="G730">
        <f>ROUND(G729+0.1,1)</f>
        <v/>
      </c>
      <c r="H730">
        <f>G730=C730</f>
        <v/>
      </c>
      <c r="I730">
        <f>TEXT(B730,"0.00000000000000")</f>
        <v/>
      </c>
    </row>
    <row r="731">
      <c r="A731" t="n">
        <v>724</v>
      </c>
      <c r="B731">
        <f>B730+0.1</f>
        <v/>
      </c>
      <c r="C731">
        <f>A731/10</f>
        <v/>
      </c>
      <c r="D731">
        <f>B731=C731</f>
        <v/>
      </c>
      <c r="E731">
        <f>INT(B731*10)=A731</f>
        <v/>
      </c>
      <c r="F731">
        <f>B731&gt;=C731</f>
        <v/>
      </c>
      <c r="G731">
        <f>ROUND(G730+0.1,1)</f>
        <v/>
      </c>
      <c r="H731">
        <f>G731=C731</f>
        <v/>
      </c>
      <c r="I731">
        <f>TEXT(B731,"0.00000000000000")</f>
        <v/>
      </c>
    </row>
    <row r="732">
      <c r="A732" t="n">
        <v>725</v>
      </c>
      <c r="B732">
        <f>B731+0.1</f>
        <v/>
      </c>
      <c r="C732">
        <f>A732/10</f>
        <v/>
      </c>
      <c r="D732">
        <f>B732=C732</f>
        <v/>
      </c>
      <c r="E732">
        <f>INT(B732*10)=A732</f>
        <v/>
      </c>
      <c r="F732">
        <f>B732&gt;=C732</f>
        <v/>
      </c>
      <c r="G732">
        <f>ROUND(G731+0.1,1)</f>
        <v/>
      </c>
      <c r="H732">
        <f>G732=C732</f>
        <v/>
      </c>
      <c r="I732">
        <f>TEXT(B732,"0.00000000000000")</f>
        <v/>
      </c>
    </row>
    <row r="733">
      <c r="A733" t="n">
        <v>726</v>
      </c>
      <c r="B733">
        <f>B732+0.1</f>
        <v/>
      </c>
      <c r="C733">
        <f>A733/10</f>
        <v/>
      </c>
      <c r="D733">
        <f>B733=C733</f>
        <v/>
      </c>
      <c r="E733">
        <f>INT(B733*10)=A733</f>
        <v/>
      </c>
      <c r="F733">
        <f>B733&gt;=C733</f>
        <v/>
      </c>
      <c r="G733">
        <f>ROUND(G732+0.1,1)</f>
        <v/>
      </c>
      <c r="H733">
        <f>G733=C733</f>
        <v/>
      </c>
      <c r="I733">
        <f>TEXT(B733,"0.00000000000000")</f>
        <v/>
      </c>
    </row>
    <row r="734">
      <c r="A734" t="n">
        <v>727</v>
      </c>
      <c r="B734">
        <f>B733+0.1</f>
        <v/>
      </c>
      <c r="C734">
        <f>A734/10</f>
        <v/>
      </c>
      <c r="D734">
        <f>B734=C734</f>
        <v/>
      </c>
      <c r="E734">
        <f>INT(B734*10)=A734</f>
        <v/>
      </c>
      <c r="F734">
        <f>B734&gt;=C734</f>
        <v/>
      </c>
      <c r="G734">
        <f>ROUND(G733+0.1,1)</f>
        <v/>
      </c>
      <c r="H734">
        <f>G734=C734</f>
        <v/>
      </c>
      <c r="I734">
        <f>TEXT(B734,"0.00000000000000")</f>
        <v/>
      </c>
    </row>
    <row r="735">
      <c r="A735" t="n">
        <v>728</v>
      </c>
      <c r="B735">
        <f>B734+0.1</f>
        <v/>
      </c>
      <c r="C735">
        <f>A735/10</f>
        <v/>
      </c>
      <c r="D735">
        <f>B735=C735</f>
        <v/>
      </c>
      <c r="E735">
        <f>INT(B735*10)=A735</f>
        <v/>
      </c>
      <c r="F735">
        <f>B735&gt;=C735</f>
        <v/>
      </c>
      <c r="G735">
        <f>ROUND(G734+0.1,1)</f>
        <v/>
      </c>
      <c r="H735">
        <f>G735=C735</f>
        <v/>
      </c>
      <c r="I735">
        <f>TEXT(B735,"0.00000000000000")</f>
        <v/>
      </c>
    </row>
    <row r="736">
      <c r="A736" t="n">
        <v>729</v>
      </c>
      <c r="B736">
        <f>B735+0.1</f>
        <v/>
      </c>
      <c r="C736">
        <f>A736/10</f>
        <v/>
      </c>
      <c r="D736">
        <f>B736=C736</f>
        <v/>
      </c>
      <c r="E736">
        <f>INT(B736*10)=A736</f>
        <v/>
      </c>
      <c r="F736">
        <f>B736&gt;=C736</f>
        <v/>
      </c>
      <c r="G736">
        <f>ROUND(G735+0.1,1)</f>
        <v/>
      </c>
      <c r="H736">
        <f>G736=C736</f>
        <v/>
      </c>
      <c r="I736">
        <f>TEXT(B736,"0.00000000000000")</f>
        <v/>
      </c>
    </row>
    <row r="737">
      <c r="A737" t="n">
        <v>730</v>
      </c>
      <c r="B737">
        <f>B736+0.1</f>
        <v/>
      </c>
      <c r="C737">
        <f>A737/10</f>
        <v/>
      </c>
      <c r="D737">
        <f>B737=C737</f>
        <v/>
      </c>
      <c r="E737">
        <f>INT(B737*10)=A737</f>
        <v/>
      </c>
      <c r="F737">
        <f>B737&gt;=C737</f>
        <v/>
      </c>
      <c r="G737">
        <f>ROUND(G736+0.1,1)</f>
        <v/>
      </c>
      <c r="H737">
        <f>G737=C737</f>
        <v/>
      </c>
      <c r="I737">
        <f>TEXT(B737,"0.00000000000000")</f>
        <v/>
      </c>
    </row>
    <row r="738">
      <c r="A738" t="n">
        <v>731</v>
      </c>
      <c r="B738">
        <f>B737+0.1</f>
        <v/>
      </c>
      <c r="C738">
        <f>A738/10</f>
        <v/>
      </c>
      <c r="D738">
        <f>B738=C738</f>
        <v/>
      </c>
      <c r="E738">
        <f>INT(B738*10)=A738</f>
        <v/>
      </c>
      <c r="F738">
        <f>B738&gt;=C738</f>
        <v/>
      </c>
      <c r="G738">
        <f>ROUND(G737+0.1,1)</f>
        <v/>
      </c>
      <c r="H738">
        <f>G738=C738</f>
        <v/>
      </c>
      <c r="I738">
        <f>TEXT(B738,"0.00000000000000")</f>
        <v/>
      </c>
    </row>
    <row r="739">
      <c r="A739" t="n">
        <v>732</v>
      </c>
      <c r="B739">
        <f>B738+0.1</f>
        <v/>
      </c>
      <c r="C739">
        <f>A739/10</f>
        <v/>
      </c>
      <c r="D739">
        <f>B739=C739</f>
        <v/>
      </c>
      <c r="E739">
        <f>INT(B739*10)=A739</f>
        <v/>
      </c>
      <c r="F739">
        <f>B739&gt;=C739</f>
        <v/>
      </c>
      <c r="G739">
        <f>ROUND(G738+0.1,1)</f>
        <v/>
      </c>
      <c r="H739">
        <f>G739=C739</f>
        <v/>
      </c>
      <c r="I739">
        <f>TEXT(B739,"0.00000000000000")</f>
        <v/>
      </c>
    </row>
    <row r="740">
      <c r="A740" t="n">
        <v>733</v>
      </c>
      <c r="B740">
        <f>B739+0.1</f>
        <v/>
      </c>
      <c r="C740">
        <f>A740/10</f>
        <v/>
      </c>
      <c r="D740">
        <f>B740=C740</f>
        <v/>
      </c>
      <c r="E740">
        <f>INT(B740*10)=A740</f>
        <v/>
      </c>
      <c r="F740">
        <f>B740&gt;=C740</f>
        <v/>
      </c>
      <c r="G740">
        <f>ROUND(G739+0.1,1)</f>
        <v/>
      </c>
      <c r="H740">
        <f>G740=C740</f>
        <v/>
      </c>
      <c r="I740">
        <f>TEXT(B740,"0.00000000000000")</f>
        <v/>
      </c>
    </row>
    <row r="741">
      <c r="A741" t="n">
        <v>734</v>
      </c>
      <c r="B741">
        <f>B740+0.1</f>
        <v/>
      </c>
      <c r="C741">
        <f>A741/10</f>
        <v/>
      </c>
      <c r="D741">
        <f>B741=C741</f>
        <v/>
      </c>
      <c r="E741">
        <f>INT(B741*10)=A741</f>
        <v/>
      </c>
      <c r="F741">
        <f>B741&gt;=C741</f>
        <v/>
      </c>
      <c r="G741">
        <f>ROUND(G740+0.1,1)</f>
        <v/>
      </c>
      <c r="H741">
        <f>G741=C741</f>
        <v/>
      </c>
      <c r="I741">
        <f>TEXT(B741,"0.00000000000000")</f>
        <v/>
      </c>
    </row>
    <row r="742">
      <c r="A742" t="n">
        <v>735</v>
      </c>
      <c r="B742">
        <f>B741+0.1</f>
        <v/>
      </c>
      <c r="C742">
        <f>A742/10</f>
        <v/>
      </c>
      <c r="D742">
        <f>B742=C742</f>
        <v/>
      </c>
      <c r="E742">
        <f>INT(B742*10)=A742</f>
        <v/>
      </c>
      <c r="F742">
        <f>B742&gt;=C742</f>
        <v/>
      </c>
      <c r="G742">
        <f>ROUND(G741+0.1,1)</f>
        <v/>
      </c>
      <c r="H742">
        <f>G742=C742</f>
        <v/>
      </c>
      <c r="I742">
        <f>TEXT(B742,"0.00000000000000")</f>
        <v/>
      </c>
    </row>
    <row r="743">
      <c r="A743" t="n">
        <v>736</v>
      </c>
      <c r="B743">
        <f>B742+0.1</f>
        <v/>
      </c>
      <c r="C743">
        <f>A743/10</f>
        <v/>
      </c>
      <c r="D743">
        <f>B743=C743</f>
        <v/>
      </c>
      <c r="E743">
        <f>INT(B743*10)=A743</f>
        <v/>
      </c>
      <c r="F743">
        <f>B743&gt;=C743</f>
        <v/>
      </c>
      <c r="G743">
        <f>ROUND(G742+0.1,1)</f>
        <v/>
      </c>
      <c r="H743">
        <f>G743=C743</f>
        <v/>
      </c>
      <c r="I743">
        <f>TEXT(B743,"0.00000000000000")</f>
        <v/>
      </c>
    </row>
    <row r="744">
      <c r="A744" t="n">
        <v>737</v>
      </c>
      <c r="B744">
        <f>B743+0.1</f>
        <v/>
      </c>
      <c r="C744">
        <f>A744/10</f>
        <v/>
      </c>
      <c r="D744">
        <f>B744=C744</f>
        <v/>
      </c>
      <c r="E744">
        <f>INT(B744*10)=A744</f>
        <v/>
      </c>
      <c r="F744">
        <f>B744&gt;=C744</f>
        <v/>
      </c>
      <c r="G744">
        <f>ROUND(G743+0.1,1)</f>
        <v/>
      </c>
      <c r="H744">
        <f>G744=C744</f>
        <v/>
      </c>
      <c r="I744">
        <f>TEXT(B744,"0.00000000000000")</f>
        <v/>
      </c>
    </row>
    <row r="745">
      <c r="A745" t="n">
        <v>738</v>
      </c>
      <c r="B745">
        <f>B744+0.1</f>
        <v/>
      </c>
      <c r="C745">
        <f>A745/10</f>
        <v/>
      </c>
      <c r="D745">
        <f>B745=C745</f>
        <v/>
      </c>
      <c r="E745">
        <f>INT(B745*10)=A745</f>
        <v/>
      </c>
      <c r="F745">
        <f>B745&gt;=C745</f>
        <v/>
      </c>
      <c r="G745">
        <f>ROUND(G744+0.1,1)</f>
        <v/>
      </c>
      <c r="H745">
        <f>G745=C745</f>
        <v/>
      </c>
      <c r="I745">
        <f>TEXT(B745,"0.00000000000000")</f>
        <v/>
      </c>
    </row>
    <row r="746">
      <c r="A746" t="n">
        <v>739</v>
      </c>
      <c r="B746">
        <f>B745+0.1</f>
        <v/>
      </c>
      <c r="C746">
        <f>A746/10</f>
        <v/>
      </c>
      <c r="D746">
        <f>B746=C746</f>
        <v/>
      </c>
      <c r="E746">
        <f>INT(B746*10)=A746</f>
        <v/>
      </c>
      <c r="F746">
        <f>B746&gt;=C746</f>
        <v/>
      </c>
      <c r="G746">
        <f>ROUND(G745+0.1,1)</f>
        <v/>
      </c>
      <c r="H746">
        <f>G746=C746</f>
        <v/>
      </c>
      <c r="I746">
        <f>TEXT(B746,"0.00000000000000")</f>
        <v/>
      </c>
    </row>
    <row r="747">
      <c r="A747" t="n">
        <v>740</v>
      </c>
      <c r="B747">
        <f>B746+0.1</f>
        <v/>
      </c>
      <c r="C747">
        <f>A747/10</f>
        <v/>
      </c>
      <c r="D747">
        <f>B747=C747</f>
        <v/>
      </c>
      <c r="E747">
        <f>INT(B747*10)=A747</f>
        <v/>
      </c>
      <c r="F747">
        <f>B747&gt;=C747</f>
        <v/>
      </c>
      <c r="G747">
        <f>ROUND(G746+0.1,1)</f>
        <v/>
      </c>
      <c r="H747">
        <f>G747=C747</f>
        <v/>
      </c>
      <c r="I747">
        <f>TEXT(B747,"0.00000000000000")</f>
        <v/>
      </c>
    </row>
    <row r="748">
      <c r="A748" t="n">
        <v>741</v>
      </c>
      <c r="B748">
        <f>B747+0.1</f>
        <v/>
      </c>
      <c r="C748">
        <f>A748/10</f>
        <v/>
      </c>
      <c r="D748">
        <f>B748=C748</f>
        <v/>
      </c>
      <c r="E748">
        <f>INT(B748*10)=A748</f>
        <v/>
      </c>
      <c r="F748">
        <f>B748&gt;=C748</f>
        <v/>
      </c>
      <c r="G748">
        <f>ROUND(G747+0.1,1)</f>
        <v/>
      </c>
      <c r="H748">
        <f>G748=C748</f>
        <v/>
      </c>
      <c r="I748">
        <f>TEXT(B748,"0.00000000000000")</f>
        <v/>
      </c>
    </row>
    <row r="749">
      <c r="A749" t="n">
        <v>742</v>
      </c>
      <c r="B749">
        <f>B748+0.1</f>
        <v/>
      </c>
      <c r="C749">
        <f>A749/10</f>
        <v/>
      </c>
      <c r="D749">
        <f>B749=C749</f>
        <v/>
      </c>
      <c r="E749">
        <f>INT(B749*10)=A749</f>
        <v/>
      </c>
      <c r="F749">
        <f>B749&gt;=C749</f>
        <v/>
      </c>
      <c r="G749">
        <f>ROUND(G748+0.1,1)</f>
        <v/>
      </c>
      <c r="H749">
        <f>G749=C749</f>
        <v/>
      </c>
      <c r="I749">
        <f>TEXT(B749,"0.00000000000000")</f>
        <v/>
      </c>
    </row>
    <row r="750">
      <c r="A750" t="n">
        <v>743</v>
      </c>
      <c r="B750">
        <f>B749+0.1</f>
        <v/>
      </c>
      <c r="C750">
        <f>A750/10</f>
        <v/>
      </c>
      <c r="D750">
        <f>B750=C750</f>
        <v/>
      </c>
      <c r="E750">
        <f>INT(B750*10)=A750</f>
        <v/>
      </c>
      <c r="F750">
        <f>B750&gt;=C750</f>
        <v/>
      </c>
      <c r="G750">
        <f>ROUND(G749+0.1,1)</f>
        <v/>
      </c>
      <c r="H750">
        <f>G750=C750</f>
        <v/>
      </c>
      <c r="I750">
        <f>TEXT(B750,"0.00000000000000")</f>
        <v/>
      </c>
    </row>
    <row r="751">
      <c r="A751" t="n">
        <v>744</v>
      </c>
      <c r="B751">
        <f>B750+0.1</f>
        <v/>
      </c>
      <c r="C751">
        <f>A751/10</f>
        <v/>
      </c>
      <c r="D751">
        <f>B751=C751</f>
        <v/>
      </c>
      <c r="E751">
        <f>INT(B751*10)=A751</f>
        <v/>
      </c>
      <c r="F751">
        <f>B751&gt;=C751</f>
        <v/>
      </c>
      <c r="G751">
        <f>ROUND(G750+0.1,1)</f>
        <v/>
      </c>
      <c r="H751">
        <f>G751=C751</f>
        <v/>
      </c>
      <c r="I751">
        <f>TEXT(B751,"0.00000000000000")</f>
        <v/>
      </c>
    </row>
    <row r="752">
      <c r="A752" t="n">
        <v>745</v>
      </c>
      <c r="B752">
        <f>B751+0.1</f>
        <v/>
      </c>
      <c r="C752">
        <f>A752/10</f>
        <v/>
      </c>
      <c r="D752">
        <f>B752=C752</f>
        <v/>
      </c>
      <c r="E752">
        <f>INT(B752*10)=A752</f>
        <v/>
      </c>
      <c r="F752">
        <f>B752&gt;=C752</f>
        <v/>
      </c>
      <c r="G752">
        <f>ROUND(G751+0.1,1)</f>
        <v/>
      </c>
      <c r="H752">
        <f>G752=C752</f>
        <v/>
      </c>
      <c r="I752">
        <f>TEXT(B752,"0.00000000000000")</f>
        <v/>
      </c>
    </row>
    <row r="753">
      <c r="A753" t="n">
        <v>746</v>
      </c>
      <c r="B753">
        <f>B752+0.1</f>
        <v/>
      </c>
      <c r="C753">
        <f>A753/10</f>
        <v/>
      </c>
      <c r="D753">
        <f>B753=C753</f>
        <v/>
      </c>
      <c r="E753">
        <f>INT(B753*10)=A753</f>
        <v/>
      </c>
      <c r="F753">
        <f>B753&gt;=C753</f>
        <v/>
      </c>
      <c r="G753">
        <f>ROUND(G752+0.1,1)</f>
        <v/>
      </c>
      <c r="H753">
        <f>G753=C753</f>
        <v/>
      </c>
      <c r="I753">
        <f>TEXT(B753,"0.00000000000000")</f>
        <v/>
      </c>
    </row>
    <row r="754">
      <c r="A754" t="n">
        <v>747</v>
      </c>
      <c r="B754">
        <f>B753+0.1</f>
        <v/>
      </c>
      <c r="C754">
        <f>A754/10</f>
        <v/>
      </c>
      <c r="D754">
        <f>B754=C754</f>
        <v/>
      </c>
      <c r="E754">
        <f>INT(B754*10)=A754</f>
        <v/>
      </c>
      <c r="F754">
        <f>B754&gt;=C754</f>
        <v/>
      </c>
      <c r="G754">
        <f>ROUND(G753+0.1,1)</f>
        <v/>
      </c>
      <c r="H754">
        <f>G754=C754</f>
        <v/>
      </c>
      <c r="I754">
        <f>TEXT(B754,"0.00000000000000")</f>
        <v/>
      </c>
    </row>
    <row r="755">
      <c r="A755" t="n">
        <v>748</v>
      </c>
      <c r="B755">
        <f>B754+0.1</f>
        <v/>
      </c>
      <c r="C755">
        <f>A755/10</f>
        <v/>
      </c>
      <c r="D755">
        <f>B755=C755</f>
        <v/>
      </c>
      <c r="E755">
        <f>INT(B755*10)=A755</f>
        <v/>
      </c>
      <c r="F755">
        <f>B755&gt;=C755</f>
        <v/>
      </c>
      <c r="G755">
        <f>ROUND(G754+0.1,1)</f>
        <v/>
      </c>
      <c r="H755">
        <f>G755=C755</f>
        <v/>
      </c>
      <c r="I755">
        <f>TEXT(B755,"0.00000000000000")</f>
        <v/>
      </c>
    </row>
    <row r="756">
      <c r="A756" t="n">
        <v>749</v>
      </c>
      <c r="B756">
        <f>B755+0.1</f>
        <v/>
      </c>
      <c r="C756">
        <f>A756/10</f>
        <v/>
      </c>
      <c r="D756">
        <f>B756=C756</f>
        <v/>
      </c>
      <c r="E756">
        <f>INT(B756*10)=A756</f>
        <v/>
      </c>
      <c r="F756">
        <f>B756&gt;=C756</f>
        <v/>
      </c>
      <c r="G756">
        <f>ROUND(G755+0.1,1)</f>
        <v/>
      </c>
      <c r="H756">
        <f>G756=C756</f>
        <v/>
      </c>
      <c r="I756">
        <f>TEXT(B756,"0.00000000000000")</f>
        <v/>
      </c>
    </row>
    <row r="757">
      <c r="A757" t="n">
        <v>750</v>
      </c>
      <c r="B757">
        <f>B756+0.1</f>
        <v/>
      </c>
      <c r="C757">
        <f>A757/10</f>
        <v/>
      </c>
      <c r="D757">
        <f>B757=C757</f>
        <v/>
      </c>
      <c r="E757">
        <f>INT(B757*10)=A757</f>
        <v/>
      </c>
      <c r="F757">
        <f>B757&gt;=C757</f>
        <v/>
      </c>
      <c r="G757">
        <f>ROUND(G756+0.1,1)</f>
        <v/>
      </c>
      <c r="H757">
        <f>G757=C757</f>
        <v/>
      </c>
      <c r="I757">
        <f>TEXT(B757,"0.00000000000000")</f>
        <v/>
      </c>
    </row>
    <row r="758">
      <c r="A758" t="n">
        <v>751</v>
      </c>
      <c r="B758">
        <f>B757+0.1</f>
        <v/>
      </c>
      <c r="C758">
        <f>A758/10</f>
        <v/>
      </c>
      <c r="D758">
        <f>B758=C758</f>
        <v/>
      </c>
      <c r="E758">
        <f>INT(B758*10)=A758</f>
        <v/>
      </c>
      <c r="F758">
        <f>B758&gt;=C758</f>
        <v/>
      </c>
      <c r="G758">
        <f>ROUND(G757+0.1,1)</f>
        <v/>
      </c>
      <c r="H758">
        <f>G758=C758</f>
        <v/>
      </c>
      <c r="I758">
        <f>TEXT(B758,"0.00000000000000")</f>
        <v/>
      </c>
    </row>
    <row r="759">
      <c r="A759" t="n">
        <v>752</v>
      </c>
      <c r="B759">
        <f>B758+0.1</f>
        <v/>
      </c>
      <c r="C759">
        <f>A759/10</f>
        <v/>
      </c>
      <c r="D759">
        <f>B759=C759</f>
        <v/>
      </c>
      <c r="E759">
        <f>INT(B759*10)=A759</f>
        <v/>
      </c>
      <c r="F759">
        <f>B759&gt;=C759</f>
        <v/>
      </c>
      <c r="G759">
        <f>ROUND(G758+0.1,1)</f>
        <v/>
      </c>
      <c r="H759">
        <f>G759=C759</f>
        <v/>
      </c>
      <c r="I759">
        <f>TEXT(B759,"0.00000000000000")</f>
        <v/>
      </c>
    </row>
    <row r="760">
      <c r="A760" t="n">
        <v>753</v>
      </c>
      <c r="B760">
        <f>B759+0.1</f>
        <v/>
      </c>
      <c r="C760">
        <f>A760/10</f>
        <v/>
      </c>
      <c r="D760">
        <f>B760=C760</f>
        <v/>
      </c>
      <c r="E760">
        <f>INT(B760*10)=A760</f>
        <v/>
      </c>
      <c r="F760">
        <f>B760&gt;=C760</f>
        <v/>
      </c>
      <c r="G760">
        <f>ROUND(G759+0.1,1)</f>
        <v/>
      </c>
      <c r="H760">
        <f>G760=C760</f>
        <v/>
      </c>
      <c r="I760">
        <f>TEXT(B760,"0.00000000000000")</f>
        <v/>
      </c>
    </row>
    <row r="761">
      <c r="A761" t="n">
        <v>754</v>
      </c>
      <c r="B761">
        <f>B760+0.1</f>
        <v/>
      </c>
      <c r="C761">
        <f>A761/10</f>
        <v/>
      </c>
      <c r="D761">
        <f>B761=C761</f>
        <v/>
      </c>
      <c r="E761">
        <f>INT(B761*10)=A761</f>
        <v/>
      </c>
      <c r="F761">
        <f>B761&gt;=C761</f>
        <v/>
      </c>
      <c r="G761">
        <f>ROUND(G760+0.1,1)</f>
        <v/>
      </c>
      <c r="H761">
        <f>G761=C761</f>
        <v/>
      </c>
      <c r="I761">
        <f>TEXT(B761,"0.00000000000000")</f>
        <v/>
      </c>
    </row>
    <row r="762">
      <c r="A762" t="n">
        <v>755</v>
      </c>
      <c r="B762">
        <f>B761+0.1</f>
        <v/>
      </c>
      <c r="C762">
        <f>A762/10</f>
        <v/>
      </c>
      <c r="D762">
        <f>B762=C762</f>
        <v/>
      </c>
      <c r="E762">
        <f>INT(B762*10)=A762</f>
        <v/>
      </c>
      <c r="F762">
        <f>B762&gt;=C762</f>
        <v/>
      </c>
      <c r="G762">
        <f>ROUND(G761+0.1,1)</f>
        <v/>
      </c>
      <c r="H762">
        <f>G762=C762</f>
        <v/>
      </c>
      <c r="I762">
        <f>TEXT(B762,"0.00000000000000")</f>
        <v/>
      </c>
    </row>
    <row r="763">
      <c r="A763" t="n">
        <v>756</v>
      </c>
      <c r="B763">
        <f>B762+0.1</f>
        <v/>
      </c>
      <c r="C763">
        <f>A763/10</f>
        <v/>
      </c>
      <c r="D763">
        <f>B763=C763</f>
        <v/>
      </c>
      <c r="E763">
        <f>INT(B763*10)=A763</f>
        <v/>
      </c>
      <c r="F763">
        <f>B763&gt;=C763</f>
        <v/>
      </c>
      <c r="G763">
        <f>ROUND(G762+0.1,1)</f>
        <v/>
      </c>
      <c r="H763">
        <f>G763=C763</f>
        <v/>
      </c>
      <c r="I763">
        <f>TEXT(B763,"0.00000000000000")</f>
        <v/>
      </c>
    </row>
    <row r="764">
      <c r="A764" t="n">
        <v>757</v>
      </c>
      <c r="B764">
        <f>B763+0.1</f>
        <v/>
      </c>
      <c r="C764">
        <f>A764/10</f>
        <v/>
      </c>
      <c r="D764">
        <f>B764=C764</f>
        <v/>
      </c>
      <c r="E764">
        <f>INT(B764*10)=A764</f>
        <v/>
      </c>
      <c r="F764">
        <f>B764&gt;=C764</f>
        <v/>
      </c>
      <c r="G764">
        <f>ROUND(G763+0.1,1)</f>
        <v/>
      </c>
      <c r="H764">
        <f>G764=C764</f>
        <v/>
      </c>
      <c r="I764">
        <f>TEXT(B764,"0.00000000000000")</f>
        <v/>
      </c>
    </row>
    <row r="765">
      <c r="A765" t="n">
        <v>758</v>
      </c>
      <c r="B765">
        <f>B764+0.1</f>
        <v/>
      </c>
      <c r="C765">
        <f>A765/10</f>
        <v/>
      </c>
      <c r="D765">
        <f>B765=C765</f>
        <v/>
      </c>
      <c r="E765">
        <f>INT(B765*10)=A765</f>
        <v/>
      </c>
      <c r="F765">
        <f>B765&gt;=C765</f>
        <v/>
      </c>
      <c r="G765">
        <f>ROUND(G764+0.1,1)</f>
        <v/>
      </c>
      <c r="H765">
        <f>G765=C765</f>
        <v/>
      </c>
      <c r="I765">
        <f>TEXT(B765,"0.00000000000000")</f>
        <v/>
      </c>
    </row>
    <row r="766">
      <c r="A766" t="n">
        <v>759</v>
      </c>
      <c r="B766">
        <f>B765+0.1</f>
        <v/>
      </c>
      <c r="C766">
        <f>A766/10</f>
        <v/>
      </c>
      <c r="D766">
        <f>B766=C766</f>
        <v/>
      </c>
      <c r="E766">
        <f>INT(B766*10)=A766</f>
        <v/>
      </c>
      <c r="F766">
        <f>B766&gt;=C766</f>
        <v/>
      </c>
      <c r="G766">
        <f>ROUND(G765+0.1,1)</f>
        <v/>
      </c>
      <c r="H766">
        <f>G766=C766</f>
        <v/>
      </c>
      <c r="I766">
        <f>TEXT(B766,"0.00000000000000")</f>
        <v/>
      </c>
    </row>
    <row r="767">
      <c r="A767" t="n">
        <v>760</v>
      </c>
      <c r="B767">
        <f>B766+0.1</f>
        <v/>
      </c>
      <c r="C767">
        <f>A767/10</f>
        <v/>
      </c>
      <c r="D767">
        <f>B767=C767</f>
        <v/>
      </c>
      <c r="E767">
        <f>INT(B767*10)=A767</f>
        <v/>
      </c>
      <c r="F767">
        <f>B767&gt;=C767</f>
        <v/>
      </c>
      <c r="G767">
        <f>ROUND(G766+0.1,1)</f>
        <v/>
      </c>
      <c r="H767">
        <f>G767=C767</f>
        <v/>
      </c>
      <c r="I767">
        <f>TEXT(B767,"0.00000000000000")</f>
        <v/>
      </c>
    </row>
    <row r="768">
      <c r="A768" t="n">
        <v>761</v>
      </c>
      <c r="B768">
        <f>B767+0.1</f>
        <v/>
      </c>
      <c r="C768">
        <f>A768/10</f>
        <v/>
      </c>
      <c r="D768">
        <f>B768=C768</f>
        <v/>
      </c>
      <c r="E768">
        <f>INT(B768*10)=A768</f>
        <v/>
      </c>
      <c r="F768">
        <f>B768&gt;=C768</f>
        <v/>
      </c>
      <c r="G768">
        <f>ROUND(G767+0.1,1)</f>
        <v/>
      </c>
      <c r="H768">
        <f>G768=C768</f>
        <v/>
      </c>
      <c r="I768">
        <f>TEXT(B768,"0.00000000000000")</f>
        <v/>
      </c>
    </row>
    <row r="769">
      <c r="A769" t="n">
        <v>762</v>
      </c>
      <c r="B769">
        <f>B768+0.1</f>
        <v/>
      </c>
      <c r="C769">
        <f>A769/10</f>
        <v/>
      </c>
      <c r="D769">
        <f>B769=C769</f>
        <v/>
      </c>
      <c r="E769">
        <f>INT(B769*10)=A769</f>
        <v/>
      </c>
      <c r="F769">
        <f>B769&gt;=C769</f>
        <v/>
      </c>
      <c r="G769">
        <f>ROUND(G768+0.1,1)</f>
        <v/>
      </c>
      <c r="H769">
        <f>G769=C769</f>
        <v/>
      </c>
      <c r="I769">
        <f>TEXT(B769,"0.00000000000000")</f>
        <v/>
      </c>
    </row>
    <row r="770">
      <c r="A770" t="n">
        <v>763</v>
      </c>
      <c r="B770">
        <f>B769+0.1</f>
        <v/>
      </c>
      <c r="C770">
        <f>A770/10</f>
        <v/>
      </c>
      <c r="D770">
        <f>B770=C770</f>
        <v/>
      </c>
      <c r="E770">
        <f>INT(B770*10)=A770</f>
        <v/>
      </c>
      <c r="F770">
        <f>B770&gt;=C770</f>
        <v/>
      </c>
      <c r="G770">
        <f>ROUND(G769+0.1,1)</f>
        <v/>
      </c>
      <c r="H770">
        <f>G770=C770</f>
        <v/>
      </c>
      <c r="I770">
        <f>TEXT(B770,"0.00000000000000")</f>
        <v/>
      </c>
    </row>
    <row r="771">
      <c r="A771" t="n">
        <v>764</v>
      </c>
      <c r="B771">
        <f>B770+0.1</f>
        <v/>
      </c>
      <c r="C771">
        <f>A771/10</f>
        <v/>
      </c>
      <c r="D771">
        <f>B771=C771</f>
        <v/>
      </c>
      <c r="E771">
        <f>INT(B771*10)=A771</f>
        <v/>
      </c>
      <c r="F771">
        <f>B771&gt;=C771</f>
        <v/>
      </c>
      <c r="G771">
        <f>ROUND(G770+0.1,1)</f>
        <v/>
      </c>
      <c r="H771">
        <f>G771=C771</f>
        <v/>
      </c>
      <c r="I771">
        <f>TEXT(B771,"0.00000000000000")</f>
        <v/>
      </c>
    </row>
    <row r="772">
      <c r="A772" t="n">
        <v>765</v>
      </c>
      <c r="B772">
        <f>B771+0.1</f>
        <v/>
      </c>
      <c r="C772">
        <f>A772/10</f>
        <v/>
      </c>
      <c r="D772">
        <f>B772=C772</f>
        <v/>
      </c>
      <c r="E772">
        <f>INT(B772*10)=A772</f>
        <v/>
      </c>
      <c r="F772">
        <f>B772&gt;=C772</f>
        <v/>
      </c>
      <c r="G772">
        <f>ROUND(G771+0.1,1)</f>
        <v/>
      </c>
      <c r="H772">
        <f>G772=C772</f>
        <v/>
      </c>
      <c r="I772">
        <f>TEXT(B772,"0.00000000000000")</f>
        <v/>
      </c>
    </row>
    <row r="773">
      <c r="A773" t="n">
        <v>766</v>
      </c>
      <c r="B773">
        <f>B772+0.1</f>
        <v/>
      </c>
      <c r="C773">
        <f>A773/10</f>
        <v/>
      </c>
      <c r="D773">
        <f>B773=C773</f>
        <v/>
      </c>
      <c r="E773">
        <f>INT(B773*10)=A773</f>
        <v/>
      </c>
      <c r="F773">
        <f>B773&gt;=C773</f>
        <v/>
      </c>
      <c r="G773">
        <f>ROUND(G772+0.1,1)</f>
        <v/>
      </c>
      <c r="H773">
        <f>G773=C773</f>
        <v/>
      </c>
      <c r="I773">
        <f>TEXT(B773,"0.00000000000000")</f>
        <v/>
      </c>
    </row>
    <row r="774">
      <c r="A774" t="n">
        <v>767</v>
      </c>
      <c r="B774">
        <f>B773+0.1</f>
        <v/>
      </c>
      <c r="C774">
        <f>A774/10</f>
        <v/>
      </c>
      <c r="D774">
        <f>B774=C774</f>
        <v/>
      </c>
      <c r="E774">
        <f>INT(B774*10)=A774</f>
        <v/>
      </c>
      <c r="F774">
        <f>B774&gt;=C774</f>
        <v/>
      </c>
      <c r="G774">
        <f>ROUND(G773+0.1,1)</f>
        <v/>
      </c>
      <c r="H774">
        <f>G774=C774</f>
        <v/>
      </c>
      <c r="I774">
        <f>TEXT(B774,"0.00000000000000")</f>
        <v/>
      </c>
    </row>
    <row r="775">
      <c r="A775" t="n">
        <v>768</v>
      </c>
      <c r="B775">
        <f>B774+0.1</f>
        <v/>
      </c>
      <c r="C775">
        <f>A775/10</f>
        <v/>
      </c>
      <c r="D775">
        <f>B775=C775</f>
        <v/>
      </c>
      <c r="E775">
        <f>INT(B775*10)=A775</f>
        <v/>
      </c>
      <c r="F775">
        <f>B775&gt;=C775</f>
        <v/>
      </c>
      <c r="G775">
        <f>ROUND(G774+0.1,1)</f>
        <v/>
      </c>
      <c r="H775">
        <f>G775=C775</f>
        <v/>
      </c>
      <c r="I775">
        <f>TEXT(B775,"0.00000000000000")</f>
        <v/>
      </c>
    </row>
    <row r="776">
      <c r="A776" t="n">
        <v>769</v>
      </c>
      <c r="B776">
        <f>B775+0.1</f>
        <v/>
      </c>
      <c r="C776">
        <f>A776/10</f>
        <v/>
      </c>
      <c r="D776">
        <f>B776=C776</f>
        <v/>
      </c>
      <c r="E776">
        <f>INT(B776*10)=A776</f>
        <v/>
      </c>
      <c r="F776">
        <f>B776&gt;=C776</f>
        <v/>
      </c>
      <c r="G776">
        <f>ROUND(G775+0.1,1)</f>
        <v/>
      </c>
      <c r="H776">
        <f>G776=C776</f>
        <v/>
      </c>
      <c r="I776">
        <f>TEXT(B776,"0.00000000000000")</f>
        <v/>
      </c>
    </row>
    <row r="777">
      <c r="A777" t="n">
        <v>770</v>
      </c>
      <c r="B777">
        <f>B776+0.1</f>
        <v/>
      </c>
      <c r="C777">
        <f>A777/10</f>
        <v/>
      </c>
      <c r="D777">
        <f>B777=C777</f>
        <v/>
      </c>
      <c r="E777">
        <f>INT(B777*10)=A777</f>
        <v/>
      </c>
      <c r="F777">
        <f>B777&gt;=C777</f>
        <v/>
      </c>
      <c r="G777">
        <f>ROUND(G776+0.1,1)</f>
        <v/>
      </c>
      <c r="H777">
        <f>G777=C777</f>
        <v/>
      </c>
      <c r="I777">
        <f>TEXT(B777,"0.00000000000000")</f>
        <v/>
      </c>
    </row>
    <row r="778">
      <c r="A778" t="n">
        <v>771</v>
      </c>
      <c r="B778">
        <f>B777+0.1</f>
        <v/>
      </c>
      <c r="C778">
        <f>A778/10</f>
        <v/>
      </c>
      <c r="D778">
        <f>B778=C778</f>
        <v/>
      </c>
      <c r="E778">
        <f>INT(B778*10)=A778</f>
        <v/>
      </c>
      <c r="F778">
        <f>B778&gt;=C778</f>
        <v/>
      </c>
      <c r="G778">
        <f>ROUND(G777+0.1,1)</f>
        <v/>
      </c>
      <c r="H778">
        <f>G778=C778</f>
        <v/>
      </c>
      <c r="I778">
        <f>TEXT(B778,"0.00000000000000")</f>
        <v/>
      </c>
    </row>
    <row r="779">
      <c r="A779" t="n">
        <v>772</v>
      </c>
      <c r="B779">
        <f>B778+0.1</f>
        <v/>
      </c>
      <c r="C779">
        <f>A779/10</f>
        <v/>
      </c>
      <c r="D779">
        <f>B779=C779</f>
        <v/>
      </c>
      <c r="E779">
        <f>INT(B779*10)=A779</f>
        <v/>
      </c>
      <c r="F779">
        <f>B779&gt;=C779</f>
        <v/>
      </c>
      <c r="G779">
        <f>ROUND(G778+0.1,1)</f>
        <v/>
      </c>
      <c r="H779">
        <f>G779=C779</f>
        <v/>
      </c>
      <c r="I779">
        <f>TEXT(B779,"0.00000000000000")</f>
        <v/>
      </c>
    </row>
    <row r="780">
      <c r="A780" t="n">
        <v>773</v>
      </c>
      <c r="B780">
        <f>B779+0.1</f>
        <v/>
      </c>
      <c r="C780">
        <f>A780/10</f>
        <v/>
      </c>
      <c r="D780">
        <f>B780=C780</f>
        <v/>
      </c>
      <c r="E780">
        <f>INT(B780*10)=A780</f>
        <v/>
      </c>
      <c r="F780">
        <f>B780&gt;=C780</f>
        <v/>
      </c>
      <c r="G780">
        <f>ROUND(G779+0.1,1)</f>
        <v/>
      </c>
      <c r="H780">
        <f>G780=C780</f>
        <v/>
      </c>
      <c r="I780">
        <f>TEXT(B780,"0.00000000000000")</f>
        <v/>
      </c>
    </row>
    <row r="781">
      <c r="A781" t="n">
        <v>774</v>
      </c>
      <c r="B781">
        <f>B780+0.1</f>
        <v/>
      </c>
      <c r="C781">
        <f>A781/10</f>
        <v/>
      </c>
      <c r="D781">
        <f>B781=C781</f>
        <v/>
      </c>
      <c r="E781">
        <f>INT(B781*10)=A781</f>
        <v/>
      </c>
      <c r="F781">
        <f>B781&gt;=C781</f>
        <v/>
      </c>
      <c r="G781">
        <f>ROUND(G780+0.1,1)</f>
        <v/>
      </c>
      <c r="H781">
        <f>G781=C781</f>
        <v/>
      </c>
      <c r="I781">
        <f>TEXT(B781,"0.00000000000000")</f>
        <v/>
      </c>
    </row>
    <row r="782">
      <c r="A782" t="n">
        <v>775</v>
      </c>
      <c r="B782">
        <f>B781+0.1</f>
        <v/>
      </c>
      <c r="C782">
        <f>A782/10</f>
        <v/>
      </c>
      <c r="D782">
        <f>B782=C782</f>
        <v/>
      </c>
      <c r="E782">
        <f>INT(B782*10)=A782</f>
        <v/>
      </c>
      <c r="F782">
        <f>B782&gt;=C782</f>
        <v/>
      </c>
      <c r="G782">
        <f>ROUND(G781+0.1,1)</f>
        <v/>
      </c>
      <c r="H782">
        <f>G782=C782</f>
        <v/>
      </c>
      <c r="I782">
        <f>TEXT(B782,"0.00000000000000")</f>
        <v/>
      </c>
    </row>
    <row r="783">
      <c r="A783" t="n">
        <v>776</v>
      </c>
      <c r="B783">
        <f>B782+0.1</f>
        <v/>
      </c>
      <c r="C783">
        <f>A783/10</f>
        <v/>
      </c>
      <c r="D783">
        <f>B783=C783</f>
        <v/>
      </c>
      <c r="E783">
        <f>INT(B783*10)=A783</f>
        <v/>
      </c>
      <c r="F783">
        <f>B783&gt;=C783</f>
        <v/>
      </c>
      <c r="G783">
        <f>ROUND(G782+0.1,1)</f>
        <v/>
      </c>
      <c r="H783">
        <f>G783=C783</f>
        <v/>
      </c>
      <c r="I783">
        <f>TEXT(B783,"0.00000000000000")</f>
        <v/>
      </c>
    </row>
    <row r="784">
      <c r="A784" t="n">
        <v>777</v>
      </c>
      <c r="B784">
        <f>B783+0.1</f>
        <v/>
      </c>
      <c r="C784">
        <f>A784/10</f>
        <v/>
      </c>
      <c r="D784">
        <f>B784=C784</f>
        <v/>
      </c>
      <c r="E784">
        <f>INT(B784*10)=A784</f>
        <v/>
      </c>
      <c r="F784">
        <f>B784&gt;=C784</f>
        <v/>
      </c>
      <c r="G784">
        <f>ROUND(G783+0.1,1)</f>
        <v/>
      </c>
      <c r="H784">
        <f>G784=C784</f>
        <v/>
      </c>
      <c r="I784">
        <f>TEXT(B784,"0.00000000000000")</f>
        <v/>
      </c>
    </row>
    <row r="785">
      <c r="A785" t="n">
        <v>778</v>
      </c>
      <c r="B785">
        <f>B784+0.1</f>
        <v/>
      </c>
      <c r="C785">
        <f>A785/10</f>
        <v/>
      </c>
      <c r="D785">
        <f>B785=C785</f>
        <v/>
      </c>
      <c r="E785">
        <f>INT(B785*10)=A785</f>
        <v/>
      </c>
      <c r="F785">
        <f>B785&gt;=C785</f>
        <v/>
      </c>
      <c r="G785">
        <f>ROUND(G784+0.1,1)</f>
        <v/>
      </c>
      <c r="H785">
        <f>G785=C785</f>
        <v/>
      </c>
      <c r="I785">
        <f>TEXT(B785,"0.00000000000000")</f>
        <v/>
      </c>
    </row>
    <row r="786">
      <c r="A786" t="n">
        <v>779</v>
      </c>
      <c r="B786">
        <f>B785+0.1</f>
        <v/>
      </c>
      <c r="C786">
        <f>A786/10</f>
        <v/>
      </c>
      <c r="D786">
        <f>B786=C786</f>
        <v/>
      </c>
      <c r="E786">
        <f>INT(B786*10)=A786</f>
        <v/>
      </c>
      <c r="F786">
        <f>B786&gt;=C786</f>
        <v/>
      </c>
      <c r="G786">
        <f>ROUND(G785+0.1,1)</f>
        <v/>
      </c>
      <c r="H786">
        <f>G786=C786</f>
        <v/>
      </c>
      <c r="I786">
        <f>TEXT(B786,"0.00000000000000")</f>
        <v/>
      </c>
    </row>
    <row r="787">
      <c r="A787" t="n">
        <v>780</v>
      </c>
      <c r="B787">
        <f>B786+0.1</f>
        <v/>
      </c>
      <c r="C787">
        <f>A787/10</f>
        <v/>
      </c>
      <c r="D787">
        <f>B787=C787</f>
        <v/>
      </c>
      <c r="E787">
        <f>INT(B787*10)=A787</f>
        <v/>
      </c>
      <c r="F787">
        <f>B787&gt;=C787</f>
        <v/>
      </c>
      <c r="G787">
        <f>ROUND(G786+0.1,1)</f>
        <v/>
      </c>
      <c r="H787">
        <f>G787=C787</f>
        <v/>
      </c>
      <c r="I787">
        <f>TEXT(B787,"0.00000000000000")</f>
        <v/>
      </c>
    </row>
    <row r="788">
      <c r="A788" t="n">
        <v>781</v>
      </c>
      <c r="B788">
        <f>B787+0.1</f>
        <v/>
      </c>
      <c r="C788">
        <f>A788/10</f>
        <v/>
      </c>
      <c r="D788">
        <f>B788=C788</f>
        <v/>
      </c>
      <c r="E788">
        <f>INT(B788*10)=A788</f>
        <v/>
      </c>
      <c r="F788">
        <f>B788&gt;=C788</f>
        <v/>
      </c>
      <c r="G788">
        <f>ROUND(G787+0.1,1)</f>
        <v/>
      </c>
      <c r="H788">
        <f>G788=C788</f>
        <v/>
      </c>
      <c r="I788">
        <f>TEXT(B788,"0.00000000000000")</f>
        <v/>
      </c>
    </row>
    <row r="789">
      <c r="A789" t="n">
        <v>782</v>
      </c>
      <c r="B789">
        <f>B788+0.1</f>
        <v/>
      </c>
      <c r="C789">
        <f>A789/10</f>
        <v/>
      </c>
      <c r="D789">
        <f>B789=C789</f>
        <v/>
      </c>
      <c r="E789">
        <f>INT(B789*10)=A789</f>
        <v/>
      </c>
      <c r="F789">
        <f>B789&gt;=C789</f>
        <v/>
      </c>
      <c r="G789">
        <f>ROUND(G788+0.1,1)</f>
        <v/>
      </c>
      <c r="H789">
        <f>G789=C789</f>
        <v/>
      </c>
      <c r="I789">
        <f>TEXT(B789,"0.00000000000000")</f>
        <v/>
      </c>
    </row>
    <row r="790">
      <c r="A790" t="n">
        <v>783</v>
      </c>
      <c r="B790">
        <f>B789+0.1</f>
        <v/>
      </c>
      <c r="C790">
        <f>A790/10</f>
        <v/>
      </c>
      <c r="D790">
        <f>B790=C790</f>
        <v/>
      </c>
      <c r="E790">
        <f>INT(B790*10)=A790</f>
        <v/>
      </c>
      <c r="F790">
        <f>B790&gt;=C790</f>
        <v/>
      </c>
      <c r="G790">
        <f>ROUND(G789+0.1,1)</f>
        <v/>
      </c>
      <c r="H790">
        <f>G790=C790</f>
        <v/>
      </c>
      <c r="I790">
        <f>TEXT(B790,"0.00000000000000")</f>
        <v/>
      </c>
    </row>
    <row r="791">
      <c r="A791" t="n">
        <v>784</v>
      </c>
      <c r="B791">
        <f>B790+0.1</f>
        <v/>
      </c>
      <c r="C791">
        <f>A791/10</f>
        <v/>
      </c>
      <c r="D791">
        <f>B791=C791</f>
        <v/>
      </c>
      <c r="E791">
        <f>INT(B791*10)=A791</f>
        <v/>
      </c>
      <c r="F791">
        <f>B791&gt;=C791</f>
        <v/>
      </c>
      <c r="G791">
        <f>ROUND(G790+0.1,1)</f>
        <v/>
      </c>
      <c r="H791">
        <f>G791=C791</f>
        <v/>
      </c>
      <c r="I791">
        <f>TEXT(B791,"0.00000000000000")</f>
        <v/>
      </c>
    </row>
    <row r="792">
      <c r="A792" t="n">
        <v>785</v>
      </c>
      <c r="B792">
        <f>B791+0.1</f>
        <v/>
      </c>
      <c r="C792">
        <f>A792/10</f>
        <v/>
      </c>
      <c r="D792">
        <f>B792=C792</f>
        <v/>
      </c>
      <c r="E792">
        <f>INT(B792*10)=A792</f>
        <v/>
      </c>
      <c r="F792">
        <f>B792&gt;=C792</f>
        <v/>
      </c>
      <c r="G792">
        <f>ROUND(G791+0.1,1)</f>
        <v/>
      </c>
      <c r="H792">
        <f>G792=C792</f>
        <v/>
      </c>
      <c r="I792">
        <f>TEXT(B792,"0.00000000000000")</f>
        <v/>
      </c>
    </row>
    <row r="793">
      <c r="A793" t="n">
        <v>786</v>
      </c>
      <c r="B793">
        <f>B792+0.1</f>
        <v/>
      </c>
      <c r="C793">
        <f>A793/10</f>
        <v/>
      </c>
      <c r="D793">
        <f>B793=C793</f>
        <v/>
      </c>
      <c r="E793">
        <f>INT(B793*10)=A793</f>
        <v/>
      </c>
      <c r="F793">
        <f>B793&gt;=C793</f>
        <v/>
      </c>
      <c r="G793">
        <f>ROUND(G792+0.1,1)</f>
        <v/>
      </c>
      <c r="H793">
        <f>G793=C793</f>
        <v/>
      </c>
      <c r="I793">
        <f>TEXT(B793,"0.00000000000000")</f>
        <v/>
      </c>
    </row>
    <row r="794">
      <c r="A794" t="n">
        <v>787</v>
      </c>
      <c r="B794">
        <f>B793+0.1</f>
        <v/>
      </c>
      <c r="C794">
        <f>A794/10</f>
        <v/>
      </c>
      <c r="D794">
        <f>B794=C794</f>
        <v/>
      </c>
      <c r="E794">
        <f>INT(B794*10)=A794</f>
        <v/>
      </c>
      <c r="F794">
        <f>B794&gt;=C794</f>
        <v/>
      </c>
      <c r="G794">
        <f>ROUND(G793+0.1,1)</f>
        <v/>
      </c>
      <c r="H794">
        <f>G794=C794</f>
        <v/>
      </c>
      <c r="I794">
        <f>TEXT(B794,"0.00000000000000")</f>
        <v/>
      </c>
    </row>
    <row r="795">
      <c r="A795" t="n">
        <v>788</v>
      </c>
      <c r="B795">
        <f>B794+0.1</f>
        <v/>
      </c>
      <c r="C795">
        <f>A795/10</f>
        <v/>
      </c>
      <c r="D795">
        <f>B795=C795</f>
        <v/>
      </c>
      <c r="E795">
        <f>INT(B795*10)=A795</f>
        <v/>
      </c>
      <c r="F795">
        <f>B795&gt;=C795</f>
        <v/>
      </c>
      <c r="G795">
        <f>ROUND(G794+0.1,1)</f>
        <v/>
      </c>
      <c r="H795">
        <f>G795=C795</f>
        <v/>
      </c>
      <c r="I795">
        <f>TEXT(B795,"0.00000000000000")</f>
        <v/>
      </c>
    </row>
    <row r="796">
      <c r="A796" t="n">
        <v>789</v>
      </c>
      <c r="B796">
        <f>B795+0.1</f>
        <v/>
      </c>
      <c r="C796">
        <f>A796/10</f>
        <v/>
      </c>
      <c r="D796">
        <f>B796=C796</f>
        <v/>
      </c>
      <c r="E796">
        <f>INT(B796*10)=A796</f>
        <v/>
      </c>
      <c r="F796">
        <f>B796&gt;=C796</f>
        <v/>
      </c>
      <c r="G796">
        <f>ROUND(G795+0.1,1)</f>
        <v/>
      </c>
      <c r="H796">
        <f>G796=C796</f>
        <v/>
      </c>
      <c r="I796">
        <f>TEXT(B796,"0.00000000000000")</f>
        <v/>
      </c>
    </row>
    <row r="797">
      <c r="A797" t="n">
        <v>790</v>
      </c>
      <c r="B797">
        <f>B796+0.1</f>
        <v/>
      </c>
      <c r="C797">
        <f>A797/10</f>
        <v/>
      </c>
      <c r="D797">
        <f>B797=C797</f>
        <v/>
      </c>
      <c r="E797">
        <f>INT(B797*10)=A797</f>
        <v/>
      </c>
      <c r="F797">
        <f>B797&gt;=C797</f>
        <v/>
      </c>
      <c r="G797">
        <f>ROUND(G796+0.1,1)</f>
        <v/>
      </c>
      <c r="H797">
        <f>G797=C797</f>
        <v/>
      </c>
      <c r="I797">
        <f>TEXT(B797,"0.00000000000000")</f>
        <v/>
      </c>
    </row>
    <row r="798">
      <c r="A798" t="n">
        <v>791</v>
      </c>
      <c r="B798">
        <f>B797+0.1</f>
        <v/>
      </c>
      <c r="C798">
        <f>A798/10</f>
        <v/>
      </c>
      <c r="D798">
        <f>B798=C798</f>
        <v/>
      </c>
      <c r="E798">
        <f>INT(B798*10)=A798</f>
        <v/>
      </c>
      <c r="F798">
        <f>B798&gt;=C798</f>
        <v/>
      </c>
      <c r="G798">
        <f>ROUND(G797+0.1,1)</f>
        <v/>
      </c>
      <c r="H798">
        <f>G798=C798</f>
        <v/>
      </c>
      <c r="I798">
        <f>TEXT(B798,"0.00000000000000")</f>
        <v/>
      </c>
    </row>
    <row r="799">
      <c r="A799" t="n">
        <v>792</v>
      </c>
      <c r="B799">
        <f>B798+0.1</f>
        <v/>
      </c>
      <c r="C799">
        <f>A799/10</f>
        <v/>
      </c>
      <c r="D799">
        <f>B799=C799</f>
        <v/>
      </c>
      <c r="E799">
        <f>INT(B799*10)=A799</f>
        <v/>
      </c>
      <c r="F799">
        <f>B799&gt;=C799</f>
        <v/>
      </c>
      <c r="G799">
        <f>ROUND(G798+0.1,1)</f>
        <v/>
      </c>
      <c r="H799">
        <f>G799=C799</f>
        <v/>
      </c>
      <c r="I799">
        <f>TEXT(B799,"0.00000000000000")</f>
        <v/>
      </c>
    </row>
    <row r="800">
      <c r="A800" t="n">
        <v>793</v>
      </c>
      <c r="B800">
        <f>B799+0.1</f>
        <v/>
      </c>
      <c r="C800">
        <f>A800/10</f>
        <v/>
      </c>
      <c r="D800">
        <f>B800=C800</f>
        <v/>
      </c>
      <c r="E800">
        <f>INT(B800*10)=A800</f>
        <v/>
      </c>
      <c r="F800">
        <f>B800&gt;=C800</f>
        <v/>
      </c>
      <c r="G800">
        <f>ROUND(G799+0.1,1)</f>
        <v/>
      </c>
      <c r="H800">
        <f>G800=C800</f>
        <v/>
      </c>
      <c r="I800">
        <f>TEXT(B800,"0.00000000000000")</f>
        <v/>
      </c>
    </row>
    <row r="801">
      <c r="A801" t="n">
        <v>794</v>
      </c>
      <c r="B801">
        <f>B800+0.1</f>
        <v/>
      </c>
      <c r="C801">
        <f>A801/10</f>
        <v/>
      </c>
      <c r="D801">
        <f>B801=C801</f>
        <v/>
      </c>
      <c r="E801">
        <f>INT(B801*10)=A801</f>
        <v/>
      </c>
      <c r="F801">
        <f>B801&gt;=C801</f>
        <v/>
      </c>
      <c r="G801">
        <f>ROUND(G800+0.1,1)</f>
        <v/>
      </c>
      <c r="H801">
        <f>G801=C801</f>
        <v/>
      </c>
      <c r="I801">
        <f>TEXT(B801,"0.00000000000000")</f>
        <v/>
      </c>
    </row>
    <row r="802">
      <c r="A802" t="n">
        <v>795</v>
      </c>
      <c r="B802">
        <f>B801+0.1</f>
        <v/>
      </c>
      <c r="C802">
        <f>A802/10</f>
        <v/>
      </c>
      <c r="D802">
        <f>B802=C802</f>
        <v/>
      </c>
      <c r="E802">
        <f>INT(B802*10)=A802</f>
        <v/>
      </c>
      <c r="F802">
        <f>B802&gt;=C802</f>
        <v/>
      </c>
      <c r="G802">
        <f>ROUND(G801+0.1,1)</f>
        <v/>
      </c>
      <c r="H802">
        <f>G802=C802</f>
        <v/>
      </c>
      <c r="I802">
        <f>TEXT(B802,"0.00000000000000")</f>
        <v/>
      </c>
    </row>
    <row r="803">
      <c r="A803" t="n">
        <v>796</v>
      </c>
      <c r="B803">
        <f>B802+0.1</f>
        <v/>
      </c>
      <c r="C803">
        <f>A803/10</f>
        <v/>
      </c>
      <c r="D803">
        <f>B803=C803</f>
        <v/>
      </c>
      <c r="E803">
        <f>INT(B803*10)=A803</f>
        <v/>
      </c>
      <c r="F803">
        <f>B803&gt;=C803</f>
        <v/>
      </c>
      <c r="G803">
        <f>ROUND(G802+0.1,1)</f>
        <v/>
      </c>
      <c r="H803">
        <f>G803=C803</f>
        <v/>
      </c>
      <c r="I803">
        <f>TEXT(B803,"0.00000000000000")</f>
        <v/>
      </c>
    </row>
    <row r="804">
      <c r="A804" t="n">
        <v>797</v>
      </c>
      <c r="B804">
        <f>B803+0.1</f>
        <v/>
      </c>
      <c r="C804">
        <f>A804/10</f>
        <v/>
      </c>
      <c r="D804">
        <f>B804=C804</f>
        <v/>
      </c>
      <c r="E804">
        <f>INT(B804*10)=A804</f>
        <v/>
      </c>
      <c r="F804">
        <f>B804&gt;=C804</f>
        <v/>
      </c>
      <c r="G804">
        <f>ROUND(G803+0.1,1)</f>
        <v/>
      </c>
      <c r="H804">
        <f>G804=C804</f>
        <v/>
      </c>
      <c r="I804">
        <f>TEXT(B804,"0.00000000000000")</f>
        <v/>
      </c>
    </row>
    <row r="805">
      <c r="A805" t="n">
        <v>798</v>
      </c>
      <c r="B805">
        <f>B804+0.1</f>
        <v/>
      </c>
      <c r="C805">
        <f>A805/10</f>
        <v/>
      </c>
      <c r="D805">
        <f>B805=C805</f>
        <v/>
      </c>
      <c r="E805">
        <f>INT(B805*10)=A805</f>
        <v/>
      </c>
      <c r="F805">
        <f>B805&gt;=C805</f>
        <v/>
      </c>
      <c r="G805">
        <f>ROUND(G804+0.1,1)</f>
        <v/>
      </c>
      <c r="H805">
        <f>G805=C805</f>
        <v/>
      </c>
      <c r="I805">
        <f>TEXT(B805,"0.00000000000000")</f>
        <v/>
      </c>
    </row>
    <row r="806">
      <c r="A806" t="n">
        <v>799</v>
      </c>
      <c r="B806">
        <f>B805+0.1</f>
        <v/>
      </c>
      <c r="C806">
        <f>A806/10</f>
        <v/>
      </c>
      <c r="D806">
        <f>B806=C806</f>
        <v/>
      </c>
      <c r="E806">
        <f>INT(B806*10)=A806</f>
        <v/>
      </c>
      <c r="F806">
        <f>B806&gt;=C806</f>
        <v/>
      </c>
      <c r="G806">
        <f>ROUND(G805+0.1,1)</f>
        <v/>
      </c>
      <c r="H806">
        <f>G806=C806</f>
        <v/>
      </c>
      <c r="I806">
        <f>TEXT(B806,"0.00000000000000")</f>
        <v/>
      </c>
    </row>
    <row r="807">
      <c r="A807" t="n">
        <v>800</v>
      </c>
      <c r="B807">
        <f>B806+0.1</f>
        <v/>
      </c>
      <c r="C807">
        <f>A807/10</f>
        <v/>
      </c>
      <c r="D807">
        <f>B807=C807</f>
        <v/>
      </c>
      <c r="E807">
        <f>INT(B807*10)=A807</f>
        <v/>
      </c>
      <c r="F807">
        <f>B807&gt;=C807</f>
        <v/>
      </c>
      <c r="G807">
        <f>ROUND(G806+0.1,1)</f>
        <v/>
      </c>
      <c r="H807">
        <f>G807=C807</f>
        <v/>
      </c>
      <c r="I807">
        <f>TEXT(B807,"0.00000000000000")</f>
        <v/>
      </c>
    </row>
    <row r="808">
      <c r="A808" t="n">
        <v>801</v>
      </c>
      <c r="B808">
        <f>B807+0.1</f>
        <v/>
      </c>
      <c r="C808">
        <f>A808/10</f>
        <v/>
      </c>
      <c r="D808">
        <f>B808=C808</f>
        <v/>
      </c>
      <c r="E808">
        <f>INT(B808*10)=A808</f>
        <v/>
      </c>
      <c r="F808">
        <f>B808&gt;=C808</f>
        <v/>
      </c>
      <c r="G808">
        <f>ROUND(G807+0.1,1)</f>
        <v/>
      </c>
      <c r="H808">
        <f>G808=C808</f>
        <v/>
      </c>
      <c r="I808">
        <f>TEXT(B808,"0.00000000000000")</f>
        <v/>
      </c>
    </row>
    <row r="809">
      <c r="A809" t="n">
        <v>802</v>
      </c>
      <c r="B809">
        <f>B808+0.1</f>
        <v/>
      </c>
      <c r="C809">
        <f>A809/10</f>
        <v/>
      </c>
      <c r="D809">
        <f>B809=C809</f>
        <v/>
      </c>
      <c r="E809">
        <f>INT(B809*10)=A809</f>
        <v/>
      </c>
      <c r="F809">
        <f>B809&gt;=C809</f>
        <v/>
      </c>
      <c r="G809">
        <f>ROUND(G808+0.1,1)</f>
        <v/>
      </c>
      <c r="H809">
        <f>G809=C809</f>
        <v/>
      </c>
      <c r="I809">
        <f>TEXT(B809,"0.00000000000000")</f>
        <v/>
      </c>
    </row>
    <row r="810">
      <c r="A810" t="n">
        <v>803</v>
      </c>
      <c r="B810">
        <f>B809+0.1</f>
        <v/>
      </c>
      <c r="C810">
        <f>A810/10</f>
        <v/>
      </c>
      <c r="D810">
        <f>B810=C810</f>
        <v/>
      </c>
      <c r="E810">
        <f>INT(B810*10)=A810</f>
        <v/>
      </c>
      <c r="F810">
        <f>B810&gt;=C810</f>
        <v/>
      </c>
      <c r="G810">
        <f>ROUND(G809+0.1,1)</f>
        <v/>
      </c>
      <c r="H810">
        <f>G810=C810</f>
        <v/>
      </c>
      <c r="I810">
        <f>TEXT(B810,"0.00000000000000")</f>
        <v/>
      </c>
    </row>
    <row r="811">
      <c r="A811" t="n">
        <v>804</v>
      </c>
      <c r="B811">
        <f>B810+0.1</f>
        <v/>
      </c>
      <c r="C811">
        <f>A811/10</f>
        <v/>
      </c>
      <c r="D811">
        <f>B811=C811</f>
        <v/>
      </c>
      <c r="E811">
        <f>INT(B811*10)=A811</f>
        <v/>
      </c>
      <c r="F811">
        <f>B811&gt;=C811</f>
        <v/>
      </c>
      <c r="G811">
        <f>ROUND(G810+0.1,1)</f>
        <v/>
      </c>
      <c r="H811">
        <f>G811=C811</f>
        <v/>
      </c>
      <c r="I811">
        <f>TEXT(B811,"0.00000000000000")</f>
        <v/>
      </c>
    </row>
    <row r="812">
      <c r="A812" t="n">
        <v>805</v>
      </c>
      <c r="B812">
        <f>B811+0.1</f>
        <v/>
      </c>
      <c r="C812">
        <f>A812/10</f>
        <v/>
      </c>
      <c r="D812">
        <f>B812=C812</f>
        <v/>
      </c>
      <c r="E812">
        <f>INT(B812*10)=A812</f>
        <v/>
      </c>
      <c r="F812">
        <f>B812&gt;=C812</f>
        <v/>
      </c>
      <c r="G812">
        <f>ROUND(G811+0.1,1)</f>
        <v/>
      </c>
      <c r="H812">
        <f>G812=C812</f>
        <v/>
      </c>
      <c r="I812">
        <f>TEXT(B812,"0.00000000000000")</f>
        <v/>
      </c>
    </row>
    <row r="813">
      <c r="A813" t="n">
        <v>806</v>
      </c>
      <c r="B813">
        <f>B812+0.1</f>
        <v/>
      </c>
      <c r="C813">
        <f>A813/10</f>
        <v/>
      </c>
      <c r="D813">
        <f>B813=C813</f>
        <v/>
      </c>
      <c r="E813">
        <f>INT(B813*10)=A813</f>
        <v/>
      </c>
      <c r="F813">
        <f>B813&gt;=C813</f>
        <v/>
      </c>
      <c r="G813">
        <f>ROUND(G812+0.1,1)</f>
        <v/>
      </c>
      <c r="H813">
        <f>G813=C813</f>
        <v/>
      </c>
      <c r="I813">
        <f>TEXT(B813,"0.00000000000000")</f>
        <v/>
      </c>
    </row>
    <row r="814">
      <c r="A814" t="n">
        <v>807</v>
      </c>
      <c r="B814">
        <f>B813+0.1</f>
        <v/>
      </c>
      <c r="C814">
        <f>A814/10</f>
        <v/>
      </c>
      <c r="D814">
        <f>B814=C814</f>
        <v/>
      </c>
      <c r="E814">
        <f>INT(B814*10)=A814</f>
        <v/>
      </c>
      <c r="F814">
        <f>B814&gt;=C814</f>
        <v/>
      </c>
      <c r="G814">
        <f>ROUND(G813+0.1,1)</f>
        <v/>
      </c>
      <c r="H814">
        <f>G814=C814</f>
        <v/>
      </c>
      <c r="I814">
        <f>TEXT(B814,"0.00000000000000")</f>
        <v/>
      </c>
    </row>
    <row r="815">
      <c r="A815" t="n">
        <v>808</v>
      </c>
      <c r="B815">
        <f>B814+0.1</f>
        <v/>
      </c>
      <c r="C815">
        <f>A815/10</f>
        <v/>
      </c>
      <c r="D815">
        <f>B815=C815</f>
        <v/>
      </c>
      <c r="E815">
        <f>INT(B815*10)=A815</f>
        <v/>
      </c>
      <c r="F815">
        <f>B815&gt;=C815</f>
        <v/>
      </c>
      <c r="G815">
        <f>ROUND(G814+0.1,1)</f>
        <v/>
      </c>
      <c r="H815">
        <f>G815=C815</f>
        <v/>
      </c>
      <c r="I815">
        <f>TEXT(B815,"0.00000000000000")</f>
        <v/>
      </c>
    </row>
    <row r="816">
      <c r="A816" t="n">
        <v>809</v>
      </c>
      <c r="B816">
        <f>B815+0.1</f>
        <v/>
      </c>
      <c r="C816">
        <f>A816/10</f>
        <v/>
      </c>
      <c r="D816">
        <f>B816=C816</f>
        <v/>
      </c>
      <c r="E816">
        <f>INT(B816*10)=A816</f>
        <v/>
      </c>
      <c r="F816">
        <f>B816&gt;=C816</f>
        <v/>
      </c>
      <c r="G816">
        <f>ROUND(G815+0.1,1)</f>
        <v/>
      </c>
      <c r="H816">
        <f>G816=C816</f>
        <v/>
      </c>
      <c r="I816">
        <f>TEXT(B816,"0.00000000000000")</f>
        <v/>
      </c>
    </row>
    <row r="817">
      <c r="A817" t="n">
        <v>810</v>
      </c>
      <c r="B817">
        <f>B816+0.1</f>
        <v/>
      </c>
      <c r="C817">
        <f>A817/10</f>
        <v/>
      </c>
      <c r="D817">
        <f>B817=C817</f>
        <v/>
      </c>
      <c r="E817">
        <f>INT(B817*10)=A817</f>
        <v/>
      </c>
      <c r="F817">
        <f>B817&gt;=C817</f>
        <v/>
      </c>
      <c r="G817">
        <f>ROUND(G816+0.1,1)</f>
        <v/>
      </c>
      <c r="H817">
        <f>G817=C817</f>
        <v/>
      </c>
      <c r="I817">
        <f>TEXT(B817,"0.00000000000000")</f>
        <v/>
      </c>
    </row>
    <row r="818">
      <c r="A818" t="n">
        <v>811</v>
      </c>
      <c r="B818">
        <f>B817+0.1</f>
        <v/>
      </c>
      <c r="C818">
        <f>A818/10</f>
        <v/>
      </c>
      <c r="D818">
        <f>B818=C818</f>
        <v/>
      </c>
      <c r="E818">
        <f>INT(B818*10)=A818</f>
        <v/>
      </c>
      <c r="F818">
        <f>B818&gt;=C818</f>
        <v/>
      </c>
      <c r="G818">
        <f>ROUND(G817+0.1,1)</f>
        <v/>
      </c>
      <c r="H818">
        <f>G818=C818</f>
        <v/>
      </c>
      <c r="I818">
        <f>TEXT(B818,"0.00000000000000")</f>
        <v/>
      </c>
    </row>
    <row r="819">
      <c r="A819" t="n">
        <v>812</v>
      </c>
      <c r="B819">
        <f>B818+0.1</f>
        <v/>
      </c>
      <c r="C819">
        <f>A819/10</f>
        <v/>
      </c>
      <c r="D819">
        <f>B819=C819</f>
        <v/>
      </c>
      <c r="E819">
        <f>INT(B819*10)=A819</f>
        <v/>
      </c>
      <c r="F819">
        <f>B819&gt;=C819</f>
        <v/>
      </c>
      <c r="G819">
        <f>ROUND(G818+0.1,1)</f>
        <v/>
      </c>
      <c r="H819">
        <f>G819=C819</f>
        <v/>
      </c>
      <c r="I819">
        <f>TEXT(B819,"0.00000000000000")</f>
        <v/>
      </c>
    </row>
    <row r="820">
      <c r="A820" t="n">
        <v>813</v>
      </c>
      <c r="B820">
        <f>B819+0.1</f>
        <v/>
      </c>
      <c r="C820">
        <f>A820/10</f>
        <v/>
      </c>
      <c r="D820">
        <f>B820=C820</f>
        <v/>
      </c>
      <c r="E820">
        <f>INT(B820*10)=A820</f>
        <v/>
      </c>
      <c r="F820">
        <f>B820&gt;=C820</f>
        <v/>
      </c>
      <c r="G820">
        <f>ROUND(G819+0.1,1)</f>
        <v/>
      </c>
      <c r="H820">
        <f>G820=C820</f>
        <v/>
      </c>
      <c r="I820">
        <f>TEXT(B820,"0.00000000000000")</f>
        <v/>
      </c>
    </row>
    <row r="821">
      <c r="A821" t="n">
        <v>814</v>
      </c>
      <c r="B821">
        <f>B820+0.1</f>
        <v/>
      </c>
      <c r="C821">
        <f>A821/10</f>
        <v/>
      </c>
      <c r="D821">
        <f>B821=C821</f>
        <v/>
      </c>
      <c r="E821">
        <f>INT(B821*10)=A821</f>
        <v/>
      </c>
      <c r="F821">
        <f>B821&gt;=C821</f>
        <v/>
      </c>
      <c r="G821">
        <f>ROUND(G820+0.1,1)</f>
        <v/>
      </c>
      <c r="H821">
        <f>G821=C821</f>
        <v/>
      </c>
      <c r="I821">
        <f>TEXT(B821,"0.00000000000000")</f>
        <v/>
      </c>
    </row>
    <row r="822">
      <c r="A822" t="n">
        <v>815</v>
      </c>
      <c r="B822">
        <f>B821+0.1</f>
        <v/>
      </c>
      <c r="C822">
        <f>A822/10</f>
        <v/>
      </c>
      <c r="D822">
        <f>B822=C822</f>
        <v/>
      </c>
      <c r="E822">
        <f>INT(B822*10)=A822</f>
        <v/>
      </c>
      <c r="F822">
        <f>B822&gt;=C822</f>
        <v/>
      </c>
      <c r="G822">
        <f>ROUND(G821+0.1,1)</f>
        <v/>
      </c>
      <c r="H822">
        <f>G822=C822</f>
        <v/>
      </c>
      <c r="I822">
        <f>TEXT(B822,"0.00000000000000")</f>
        <v/>
      </c>
    </row>
    <row r="823">
      <c r="A823" t="n">
        <v>816</v>
      </c>
      <c r="B823">
        <f>B822+0.1</f>
        <v/>
      </c>
      <c r="C823">
        <f>A823/10</f>
        <v/>
      </c>
      <c r="D823">
        <f>B823=C823</f>
        <v/>
      </c>
      <c r="E823">
        <f>INT(B823*10)=A823</f>
        <v/>
      </c>
      <c r="F823">
        <f>B823&gt;=C823</f>
        <v/>
      </c>
      <c r="G823">
        <f>ROUND(G822+0.1,1)</f>
        <v/>
      </c>
      <c r="H823">
        <f>G823=C823</f>
        <v/>
      </c>
      <c r="I823">
        <f>TEXT(B823,"0.00000000000000")</f>
        <v/>
      </c>
    </row>
    <row r="824">
      <c r="A824" t="n">
        <v>817</v>
      </c>
      <c r="B824">
        <f>B823+0.1</f>
        <v/>
      </c>
      <c r="C824">
        <f>A824/10</f>
        <v/>
      </c>
      <c r="D824">
        <f>B824=C824</f>
        <v/>
      </c>
      <c r="E824">
        <f>INT(B824*10)=A824</f>
        <v/>
      </c>
      <c r="F824">
        <f>B824&gt;=C824</f>
        <v/>
      </c>
      <c r="G824">
        <f>ROUND(G823+0.1,1)</f>
        <v/>
      </c>
      <c r="H824">
        <f>G824=C824</f>
        <v/>
      </c>
      <c r="I824">
        <f>TEXT(B824,"0.00000000000000")</f>
        <v/>
      </c>
    </row>
    <row r="825">
      <c r="A825" t="n">
        <v>818</v>
      </c>
      <c r="B825">
        <f>B824+0.1</f>
        <v/>
      </c>
      <c r="C825">
        <f>A825/10</f>
        <v/>
      </c>
      <c r="D825">
        <f>B825=C825</f>
        <v/>
      </c>
      <c r="E825">
        <f>INT(B825*10)=A825</f>
        <v/>
      </c>
      <c r="F825">
        <f>B825&gt;=C825</f>
        <v/>
      </c>
      <c r="G825">
        <f>ROUND(G824+0.1,1)</f>
        <v/>
      </c>
      <c r="H825">
        <f>G825=C825</f>
        <v/>
      </c>
      <c r="I825">
        <f>TEXT(B825,"0.00000000000000")</f>
        <v/>
      </c>
    </row>
    <row r="826">
      <c r="A826" t="n">
        <v>819</v>
      </c>
      <c r="B826">
        <f>B825+0.1</f>
        <v/>
      </c>
      <c r="C826">
        <f>A826/10</f>
        <v/>
      </c>
      <c r="D826">
        <f>B826=C826</f>
        <v/>
      </c>
      <c r="E826">
        <f>INT(B826*10)=A826</f>
        <v/>
      </c>
      <c r="F826">
        <f>B826&gt;=C826</f>
        <v/>
      </c>
      <c r="G826">
        <f>ROUND(G825+0.1,1)</f>
        <v/>
      </c>
      <c r="H826">
        <f>G826=C826</f>
        <v/>
      </c>
      <c r="I826">
        <f>TEXT(B826,"0.00000000000000")</f>
        <v/>
      </c>
    </row>
    <row r="827">
      <c r="A827" t="n">
        <v>820</v>
      </c>
      <c r="B827">
        <f>B826+0.1</f>
        <v/>
      </c>
      <c r="C827">
        <f>A827/10</f>
        <v/>
      </c>
      <c r="D827">
        <f>B827=C827</f>
        <v/>
      </c>
      <c r="E827">
        <f>INT(B827*10)=A827</f>
        <v/>
      </c>
      <c r="F827">
        <f>B827&gt;=C827</f>
        <v/>
      </c>
      <c r="G827">
        <f>ROUND(G826+0.1,1)</f>
        <v/>
      </c>
      <c r="H827">
        <f>G827=C827</f>
        <v/>
      </c>
      <c r="I827">
        <f>TEXT(B827,"0.00000000000000")</f>
        <v/>
      </c>
    </row>
    <row r="828">
      <c r="A828" t="n">
        <v>821</v>
      </c>
      <c r="B828">
        <f>B827+0.1</f>
        <v/>
      </c>
      <c r="C828">
        <f>A828/10</f>
        <v/>
      </c>
      <c r="D828">
        <f>B828=C828</f>
        <v/>
      </c>
      <c r="E828">
        <f>INT(B828*10)=A828</f>
        <v/>
      </c>
      <c r="F828">
        <f>B828&gt;=C828</f>
        <v/>
      </c>
      <c r="G828">
        <f>ROUND(G827+0.1,1)</f>
        <v/>
      </c>
      <c r="H828">
        <f>G828=C828</f>
        <v/>
      </c>
      <c r="I828">
        <f>TEXT(B828,"0.00000000000000")</f>
        <v/>
      </c>
    </row>
    <row r="829">
      <c r="A829" t="n">
        <v>822</v>
      </c>
      <c r="B829">
        <f>B828+0.1</f>
        <v/>
      </c>
      <c r="C829">
        <f>A829/10</f>
        <v/>
      </c>
      <c r="D829">
        <f>B829=C829</f>
        <v/>
      </c>
      <c r="E829">
        <f>INT(B829*10)=A829</f>
        <v/>
      </c>
      <c r="F829">
        <f>B829&gt;=C829</f>
        <v/>
      </c>
      <c r="G829">
        <f>ROUND(G828+0.1,1)</f>
        <v/>
      </c>
      <c r="H829">
        <f>G829=C829</f>
        <v/>
      </c>
      <c r="I829">
        <f>TEXT(B829,"0.00000000000000")</f>
        <v/>
      </c>
    </row>
    <row r="830">
      <c r="A830" t="n">
        <v>823</v>
      </c>
      <c r="B830">
        <f>B829+0.1</f>
        <v/>
      </c>
      <c r="C830">
        <f>A830/10</f>
        <v/>
      </c>
      <c r="D830">
        <f>B830=C830</f>
        <v/>
      </c>
      <c r="E830">
        <f>INT(B830*10)=A830</f>
        <v/>
      </c>
      <c r="F830">
        <f>B830&gt;=C830</f>
        <v/>
      </c>
      <c r="G830">
        <f>ROUND(G829+0.1,1)</f>
        <v/>
      </c>
      <c r="H830">
        <f>G830=C830</f>
        <v/>
      </c>
      <c r="I830">
        <f>TEXT(B830,"0.00000000000000")</f>
        <v/>
      </c>
    </row>
    <row r="831">
      <c r="A831" t="n">
        <v>824</v>
      </c>
      <c r="B831">
        <f>B830+0.1</f>
        <v/>
      </c>
      <c r="C831">
        <f>A831/10</f>
        <v/>
      </c>
      <c r="D831">
        <f>B831=C831</f>
        <v/>
      </c>
      <c r="E831">
        <f>INT(B831*10)=A831</f>
        <v/>
      </c>
      <c r="F831">
        <f>B831&gt;=C831</f>
        <v/>
      </c>
      <c r="G831">
        <f>ROUND(G830+0.1,1)</f>
        <v/>
      </c>
      <c r="H831">
        <f>G831=C831</f>
        <v/>
      </c>
      <c r="I831">
        <f>TEXT(B831,"0.00000000000000")</f>
        <v/>
      </c>
    </row>
    <row r="832">
      <c r="A832" t="n">
        <v>825</v>
      </c>
      <c r="B832">
        <f>B831+0.1</f>
        <v/>
      </c>
      <c r="C832">
        <f>A832/10</f>
        <v/>
      </c>
      <c r="D832">
        <f>B832=C832</f>
        <v/>
      </c>
      <c r="E832">
        <f>INT(B832*10)=A832</f>
        <v/>
      </c>
      <c r="F832">
        <f>B832&gt;=C832</f>
        <v/>
      </c>
      <c r="G832">
        <f>ROUND(G831+0.1,1)</f>
        <v/>
      </c>
      <c r="H832">
        <f>G832=C832</f>
        <v/>
      </c>
      <c r="I832">
        <f>TEXT(B832,"0.00000000000000")</f>
        <v/>
      </c>
    </row>
    <row r="833">
      <c r="A833" t="n">
        <v>826</v>
      </c>
      <c r="B833">
        <f>B832+0.1</f>
        <v/>
      </c>
      <c r="C833">
        <f>A833/10</f>
        <v/>
      </c>
      <c r="D833">
        <f>B833=C833</f>
        <v/>
      </c>
      <c r="E833">
        <f>INT(B833*10)=A833</f>
        <v/>
      </c>
      <c r="F833">
        <f>B833&gt;=C833</f>
        <v/>
      </c>
      <c r="G833">
        <f>ROUND(G832+0.1,1)</f>
        <v/>
      </c>
      <c r="H833">
        <f>G833=C833</f>
        <v/>
      </c>
      <c r="I833">
        <f>TEXT(B833,"0.00000000000000")</f>
        <v/>
      </c>
    </row>
    <row r="834">
      <c r="A834" t="n">
        <v>827</v>
      </c>
      <c r="B834">
        <f>B833+0.1</f>
        <v/>
      </c>
      <c r="C834">
        <f>A834/10</f>
        <v/>
      </c>
      <c r="D834">
        <f>B834=C834</f>
        <v/>
      </c>
      <c r="E834">
        <f>INT(B834*10)=A834</f>
        <v/>
      </c>
      <c r="F834">
        <f>B834&gt;=C834</f>
        <v/>
      </c>
      <c r="G834">
        <f>ROUND(G833+0.1,1)</f>
        <v/>
      </c>
      <c r="H834">
        <f>G834=C834</f>
        <v/>
      </c>
      <c r="I834">
        <f>TEXT(B834,"0.00000000000000")</f>
        <v/>
      </c>
    </row>
    <row r="835">
      <c r="A835" t="n">
        <v>828</v>
      </c>
      <c r="B835">
        <f>B834+0.1</f>
        <v/>
      </c>
      <c r="C835">
        <f>A835/10</f>
        <v/>
      </c>
      <c r="D835">
        <f>B835=C835</f>
        <v/>
      </c>
      <c r="E835">
        <f>INT(B835*10)=A835</f>
        <v/>
      </c>
      <c r="F835">
        <f>B835&gt;=C835</f>
        <v/>
      </c>
      <c r="G835">
        <f>ROUND(G834+0.1,1)</f>
        <v/>
      </c>
      <c r="H835">
        <f>G835=C835</f>
        <v/>
      </c>
      <c r="I835">
        <f>TEXT(B835,"0.00000000000000")</f>
        <v/>
      </c>
    </row>
    <row r="836">
      <c r="A836" t="n">
        <v>829</v>
      </c>
      <c r="B836">
        <f>B835+0.1</f>
        <v/>
      </c>
      <c r="C836">
        <f>A836/10</f>
        <v/>
      </c>
      <c r="D836">
        <f>B836=C836</f>
        <v/>
      </c>
      <c r="E836">
        <f>INT(B836*10)=A836</f>
        <v/>
      </c>
      <c r="F836">
        <f>B836&gt;=C836</f>
        <v/>
      </c>
      <c r="G836">
        <f>ROUND(G835+0.1,1)</f>
        <v/>
      </c>
      <c r="H836">
        <f>G836=C836</f>
        <v/>
      </c>
      <c r="I836">
        <f>TEXT(B836,"0.00000000000000")</f>
        <v/>
      </c>
    </row>
    <row r="837">
      <c r="A837" t="n">
        <v>830</v>
      </c>
      <c r="B837">
        <f>B836+0.1</f>
        <v/>
      </c>
      <c r="C837">
        <f>A837/10</f>
        <v/>
      </c>
      <c r="D837">
        <f>B837=C837</f>
        <v/>
      </c>
      <c r="E837">
        <f>INT(B837*10)=A837</f>
        <v/>
      </c>
      <c r="F837">
        <f>B837&gt;=C837</f>
        <v/>
      </c>
      <c r="G837">
        <f>ROUND(G836+0.1,1)</f>
        <v/>
      </c>
      <c r="H837">
        <f>G837=C837</f>
        <v/>
      </c>
      <c r="I837">
        <f>TEXT(B837,"0.00000000000000")</f>
        <v/>
      </c>
    </row>
    <row r="838">
      <c r="A838" t="n">
        <v>831</v>
      </c>
      <c r="B838">
        <f>B837+0.1</f>
        <v/>
      </c>
      <c r="C838">
        <f>A838/10</f>
        <v/>
      </c>
      <c r="D838">
        <f>B838=C838</f>
        <v/>
      </c>
      <c r="E838">
        <f>INT(B838*10)=A838</f>
        <v/>
      </c>
      <c r="F838">
        <f>B838&gt;=C838</f>
        <v/>
      </c>
      <c r="G838">
        <f>ROUND(G837+0.1,1)</f>
        <v/>
      </c>
      <c r="H838">
        <f>G838=C838</f>
        <v/>
      </c>
      <c r="I838">
        <f>TEXT(B838,"0.00000000000000")</f>
        <v/>
      </c>
    </row>
    <row r="839">
      <c r="A839" t="n">
        <v>832</v>
      </c>
      <c r="B839">
        <f>B838+0.1</f>
        <v/>
      </c>
      <c r="C839">
        <f>A839/10</f>
        <v/>
      </c>
      <c r="D839">
        <f>B839=C839</f>
        <v/>
      </c>
      <c r="E839">
        <f>INT(B839*10)=A839</f>
        <v/>
      </c>
      <c r="F839">
        <f>B839&gt;=C839</f>
        <v/>
      </c>
      <c r="G839">
        <f>ROUND(G838+0.1,1)</f>
        <v/>
      </c>
      <c r="H839">
        <f>G839=C839</f>
        <v/>
      </c>
      <c r="I839">
        <f>TEXT(B839,"0.00000000000000")</f>
        <v/>
      </c>
    </row>
    <row r="840">
      <c r="A840" t="n">
        <v>833</v>
      </c>
      <c r="B840">
        <f>B839+0.1</f>
        <v/>
      </c>
      <c r="C840">
        <f>A840/10</f>
        <v/>
      </c>
      <c r="D840">
        <f>B840=C840</f>
        <v/>
      </c>
      <c r="E840">
        <f>INT(B840*10)=A840</f>
        <v/>
      </c>
      <c r="F840">
        <f>B840&gt;=C840</f>
        <v/>
      </c>
      <c r="G840">
        <f>ROUND(G839+0.1,1)</f>
        <v/>
      </c>
      <c r="H840">
        <f>G840=C840</f>
        <v/>
      </c>
      <c r="I840">
        <f>TEXT(B840,"0.00000000000000")</f>
        <v/>
      </c>
    </row>
    <row r="841">
      <c r="A841" t="n">
        <v>834</v>
      </c>
      <c r="B841">
        <f>B840+0.1</f>
        <v/>
      </c>
      <c r="C841">
        <f>A841/10</f>
        <v/>
      </c>
      <c r="D841">
        <f>B841=C841</f>
        <v/>
      </c>
      <c r="E841">
        <f>INT(B841*10)=A841</f>
        <v/>
      </c>
      <c r="F841">
        <f>B841&gt;=C841</f>
        <v/>
      </c>
      <c r="G841">
        <f>ROUND(G840+0.1,1)</f>
        <v/>
      </c>
      <c r="H841">
        <f>G841=C841</f>
        <v/>
      </c>
      <c r="I841">
        <f>TEXT(B841,"0.00000000000000")</f>
        <v/>
      </c>
    </row>
    <row r="842">
      <c r="A842" t="n">
        <v>835</v>
      </c>
      <c r="B842">
        <f>B841+0.1</f>
        <v/>
      </c>
      <c r="C842">
        <f>A842/10</f>
        <v/>
      </c>
      <c r="D842">
        <f>B842=C842</f>
        <v/>
      </c>
      <c r="E842">
        <f>INT(B842*10)=A842</f>
        <v/>
      </c>
      <c r="F842">
        <f>B842&gt;=C842</f>
        <v/>
      </c>
      <c r="G842">
        <f>ROUND(G841+0.1,1)</f>
        <v/>
      </c>
      <c r="H842">
        <f>G842=C842</f>
        <v/>
      </c>
      <c r="I842">
        <f>TEXT(B842,"0.00000000000000")</f>
        <v/>
      </c>
    </row>
    <row r="843">
      <c r="A843" t="n">
        <v>836</v>
      </c>
      <c r="B843">
        <f>B842+0.1</f>
        <v/>
      </c>
      <c r="C843">
        <f>A843/10</f>
        <v/>
      </c>
      <c r="D843">
        <f>B843=C843</f>
        <v/>
      </c>
      <c r="E843">
        <f>INT(B843*10)=A843</f>
        <v/>
      </c>
      <c r="F843">
        <f>B843&gt;=C843</f>
        <v/>
      </c>
      <c r="G843">
        <f>ROUND(G842+0.1,1)</f>
        <v/>
      </c>
      <c r="H843">
        <f>G843=C843</f>
        <v/>
      </c>
      <c r="I843">
        <f>TEXT(B843,"0.00000000000000")</f>
        <v/>
      </c>
    </row>
    <row r="844">
      <c r="A844" t="n">
        <v>837</v>
      </c>
      <c r="B844">
        <f>B843+0.1</f>
        <v/>
      </c>
      <c r="C844">
        <f>A844/10</f>
        <v/>
      </c>
      <c r="D844">
        <f>B844=C844</f>
        <v/>
      </c>
      <c r="E844">
        <f>INT(B844*10)=A844</f>
        <v/>
      </c>
      <c r="F844">
        <f>B844&gt;=C844</f>
        <v/>
      </c>
      <c r="G844">
        <f>ROUND(G843+0.1,1)</f>
        <v/>
      </c>
      <c r="H844">
        <f>G844=C844</f>
        <v/>
      </c>
      <c r="I844">
        <f>TEXT(B844,"0.00000000000000")</f>
        <v/>
      </c>
    </row>
    <row r="845">
      <c r="A845" t="n">
        <v>838</v>
      </c>
      <c r="B845">
        <f>B844+0.1</f>
        <v/>
      </c>
      <c r="C845">
        <f>A845/10</f>
        <v/>
      </c>
      <c r="D845">
        <f>B845=C845</f>
        <v/>
      </c>
      <c r="E845">
        <f>INT(B845*10)=A845</f>
        <v/>
      </c>
      <c r="F845">
        <f>B845&gt;=C845</f>
        <v/>
      </c>
      <c r="G845">
        <f>ROUND(G844+0.1,1)</f>
        <v/>
      </c>
      <c r="H845">
        <f>G845=C845</f>
        <v/>
      </c>
      <c r="I845">
        <f>TEXT(B845,"0.00000000000000")</f>
        <v/>
      </c>
    </row>
    <row r="846">
      <c r="A846" t="n">
        <v>839</v>
      </c>
      <c r="B846">
        <f>B845+0.1</f>
        <v/>
      </c>
      <c r="C846">
        <f>A846/10</f>
        <v/>
      </c>
      <c r="D846">
        <f>B846=C846</f>
        <v/>
      </c>
      <c r="E846">
        <f>INT(B846*10)=A846</f>
        <v/>
      </c>
      <c r="F846">
        <f>B846&gt;=C846</f>
        <v/>
      </c>
      <c r="G846">
        <f>ROUND(G845+0.1,1)</f>
        <v/>
      </c>
      <c r="H846">
        <f>G846=C846</f>
        <v/>
      </c>
      <c r="I846">
        <f>TEXT(B846,"0.00000000000000")</f>
        <v/>
      </c>
    </row>
    <row r="847">
      <c r="A847" t="n">
        <v>840</v>
      </c>
      <c r="B847">
        <f>B846+0.1</f>
        <v/>
      </c>
      <c r="C847">
        <f>A847/10</f>
        <v/>
      </c>
      <c r="D847">
        <f>B847=C847</f>
        <v/>
      </c>
      <c r="E847">
        <f>INT(B847*10)=A847</f>
        <v/>
      </c>
      <c r="F847">
        <f>B847&gt;=C847</f>
        <v/>
      </c>
      <c r="G847">
        <f>ROUND(G846+0.1,1)</f>
        <v/>
      </c>
      <c r="H847">
        <f>G847=C847</f>
        <v/>
      </c>
      <c r="I847">
        <f>TEXT(B847,"0.00000000000000")</f>
        <v/>
      </c>
    </row>
    <row r="848">
      <c r="A848" t="n">
        <v>841</v>
      </c>
      <c r="B848">
        <f>B847+0.1</f>
        <v/>
      </c>
      <c r="C848">
        <f>A848/10</f>
        <v/>
      </c>
      <c r="D848">
        <f>B848=C848</f>
        <v/>
      </c>
      <c r="E848">
        <f>INT(B848*10)=A848</f>
        <v/>
      </c>
      <c r="F848">
        <f>B848&gt;=C848</f>
        <v/>
      </c>
      <c r="G848">
        <f>ROUND(G847+0.1,1)</f>
        <v/>
      </c>
      <c r="H848">
        <f>G848=C848</f>
        <v/>
      </c>
      <c r="I848">
        <f>TEXT(B848,"0.00000000000000")</f>
        <v/>
      </c>
    </row>
    <row r="849">
      <c r="A849" t="n">
        <v>842</v>
      </c>
      <c r="B849">
        <f>B848+0.1</f>
        <v/>
      </c>
      <c r="C849">
        <f>A849/10</f>
        <v/>
      </c>
      <c r="D849">
        <f>B849=C849</f>
        <v/>
      </c>
      <c r="E849">
        <f>INT(B849*10)=A849</f>
        <v/>
      </c>
      <c r="F849">
        <f>B849&gt;=C849</f>
        <v/>
      </c>
      <c r="G849">
        <f>ROUND(G848+0.1,1)</f>
        <v/>
      </c>
      <c r="H849">
        <f>G849=C849</f>
        <v/>
      </c>
      <c r="I849">
        <f>TEXT(B849,"0.00000000000000")</f>
        <v/>
      </c>
    </row>
    <row r="850">
      <c r="A850" t="n">
        <v>843</v>
      </c>
      <c r="B850">
        <f>B849+0.1</f>
        <v/>
      </c>
      <c r="C850">
        <f>A850/10</f>
        <v/>
      </c>
      <c r="D850">
        <f>B850=C850</f>
        <v/>
      </c>
      <c r="E850">
        <f>INT(B850*10)=A850</f>
        <v/>
      </c>
      <c r="F850">
        <f>B850&gt;=C850</f>
        <v/>
      </c>
      <c r="G850">
        <f>ROUND(G849+0.1,1)</f>
        <v/>
      </c>
      <c r="H850">
        <f>G850=C850</f>
        <v/>
      </c>
      <c r="I850">
        <f>TEXT(B850,"0.00000000000000")</f>
        <v/>
      </c>
    </row>
    <row r="851">
      <c r="A851" t="n">
        <v>844</v>
      </c>
      <c r="B851">
        <f>B850+0.1</f>
        <v/>
      </c>
      <c r="C851">
        <f>A851/10</f>
        <v/>
      </c>
      <c r="D851">
        <f>B851=C851</f>
        <v/>
      </c>
      <c r="E851">
        <f>INT(B851*10)=A851</f>
        <v/>
      </c>
      <c r="F851">
        <f>B851&gt;=C851</f>
        <v/>
      </c>
      <c r="G851">
        <f>ROUND(G850+0.1,1)</f>
        <v/>
      </c>
      <c r="H851">
        <f>G851=C851</f>
        <v/>
      </c>
      <c r="I851">
        <f>TEXT(B851,"0.00000000000000")</f>
        <v/>
      </c>
    </row>
    <row r="852">
      <c r="A852" t="n">
        <v>845</v>
      </c>
      <c r="B852">
        <f>B851+0.1</f>
        <v/>
      </c>
      <c r="C852">
        <f>A852/10</f>
        <v/>
      </c>
      <c r="D852">
        <f>B852=C852</f>
        <v/>
      </c>
      <c r="E852">
        <f>INT(B852*10)=A852</f>
        <v/>
      </c>
      <c r="F852">
        <f>B852&gt;=C852</f>
        <v/>
      </c>
      <c r="G852">
        <f>ROUND(G851+0.1,1)</f>
        <v/>
      </c>
      <c r="H852">
        <f>G852=C852</f>
        <v/>
      </c>
      <c r="I852">
        <f>TEXT(B852,"0.00000000000000")</f>
        <v/>
      </c>
    </row>
    <row r="853">
      <c r="A853" t="n">
        <v>846</v>
      </c>
      <c r="B853">
        <f>B852+0.1</f>
        <v/>
      </c>
      <c r="C853">
        <f>A853/10</f>
        <v/>
      </c>
      <c r="D853">
        <f>B853=C853</f>
        <v/>
      </c>
      <c r="E853">
        <f>INT(B853*10)=A853</f>
        <v/>
      </c>
      <c r="F853">
        <f>B853&gt;=C853</f>
        <v/>
      </c>
      <c r="G853">
        <f>ROUND(G852+0.1,1)</f>
        <v/>
      </c>
      <c r="H853">
        <f>G853=C853</f>
        <v/>
      </c>
      <c r="I853">
        <f>TEXT(B853,"0.00000000000000")</f>
        <v/>
      </c>
    </row>
    <row r="854">
      <c r="A854" t="n">
        <v>847</v>
      </c>
      <c r="B854">
        <f>B853+0.1</f>
        <v/>
      </c>
      <c r="C854">
        <f>A854/10</f>
        <v/>
      </c>
      <c r="D854">
        <f>B854=C854</f>
        <v/>
      </c>
      <c r="E854">
        <f>INT(B854*10)=A854</f>
        <v/>
      </c>
      <c r="F854">
        <f>B854&gt;=C854</f>
        <v/>
      </c>
      <c r="G854">
        <f>ROUND(G853+0.1,1)</f>
        <v/>
      </c>
      <c r="H854">
        <f>G854=C854</f>
        <v/>
      </c>
      <c r="I854">
        <f>TEXT(B854,"0.00000000000000")</f>
        <v/>
      </c>
    </row>
    <row r="855">
      <c r="A855" t="n">
        <v>848</v>
      </c>
      <c r="B855">
        <f>B854+0.1</f>
        <v/>
      </c>
      <c r="C855">
        <f>A855/10</f>
        <v/>
      </c>
      <c r="D855">
        <f>B855=C855</f>
        <v/>
      </c>
      <c r="E855">
        <f>INT(B855*10)=A855</f>
        <v/>
      </c>
      <c r="F855">
        <f>B855&gt;=C855</f>
        <v/>
      </c>
      <c r="G855">
        <f>ROUND(G854+0.1,1)</f>
        <v/>
      </c>
      <c r="H855">
        <f>G855=C855</f>
        <v/>
      </c>
      <c r="I855">
        <f>TEXT(B855,"0.00000000000000")</f>
        <v/>
      </c>
    </row>
    <row r="856">
      <c r="A856" t="n">
        <v>849</v>
      </c>
      <c r="B856">
        <f>B855+0.1</f>
        <v/>
      </c>
      <c r="C856">
        <f>A856/10</f>
        <v/>
      </c>
      <c r="D856">
        <f>B856=C856</f>
        <v/>
      </c>
      <c r="E856">
        <f>INT(B856*10)=A856</f>
        <v/>
      </c>
      <c r="F856">
        <f>B856&gt;=C856</f>
        <v/>
      </c>
      <c r="G856">
        <f>ROUND(G855+0.1,1)</f>
        <v/>
      </c>
      <c r="H856">
        <f>G856=C856</f>
        <v/>
      </c>
      <c r="I856">
        <f>TEXT(B856,"0.00000000000000")</f>
        <v/>
      </c>
    </row>
    <row r="857">
      <c r="A857" t="n">
        <v>850</v>
      </c>
      <c r="B857">
        <f>B856+0.1</f>
        <v/>
      </c>
      <c r="C857">
        <f>A857/10</f>
        <v/>
      </c>
      <c r="D857">
        <f>B857=C857</f>
        <v/>
      </c>
      <c r="E857">
        <f>INT(B857*10)=A857</f>
        <v/>
      </c>
      <c r="F857">
        <f>B857&gt;=C857</f>
        <v/>
      </c>
      <c r="G857">
        <f>ROUND(G856+0.1,1)</f>
        <v/>
      </c>
      <c r="H857">
        <f>G857=C857</f>
        <v/>
      </c>
      <c r="I857">
        <f>TEXT(B857,"0.00000000000000")</f>
        <v/>
      </c>
    </row>
    <row r="858">
      <c r="A858" t="n">
        <v>851</v>
      </c>
      <c r="B858">
        <f>B857+0.1</f>
        <v/>
      </c>
      <c r="C858">
        <f>A858/10</f>
        <v/>
      </c>
      <c r="D858">
        <f>B858=C858</f>
        <v/>
      </c>
      <c r="E858">
        <f>INT(B858*10)=A858</f>
        <v/>
      </c>
      <c r="F858">
        <f>B858&gt;=C858</f>
        <v/>
      </c>
      <c r="G858">
        <f>ROUND(G857+0.1,1)</f>
        <v/>
      </c>
      <c r="H858">
        <f>G858=C858</f>
        <v/>
      </c>
      <c r="I858">
        <f>TEXT(B858,"0.00000000000000")</f>
        <v/>
      </c>
    </row>
    <row r="859">
      <c r="A859" t="n">
        <v>852</v>
      </c>
      <c r="B859">
        <f>B858+0.1</f>
        <v/>
      </c>
      <c r="C859">
        <f>A859/10</f>
        <v/>
      </c>
      <c r="D859">
        <f>B859=C859</f>
        <v/>
      </c>
      <c r="E859">
        <f>INT(B859*10)=A859</f>
        <v/>
      </c>
      <c r="F859">
        <f>B859&gt;=C859</f>
        <v/>
      </c>
      <c r="G859">
        <f>ROUND(G858+0.1,1)</f>
        <v/>
      </c>
      <c r="H859">
        <f>G859=C859</f>
        <v/>
      </c>
      <c r="I859">
        <f>TEXT(B859,"0.00000000000000")</f>
        <v/>
      </c>
    </row>
    <row r="860">
      <c r="A860" t="n">
        <v>853</v>
      </c>
      <c r="B860">
        <f>B859+0.1</f>
        <v/>
      </c>
      <c r="C860">
        <f>A860/10</f>
        <v/>
      </c>
      <c r="D860">
        <f>B860=C860</f>
        <v/>
      </c>
      <c r="E860">
        <f>INT(B860*10)=A860</f>
        <v/>
      </c>
      <c r="F860">
        <f>B860&gt;=C860</f>
        <v/>
      </c>
      <c r="G860">
        <f>ROUND(G859+0.1,1)</f>
        <v/>
      </c>
      <c r="H860">
        <f>G860=C860</f>
        <v/>
      </c>
      <c r="I860">
        <f>TEXT(B860,"0.00000000000000")</f>
        <v/>
      </c>
    </row>
    <row r="861">
      <c r="A861" t="n">
        <v>854</v>
      </c>
      <c r="B861">
        <f>B860+0.1</f>
        <v/>
      </c>
      <c r="C861">
        <f>A861/10</f>
        <v/>
      </c>
      <c r="D861">
        <f>B861=C861</f>
        <v/>
      </c>
      <c r="E861">
        <f>INT(B861*10)=A861</f>
        <v/>
      </c>
      <c r="F861">
        <f>B861&gt;=C861</f>
        <v/>
      </c>
      <c r="G861">
        <f>ROUND(G860+0.1,1)</f>
        <v/>
      </c>
      <c r="H861">
        <f>G861=C861</f>
        <v/>
      </c>
      <c r="I861">
        <f>TEXT(B861,"0.00000000000000")</f>
        <v/>
      </c>
    </row>
    <row r="862">
      <c r="A862" t="n">
        <v>855</v>
      </c>
      <c r="B862">
        <f>B861+0.1</f>
        <v/>
      </c>
      <c r="C862">
        <f>A862/10</f>
        <v/>
      </c>
      <c r="D862">
        <f>B862=C862</f>
        <v/>
      </c>
      <c r="E862">
        <f>INT(B862*10)=A862</f>
        <v/>
      </c>
      <c r="F862">
        <f>B862&gt;=C862</f>
        <v/>
      </c>
      <c r="G862">
        <f>ROUND(G861+0.1,1)</f>
        <v/>
      </c>
      <c r="H862">
        <f>G862=C862</f>
        <v/>
      </c>
      <c r="I862">
        <f>TEXT(B862,"0.00000000000000")</f>
        <v/>
      </c>
    </row>
    <row r="863">
      <c r="A863" t="n">
        <v>856</v>
      </c>
      <c r="B863">
        <f>B862+0.1</f>
        <v/>
      </c>
      <c r="C863">
        <f>A863/10</f>
        <v/>
      </c>
      <c r="D863">
        <f>B863=C863</f>
        <v/>
      </c>
      <c r="E863">
        <f>INT(B863*10)=A863</f>
        <v/>
      </c>
      <c r="F863">
        <f>B863&gt;=C863</f>
        <v/>
      </c>
      <c r="G863">
        <f>ROUND(G862+0.1,1)</f>
        <v/>
      </c>
      <c r="H863">
        <f>G863=C863</f>
        <v/>
      </c>
      <c r="I863">
        <f>TEXT(B863,"0.00000000000000")</f>
        <v/>
      </c>
    </row>
    <row r="864">
      <c r="A864" t="n">
        <v>857</v>
      </c>
      <c r="B864">
        <f>B863+0.1</f>
        <v/>
      </c>
      <c r="C864">
        <f>A864/10</f>
        <v/>
      </c>
      <c r="D864">
        <f>B864=C864</f>
        <v/>
      </c>
      <c r="E864">
        <f>INT(B864*10)=A864</f>
        <v/>
      </c>
      <c r="F864">
        <f>B864&gt;=C864</f>
        <v/>
      </c>
      <c r="G864">
        <f>ROUND(G863+0.1,1)</f>
        <v/>
      </c>
      <c r="H864">
        <f>G864=C864</f>
        <v/>
      </c>
      <c r="I864">
        <f>TEXT(B864,"0.00000000000000")</f>
        <v/>
      </c>
    </row>
    <row r="865">
      <c r="A865" t="n">
        <v>858</v>
      </c>
      <c r="B865">
        <f>B864+0.1</f>
        <v/>
      </c>
      <c r="C865">
        <f>A865/10</f>
        <v/>
      </c>
      <c r="D865">
        <f>B865=C865</f>
        <v/>
      </c>
      <c r="E865">
        <f>INT(B865*10)=A865</f>
        <v/>
      </c>
      <c r="F865">
        <f>B865&gt;=C865</f>
        <v/>
      </c>
      <c r="G865">
        <f>ROUND(G864+0.1,1)</f>
        <v/>
      </c>
      <c r="H865">
        <f>G865=C865</f>
        <v/>
      </c>
      <c r="I865">
        <f>TEXT(B865,"0.00000000000000")</f>
        <v/>
      </c>
    </row>
    <row r="866">
      <c r="A866" t="n">
        <v>859</v>
      </c>
      <c r="B866">
        <f>B865+0.1</f>
        <v/>
      </c>
      <c r="C866">
        <f>A866/10</f>
        <v/>
      </c>
      <c r="D866">
        <f>B866=C866</f>
        <v/>
      </c>
      <c r="E866">
        <f>INT(B866*10)=A866</f>
        <v/>
      </c>
      <c r="F866">
        <f>B866&gt;=C866</f>
        <v/>
      </c>
      <c r="G866">
        <f>ROUND(G865+0.1,1)</f>
        <v/>
      </c>
      <c r="H866">
        <f>G866=C866</f>
        <v/>
      </c>
      <c r="I866">
        <f>TEXT(B866,"0.00000000000000")</f>
        <v/>
      </c>
    </row>
    <row r="867">
      <c r="A867" t="n">
        <v>860</v>
      </c>
      <c r="B867">
        <f>B866+0.1</f>
        <v/>
      </c>
      <c r="C867">
        <f>A867/10</f>
        <v/>
      </c>
      <c r="D867">
        <f>B867=C867</f>
        <v/>
      </c>
      <c r="E867">
        <f>INT(B867*10)=A867</f>
        <v/>
      </c>
      <c r="F867">
        <f>B867&gt;=C867</f>
        <v/>
      </c>
      <c r="G867">
        <f>ROUND(G866+0.1,1)</f>
        <v/>
      </c>
      <c r="H867">
        <f>G867=C867</f>
        <v/>
      </c>
      <c r="I867">
        <f>TEXT(B867,"0.00000000000000")</f>
        <v/>
      </c>
    </row>
    <row r="868">
      <c r="A868" t="n">
        <v>861</v>
      </c>
      <c r="B868">
        <f>B867+0.1</f>
        <v/>
      </c>
      <c r="C868">
        <f>A868/10</f>
        <v/>
      </c>
      <c r="D868">
        <f>B868=C868</f>
        <v/>
      </c>
      <c r="E868">
        <f>INT(B868*10)=A868</f>
        <v/>
      </c>
      <c r="F868">
        <f>B868&gt;=C868</f>
        <v/>
      </c>
      <c r="G868">
        <f>ROUND(G867+0.1,1)</f>
        <v/>
      </c>
      <c r="H868">
        <f>G868=C868</f>
        <v/>
      </c>
      <c r="I868">
        <f>TEXT(B868,"0.00000000000000")</f>
        <v/>
      </c>
    </row>
    <row r="869">
      <c r="A869" t="n">
        <v>862</v>
      </c>
      <c r="B869">
        <f>B868+0.1</f>
        <v/>
      </c>
      <c r="C869">
        <f>A869/10</f>
        <v/>
      </c>
      <c r="D869">
        <f>B869=C869</f>
        <v/>
      </c>
      <c r="E869">
        <f>INT(B869*10)=A869</f>
        <v/>
      </c>
      <c r="F869">
        <f>B869&gt;=C869</f>
        <v/>
      </c>
      <c r="G869">
        <f>ROUND(G868+0.1,1)</f>
        <v/>
      </c>
      <c r="H869">
        <f>G869=C869</f>
        <v/>
      </c>
      <c r="I869">
        <f>TEXT(B869,"0.00000000000000")</f>
        <v/>
      </c>
    </row>
    <row r="870">
      <c r="A870" t="n">
        <v>863</v>
      </c>
      <c r="B870">
        <f>B869+0.1</f>
        <v/>
      </c>
      <c r="C870">
        <f>A870/10</f>
        <v/>
      </c>
      <c r="D870">
        <f>B870=C870</f>
        <v/>
      </c>
      <c r="E870">
        <f>INT(B870*10)=A870</f>
        <v/>
      </c>
      <c r="F870">
        <f>B870&gt;=C870</f>
        <v/>
      </c>
      <c r="G870">
        <f>ROUND(G869+0.1,1)</f>
        <v/>
      </c>
      <c r="H870">
        <f>G870=C870</f>
        <v/>
      </c>
      <c r="I870">
        <f>TEXT(B870,"0.00000000000000")</f>
        <v/>
      </c>
    </row>
    <row r="871">
      <c r="A871" t="n">
        <v>864</v>
      </c>
      <c r="B871">
        <f>B870+0.1</f>
        <v/>
      </c>
      <c r="C871">
        <f>A871/10</f>
        <v/>
      </c>
      <c r="D871">
        <f>B871=C871</f>
        <v/>
      </c>
      <c r="E871">
        <f>INT(B871*10)=A871</f>
        <v/>
      </c>
      <c r="F871">
        <f>B871&gt;=C871</f>
        <v/>
      </c>
      <c r="G871">
        <f>ROUND(G870+0.1,1)</f>
        <v/>
      </c>
      <c r="H871">
        <f>G871=C871</f>
        <v/>
      </c>
      <c r="I871">
        <f>TEXT(B871,"0.00000000000000")</f>
        <v/>
      </c>
    </row>
    <row r="872">
      <c r="A872" t="n">
        <v>865</v>
      </c>
      <c r="B872">
        <f>B871+0.1</f>
        <v/>
      </c>
      <c r="C872">
        <f>A872/10</f>
        <v/>
      </c>
      <c r="D872">
        <f>B872=C872</f>
        <v/>
      </c>
      <c r="E872">
        <f>INT(B872*10)=A872</f>
        <v/>
      </c>
      <c r="F872">
        <f>B872&gt;=C872</f>
        <v/>
      </c>
      <c r="G872">
        <f>ROUND(G871+0.1,1)</f>
        <v/>
      </c>
      <c r="H872">
        <f>G872=C872</f>
        <v/>
      </c>
      <c r="I872">
        <f>TEXT(B872,"0.00000000000000")</f>
        <v/>
      </c>
    </row>
    <row r="873">
      <c r="A873" t="n">
        <v>866</v>
      </c>
      <c r="B873">
        <f>B872+0.1</f>
        <v/>
      </c>
      <c r="C873">
        <f>A873/10</f>
        <v/>
      </c>
      <c r="D873">
        <f>B873=C873</f>
        <v/>
      </c>
      <c r="E873">
        <f>INT(B873*10)=A873</f>
        <v/>
      </c>
      <c r="F873">
        <f>B873&gt;=C873</f>
        <v/>
      </c>
      <c r="G873">
        <f>ROUND(G872+0.1,1)</f>
        <v/>
      </c>
      <c r="H873">
        <f>G873=C873</f>
        <v/>
      </c>
      <c r="I873">
        <f>TEXT(B873,"0.00000000000000")</f>
        <v/>
      </c>
    </row>
    <row r="874">
      <c r="A874" t="n">
        <v>867</v>
      </c>
      <c r="B874">
        <f>B873+0.1</f>
        <v/>
      </c>
      <c r="C874">
        <f>A874/10</f>
        <v/>
      </c>
      <c r="D874">
        <f>B874=C874</f>
        <v/>
      </c>
      <c r="E874">
        <f>INT(B874*10)=A874</f>
        <v/>
      </c>
      <c r="F874">
        <f>B874&gt;=C874</f>
        <v/>
      </c>
      <c r="G874">
        <f>ROUND(G873+0.1,1)</f>
        <v/>
      </c>
      <c r="H874">
        <f>G874=C874</f>
        <v/>
      </c>
      <c r="I874">
        <f>TEXT(B874,"0.00000000000000")</f>
        <v/>
      </c>
    </row>
    <row r="875">
      <c r="A875" t="n">
        <v>868</v>
      </c>
      <c r="B875">
        <f>B874+0.1</f>
        <v/>
      </c>
      <c r="C875">
        <f>A875/10</f>
        <v/>
      </c>
      <c r="D875">
        <f>B875=C875</f>
        <v/>
      </c>
      <c r="E875">
        <f>INT(B875*10)=A875</f>
        <v/>
      </c>
      <c r="F875">
        <f>B875&gt;=C875</f>
        <v/>
      </c>
      <c r="G875">
        <f>ROUND(G874+0.1,1)</f>
        <v/>
      </c>
      <c r="H875">
        <f>G875=C875</f>
        <v/>
      </c>
      <c r="I875">
        <f>TEXT(B875,"0.00000000000000")</f>
        <v/>
      </c>
    </row>
    <row r="876">
      <c r="A876" t="n">
        <v>869</v>
      </c>
      <c r="B876">
        <f>B875+0.1</f>
        <v/>
      </c>
      <c r="C876">
        <f>A876/10</f>
        <v/>
      </c>
      <c r="D876">
        <f>B876=C876</f>
        <v/>
      </c>
      <c r="E876">
        <f>INT(B876*10)=A876</f>
        <v/>
      </c>
      <c r="F876">
        <f>B876&gt;=C876</f>
        <v/>
      </c>
      <c r="G876">
        <f>ROUND(G875+0.1,1)</f>
        <v/>
      </c>
      <c r="H876">
        <f>G876=C876</f>
        <v/>
      </c>
      <c r="I876">
        <f>TEXT(B876,"0.00000000000000")</f>
        <v/>
      </c>
    </row>
    <row r="877">
      <c r="A877" t="n">
        <v>870</v>
      </c>
      <c r="B877">
        <f>B876+0.1</f>
        <v/>
      </c>
      <c r="C877">
        <f>A877/10</f>
        <v/>
      </c>
      <c r="D877">
        <f>B877=C877</f>
        <v/>
      </c>
      <c r="E877">
        <f>INT(B877*10)=A877</f>
        <v/>
      </c>
      <c r="F877">
        <f>B877&gt;=C877</f>
        <v/>
      </c>
      <c r="G877">
        <f>ROUND(G876+0.1,1)</f>
        <v/>
      </c>
      <c r="H877">
        <f>G877=C877</f>
        <v/>
      </c>
      <c r="I877">
        <f>TEXT(B877,"0.00000000000000")</f>
        <v/>
      </c>
    </row>
    <row r="878">
      <c r="A878" t="n">
        <v>871</v>
      </c>
      <c r="B878">
        <f>B877+0.1</f>
        <v/>
      </c>
      <c r="C878">
        <f>A878/10</f>
        <v/>
      </c>
      <c r="D878">
        <f>B878=C878</f>
        <v/>
      </c>
      <c r="E878">
        <f>INT(B878*10)=A878</f>
        <v/>
      </c>
      <c r="F878">
        <f>B878&gt;=C878</f>
        <v/>
      </c>
      <c r="G878">
        <f>ROUND(G877+0.1,1)</f>
        <v/>
      </c>
      <c r="H878">
        <f>G878=C878</f>
        <v/>
      </c>
      <c r="I878">
        <f>TEXT(B878,"0.00000000000000")</f>
        <v/>
      </c>
    </row>
    <row r="879">
      <c r="A879" t="n">
        <v>872</v>
      </c>
      <c r="B879">
        <f>B878+0.1</f>
        <v/>
      </c>
      <c r="C879">
        <f>A879/10</f>
        <v/>
      </c>
      <c r="D879">
        <f>B879=C879</f>
        <v/>
      </c>
      <c r="E879">
        <f>INT(B879*10)=A879</f>
        <v/>
      </c>
      <c r="F879">
        <f>B879&gt;=C879</f>
        <v/>
      </c>
      <c r="G879">
        <f>ROUND(G878+0.1,1)</f>
        <v/>
      </c>
      <c r="H879">
        <f>G879=C879</f>
        <v/>
      </c>
      <c r="I879">
        <f>TEXT(B879,"0.00000000000000")</f>
        <v/>
      </c>
    </row>
    <row r="880">
      <c r="A880" t="n">
        <v>873</v>
      </c>
      <c r="B880">
        <f>B879+0.1</f>
        <v/>
      </c>
      <c r="C880">
        <f>A880/10</f>
        <v/>
      </c>
      <c r="D880">
        <f>B880=C880</f>
        <v/>
      </c>
      <c r="E880">
        <f>INT(B880*10)=A880</f>
        <v/>
      </c>
      <c r="F880">
        <f>B880&gt;=C880</f>
        <v/>
      </c>
      <c r="G880">
        <f>ROUND(G879+0.1,1)</f>
        <v/>
      </c>
      <c r="H880">
        <f>G880=C880</f>
        <v/>
      </c>
      <c r="I880">
        <f>TEXT(B880,"0.00000000000000")</f>
        <v/>
      </c>
    </row>
    <row r="881">
      <c r="A881" t="n">
        <v>874</v>
      </c>
      <c r="B881">
        <f>B880+0.1</f>
        <v/>
      </c>
      <c r="C881">
        <f>A881/10</f>
        <v/>
      </c>
      <c r="D881">
        <f>B881=C881</f>
        <v/>
      </c>
      <c r="E881">
        <f>INT(B881*10)=A881</f>
        <v/>
      </c>
      <c r="F881">
        <f>B881&gt;=C881</f>
        <v/>
      </c>
      <c r="G881">
        <f>ROUND(G880+0.1,1)</f>
        <v/>
      </c>
      <c r="H881">
        <f>G881=C881</f>
        <v/>
      </c>
      <c r="I881">
        <f>TEXT(B881,"0.00000000000000")</f>
        <v/>
      </c>
    </row>
    <row r="882">
      <c r="A882" t="n">
        <v>875</v>
      </c>
      <c r="B882">
        <f>B881+0.1</f>
        <v/>
      </c>
      <c r="C882">
        <f>A882/10</f>
        <v/>
      </c>
      <c r="D882">
        <f>B882=C882</f>
        <v/>
      </c>
      <c r="E882">
        <f>INT(B882*10)=A882</f>
        <v/>
      </c>
      <c r="F882">
        <f>B882&gt;=C882</f>
        <v/>
      </c>
      <c r="G882">
        <f>ROUND(G881+0.1,1)</f>
        <v/>
      </c>
      <c r="H882">
        <f>G882=C882</f>
        <v/>
      </c>
      <c r="I882">
        <f>TEXT(B882,"0.00000000000000")</f>
        <v/>
      </c>
    </row>
    <row r="883">
      <c r="A883" t="n">
        <v>876</v>
      </c>
      <c r="B883">
        <f>B882+0.1</f>
        <v/>
      </c>
      <c r="C883">
        <f>A883/10</f>
        <v/>
      </c>
      <c r="D883">
        <f>B883=C883</f>
        <v/>
      </c>
      <c r="E883">
        <f>INT(B883*10)=A883</f>
        <v/>
      </c>
      <c r="F883">
        <f>B883&gt;=C883</f>
        <v/>
      </c>
      <c r="G883">
        <f>ROUND(G882+0.1,1)</f>
        <v/>
      </c>
      <c r="H883">
        <f>G883=C883</f>
        <v/>
      </c>
      <c r="I883">
        <f>TEXT(B883,"0.00000000000000")</f>
        <v/>
      </c>
    </row>
    <row r="884">
      <c r="A884" t="n">
        <v>877</v>
      </c>
      <c r="B884">
        <f>B883+0.1</f>
        <v/>
      </c>
      <c r="C884">
        <f>A884/10</f>
        <v/>
      </c>
      <c r="D884">
        <f>B884=C884</f>
        <v/>
      </c>
      <c r="E884">
        <f>INT(B884*10)=A884</f>
        <v/>
      </c>
      <c r="F884">
        <f>B884&gt;=C884</f>
        <v/>
      </c>
      <c r="G884">
        <f>ROUND(G883+0.1,1)</f>
        <v/>
      </c>
      <c r="H884">
        <f>G884=C884</f>
        <v/>
      </c>
      <c r="I884">
        <f>TEXT(B884,"0.00000000000000")</f>
        <v/>
      </c>
    </row>
    <row r="885">
      <c r="A885" t="n">
        <v>878</v>
      </c>
      <c r="B885">
        <f>B884+0.1</f>
        <v/>
      </c>
      <c r="C885">
        <f>A885/10</f>
        <v/>
      </c>
      <c r="D885">
        <f>B885=C885</f>
        <v/>
      </c>
      <c r="E885">
        <f>INT(B885*10)=A885</f>
        <v/>
      </c>
      <c r="F885">
        <f>B885&gt;=C885</f>
        <v/>
      </c>
      <c r="G885">
        <f>ROUND(G884+0.1,1)</f>
        <v/>
      </c>
      <c r="H885">
        <f>G885=C885</f>
        <v/>
      </c>
      <c r="I885">
        <f>TEXT(B885,"0.00000000000000")</f>
        <v/>
      </c>
    </row>
    <row r="886">
      <c r="A886" t="n">
        <v>879</v>
      </c>
      <c r="B886">
        <f>B885+0.1</f>
        <v/>
      </c>
      <c r="C886">
        <f>A886/10</f>
        <v/>
      </c>
      <c r="D886">
        <f>B886=C886</f>
        <v/>
      </c>
      <c r="E886">
        <f>INT(B886*10)=A886</f>
        <v/>
      </c>
      <c r="F886">
        <f>B886&gt;=C886</f>
        <v/>
      </c>
      <c r="G886">
        <f>ROUND(G885+0.1,1)</f>
        <v/>
      </c>
      <c r="H886">
        <f>G886=C886</f>
        <v/>
      </c>
      <c r="I886">
        <f>TEXT(B886,"0.00000000000000")</f>
        <v/>
      </c>
    </row>
    <row r="887">
      <c r="A887" t="n">
        <v>880</v>
      </c>
      <c r="B887">
        <f>B886+0.1</f>
        <v/>
      </c>
      <c r="C887">
        <f>A887/10</f>
        <v/>
      </c>
      <c r="D887">
        <f>B887=C887</f>
        <v/>
      </c>
      <c r="E887">
        <f>INT(B887*10)=A887</f>
        <v/>
      </c>
      <c r="F887">
        <f>B887&gt;=C887</f>
        <v/>
      </c>
      <c r="G887">
        <f>ROUND(G886+0.1,1)</f>
        <v/>
      </c>
      <c r="H887">
        <f>G887=C887</f>
        <v/>
      </c>
      <c r="I887">
        <f>TEXT(B887,"0.00000000000000")</f>
        <v/>
      </c>
    </row>
    <row r="888">
      <c r="A888" t="n">
        <v>881</v>
      </c>
      <c r="B888">
        <f>B887+0.1</f>
        <v/>
      </c>
      <c r="C888">
        <f>A888/10</f>
        <v/>
      </c>
      <c r="D888">
        <f>B888=C888</f>
        <v/>
      </c>
      <c r="E888">
        <f>INT(B888*10)=A888</f>
        <v/>
      </c>
      <c r="F888">
        <f>B888&gt;=C888</f>
        <v/>
      </c>
      <c r="G888">
        <f>ROUND(G887+0.1,1)</f>
        <v/>
      </c>
      <c r="H888">
        <f>G888=C888</f>
        <v/>
      </c>
      <c r="I888">
        <f>TEXT(B888,"0.00000000000000")</f>
        <v/>
      </c>
    </row>
    <row r="889">
      <c r="A889" t="n">
        <v>882</v>
      </c>
      <c r="B889">
        <f>B888+0.1</f>
        <v/>
      </c>
      <c r="C889">
        <f>A889/10</f>
        <v/>
      </c>
      <c r="D889">
        <f>B889=C889</f>
        <v/>
      </c>
      <c r="E889">
        <f>INT(B889*10)=A889</f>
        <v/>
      </c>
      <c r="F889">
        <f>B889&gt;=C889</f>
        <v/>
      </c>
      <c r="G889">
        <f>ROUND(G888+0.1,1)</f>
        <v/>
      </c>
      <c r="H889">
        <f>G889=C889</f>
        <v/>
      </c>
      <c r="I889">
        <f>TEXT(B889,"0.00000000000000")</f>
        <v/>
      </c>
    </row>
    <row r="890">
      <c r="A890" t="n">
        <v>883</v>
      </c>
      <c r="B890">
        <f>B889+0.1</f>
        <v/>
      </c>
      <c r="C890">
        <f>A890/10</f>
        <v/>
      </c>
      <c r="D890">
        <f>B890=C890</f>
        <v/>
      </c>
      <c r="E890">
        <f>INT(B890*10)=A890</f>
        <v/>
      </c>
      <c r="F890">
        <f>B890&gt;=C890</f>
        <v/>
      </c>
      <c r="G890">
        <f>ROUND(G889+0.1,1)</f>
        <v/>
      </c>
      <c r="H890">
        <f>G890=C890</f>
        <v/>
      </c>
      <c r="I890">
        <f>TEXT(B890,"0.00000000000000")</f>
        <v/>
      </c>
    </row>
    <row r="891">
      <c r="A891" t="n">
        <v>884</v>
      </c>
      <c r="B891">
        <f>B890+0.1</f>
        <v/>
      </c>
      <c r="C891">
        <f>A891/10</f>
        <v/>
      </c>
      <c r="D891">
        <f>B891=C891</f>
        <v/>
      </c>
      <c r="E891">
        <f>INT(B891*10)=A891</f>
        <v/>
      </c>
      <c r="F891">
        <f>B891&gt;=C891</f>
        <v/>
      </c>
      <c r="G891">
        <f>ROUND(G890+0.1,1)</f>
        <v/>
      </c>
      <c r="H891">
        <f>G891=C891</f>
        <v/>
      </c>
      <c r="I891">
        <f>TEXT(B891,"0.00000000000000")</f>
        <v/>
      </c>
    </row>
    <row r="892">
      <c r="A892" t="n">
        <v>885</v>
      </c>
      <c r="B892">
        <f>B891+0.1</f>
        <v/>
      </c>
      <c r="C892">
        <f>A892/10</f>
        <v/>
      </c>
      <c r="D892">
        <f>B892=C892</f>
        <v/>
      </c>
      <c r="E892">
        <f>INT(B892*10)=A892</f>
        <v/>
      </c>
      <c r="F892">
        <f>B892&gt;=C892</f>
        <v/>
      </c>
      <c r="G892">
        <f>ROUND(G891+0.1,1)</f>
        <v/>
      </c>
      <c r="H892">
        <f>G892=C892</f>
        <v/>
      </c>
      <c r="I892">
        <f>TEXT(B892,"0.00000000000000")</f>
        <v/>
      </c>
    </row>
    <row r="893">
      <c r="A893" t="n">
        <v>886</v>
      </c>
      <c r="B893">
        <f>B892+0.1</f>
        <v/>
      </c>
      <c r="C893">
        <f>A893/10</f>
        <v/>
      </c>
      <c r="D893">
        <f>B893=C893</f>
        <v/>
      </c>
      <c r="E893">
        <f>INT(B893*10)=A893</f>
        <v/>
      </c>
      <c r="F893">
        <f>B893&gt;=C893</f>
        <v/>
      </c>
      <c r="G893">
        <f>ROUND(G892+0.1,1)</f>
        <v/>
      </c>
      <c r="H893">
        <f>G893=C893</f>
        <v/>
      </c>
      <c r="I893">
        <f>TEXT(B893,"0.00000000000000")</f>
        <v/>
      </c>
    </row>
    <row r="894">
      <c r="A894" t="n">
        <v>887</v>
      </c>
      <c r="B894">
        <f>B893+0.1</f>
        <v/>
      </c>
      <c r="C894">
        <f>A894/10</f>
        <v/>
      </c>
      <c r="D894">
        <f>B894=C894</f>
        <v/>
      </c>
      <c r="E894">
        <f>INT(B894*10)=A894</f>
        <v/>
      </c>
      <c r="F894">
        <f>B894&gt;=C894</f>
        <v/>
      </c>
      <c r="G894">
        <f>ROUND(G893+0.1,1)</f>
        <v/>
      </c>
      <c r="H894">
        <f>G894=C894</f>
        <v/>
      </c>
      <c r="I894">
        <f>TEXT(B894,"0.00000000000000")</f>
        <v/>
      </c>
    </row>
    <row r="895">
      <c r="A895" t="n">
        <v>888</v>
      </c>
      <c r="B895">
        <f>B894+0.1</f>
        <v/>
      </c>
      <c r="C895">
        <f>A895/10</f>
        <v/>
      </c>
      <c r="D895">
        <f>B895=C895</f>
        <v/>
      </c>
      <c r="E895">
        <f>INT(B895*10)=A895</f>
        <v/>
      </c>
      <c r="F895">
        <f>B895&gt;=C895</f>
        <v/>
      </c>
      <c r="G895">
        <f>ROUND(G894+0.1,1)</f>
        <v/>
      </c>
      <c r="H895">
        <f>G895=C895</f>
        <v/>
      </c>
      <c r="I895">
        <f>TEXT(B895,"0.00000000000000")</f>
        <v/>
      </c>
    </row>
    <row r="896">
      <c r="A896" t="n">
        <v>889</v>
      </c>
      <c r="B896">
        <f>B895+0.1</f>
        <v/>
      </c>
      <c r="C896">
        <f>A896/10</f>
        <v/>
      </c>
      <c r="D896">
        <f>B896=C896</f>
        <v/>
      </c>
      <c r="E896">
        <f>INT(B896*10)=A896</f>
        <v/>
      </c>
      <c r="F896">
        <f>B896&gt;=C896</f>
        <v/>
      </c>
      <c r="G896">
        <f>ROUND(G895+0.1,1)</f>
        <v/>
      </c>
      <c r="H896">
        <f>G896=C896</f>
        <v/>
      </c>
      <c r="I896">
        <f>TEXT(B896,"0.00000000000000")</f>
        <v/>
      </c>
    </row>
    <row r="897">
      <c r="A897" t="n">
        <v>890</v>
      </c>
      <c r="B897">
        <f>B896+0.1</f>
        <v/>
      </c>
      <c r="C897">
        <f>A897/10</f>
        <v/>
      </c>
      <c r="D897">
        <f>B897=C897</f>
        <v/>
      </c>
      <c r="E897">
        <f>INT(B897*10)=A897</f>
        <v/>
      </c>
      <c r="F897">
        <f>B897&gt;=C897</f>
        <v/>
      </c>
      <c r="G897">
        <f>ROUND(G896+0.1,1)</f>
        <v/>
      </c>
      <c r="H897">
        <f>G897=C897</f>
        <v/>
      </c>
      <c r="I897">
        <f>TEXT(B897,"0.00000000000000")</f>
        <v/>
      </c>
    </row>
    <row r="898">
      <c r="A898" t="n">
        <v>891</v>
      </c>
      <c r="B898">
        <f>B897+0.1</f>
        <v/>
      </c>
      <c r="C898">
        <f>A898/10</f>
        <v/>
      </c>
      <c r="D898">
        <f>B898=C898</f>
        <v/>
      </c>
      <c r="E898">
        <f>INT(B898*10)=A898</f>
        <v/>
      </c>
      <c r="F898">
        <f>B898&gt;=C898</f>
        <v/>
      </c>
      <c r="G898">
        <f>ROUND(G897+0.1,1)</f>
        <v/>
      </c>
      <c r="H898">
        <f>G898=C898</f>
        <v/>
      </c>
      <c r="I898">
        <f>TEXT(B898,"0.00000000000000")</f>
        <v/>
      </c>
    </row>
    <row r="899">
      <c r="A899" t="n">
        <v>892</v>
      </c>
      <c r="B899">
        <f>B898+0.1</f>
        <v/>
      </c>
      <c r="C899">
        <f>A899/10</f>
        <v/>
      </c>
      <c r="D899">
        <f>B899=C899</f>
        <v/>
      </c>
      <c r="E899">
        <f>INT(B899*10)=A899</f>
        <v/>
      </c>
      <c r="F899">
        <f>B899&gt;=C899</f>
        <v/>
      </c>
      <c r="G899">
        <f>ROUND(G898+0.1,1)</f>
        <v/>
      </c>
      <c r="H899">
        <f>G899=C899</f>
        <v/>
      </c>
      <c r="I899">
        <f>TEXT(B899,"0.00000000000000")</f>
        <v/>
      </c>
    </row>
    <row r="900">
      <c r="A900" t="n">
        <v>893</v>
      </c>
      <c r="B900">
        <f>B899+0.1</f>
        <v/>
      </c>
      <c r="C900">
        <f>A900/10</f>
        <v/>
      </c>
      <c r="D900">
        <f>B900=C900</f>
        <v/>
      </c>
      <c r="E900">
        <f>INT(B900*10)=A900</f>
        <v/>
      </c>
      <c r="F900">
        <f>B900&gt;=C900</f>
        <v/>
      </c>
      <c r="G900">
        <f>ROUND(G899+0.1,1)</f>
        <v/>
      </c>
      <c r="H900">
        <f>G900=C900</f>
        <v/>
      </c>
      <c r="I900">
        <f>TEXT(B900,"0.00000000000000")</f>
        <v/>
      </c>
    </row>
    <row r="901">
      <c r="A901" t="n">
        <v>894</v>
      </c>
      <c r="B901">
        <f>B900+0.1</f>
        <v/>
      </c>
      <c r="C901">
        <f>A901/10</f>
        <v/>
      </c>
      <c r="D901">
        <f>B901=C901</f>
        <v/>
      </c>
      <c r="E901">
        <f>INT(B901*10)=A901</f>
        <v/>
      </c>
      <c r="F901">
        <f>B901&gt;=C901</f>
        <v/>
      </c>
      <c r="G901">
        <f>ROUND(G900+0.1,1)</f>
        <v/>
      </c>
      <c r="H901">
        <f>G901=C901</f>
        <v/>
      </c>
      <c r="I901">
        <f>TEXT(B901,"0.00000000000000")</f>
        <v/>
      </c>
    </row>
    <row r="902">
      <c r="A902" t="n">
        <v>895</v>
      </c>
      <c r="B902">
        <f>B901+0.1</f>
        <v/>
      </c>
      <c r="C902">
        <f>A902/10</f>
        <v/>
      </c>
      <c r="D902">
        <f>B902=C902</f>
        <v/>
      </c>
      <c r="E902">
        <f>INT(B902*10)=A902</f>
        <v/>
      </c>
      <c r="F902">
        <f>B902&gt;=C902</f>
        <v/>
      </c>
      <c r="G902">
        <f>ROUND(G901+0.1,1)</f>
        <v/>
      </c>
      <c r="H902">
        <f>G902=C902</f>
        <v/>
      </c>
      <c r="I902">
        <f>TEXT(B902,"0.00000000000000")</f>
        <v/>
      </c>
    </row>
    <row r="903">
      <c r="A903" t="n">
        <v>896</v>
      </c>
      <c r="B903">
        <f>B902+0.1</f>
        <v/>
      </c>
      <c r="C903">
        <f>A903/10</f>
        <v/>
      </c>
      <c r="D903">
        <f>B903=C903</f>
        <v/>
      </c>
      <c r="E903">
        <f>INT(B903*10)=A903</f>
        <v/>
      </c>
      <c r="F903">
        <f>B903&gt;=C903</f>
        <v/>
      </c>
      <c r="G903">
        <f>ROUND(G902+0.1,1)</f>
        <v/>
      </c>
      <c r="H903">
        <f>G903=C903</f>
        <v/>
      </c>
      <c r="I903">
        <f>TEXT(B903,"0.00000000000000")</f>
        <v/>
      </c>
    </row>
    <row r="904">
      <c r="A904" t="n">
        <v>897</v>
      </c>
      <c r="B904">
        <f>B903+0.1</f>
        <v/>
      </c>
      <c r="C904">
        <f>A904/10</f>
        <v/>
      </c>
      <c r="D904">
        <f>B904=C904</f>
        <v/>
      </c>
      <c r="E904">
        <f>INT(B904*10)=A904</f>
        <v/>
      </c>
      <c r="F904">
        <f>B904&gt;=C904</f>
        <v/>
      </c>
      <c r="G904">
        <f>ROUND(G903+0.1,1)</f>
        <v/>
      </c>
      <c r="H904">
        <f>G904=C904</f>
        <v/>
      </c>
      <c r="I904">
        <f>TEXT(B904,"0.00000000000000")</f>
        <v/>
      </c>
    </row>
    <row r="905">
      <c r="A905" t="n">
        <v>898</v>
      </c>
      <c r="B905">
        <f>B904+0.1</f>
        <v/>
      </c>
      <c r="C905">
        <f>A905/10</f>
        <v/>
      </c>
      <c r="D905">
        <f>B905=C905</f>
        <v/>
      </c>
      <c r="E905">
        <f>INT(B905*10)=A905</f>
        <v/>
      </c>
      <c r="F905">
        <f>B905&gt;=C905</f>
        <v/>
      </c>
      <c r="G905">
        <f>ROUND(G904+0.1,1)</f>
        <v/>
      </c>
      <c r="H905">
        <f>G905=C905</f>
        <v/>
      </c>
      <c r="I905">
        <f>TEXT(B905,"0.00000000000000")</f>
        <v/>
      </c>
    </row>
    <row r="906">
      <c r="A906" t="n">
        <v>899</v>
      </c>
      <c r="B906">
        <f>B905+0.1</f>
        <v/>
      </c>
      <c r="C906">
        <f>A906/10</f>
        <v/>
      </c>
      <c r="D906">
        <f>B906=C906</f>
        <v/>
      </c>
      <c r="E906">
        <f>INT(B906*10)=A906</f>
        <v/>
      </c>
      <c r="F906">
        <f>B906&gt;=C906</f>
        <v/>
      </c>
      <c r="G906">
        <f>ROUND(G905+0.1,1)</f>
        <v/>
      </c>
      <c r="H906">
        <f>G906=C906</f>
        <v/>
      </c>
      <c r="I906">
        <f>TEXT(B906,"0.00000000000000")</f>
        <v/>
      </c>
    </row>
    <row r="907">
      <c r="A907" t="n">
        <v>900</v>
      </c>
      <c r="B907">
        <f>B906+0.1</f>
        <v/>
      </c>
      <c r="C907">
        <f>A907/10</f>
        <v/>
      </c>
      <c r="D907">
        <f>B907=C907</f>
        <v/>
      </c>
      <c r="E907">
        <f>INT(B907*10)=A907</f>
        <v/>
      </c>
      <c r="F907">
        <f>B907&gt;=C907</f>
        <v/>
      </c>
      <c r="G907">
        <f>ROUND(G906+0.1,1)</f>
        <v/>
      </c>
      <c r="H907">
        <f>G907=C907</f>
        <v/>
      </c>
      <c r="I907">
        <f>TEXT(B907,"0.00000000000000")</f>
        <v/>
      </c>
    </row>
    <row r="908">
      <c r="A908" t="n">
        <v>901</v>
      </c>
      <c r="B908">
        <f>B907+0.1</f>
        <v/>
      </c>
      <c r="C908">
        <f>A908/10</f>
        <v/>
      </c>
      <c r="D908">
        <f>B908=C908</f>
        <v/>
      </c>
      <c r="E908">
        <f>INT(B908*10)=A908</f>
        <v/>
      </c>
      <c r="F908">
        <f>B908&gt;=C908</f>
        <v/>
      </c>
      <c r="G908">
        <f>ROUND(G907+0.1,1)</f>
        <v/>
      </c>
      <c r="H908">
        <f>G908=C908</f>
        <v/>
      </c>
      <c r="I908">
        <f>TEXT(B908,"0.00000000000000")</f>
        <v/>
      </c>
    </row>
    <row r="909">
      <c r="A909" t="n">
        <v>902</v>
      </c>
      <c r="B909">
        <f>B908+0.1</f>
        <v/>
      </c>
      <c r="C909">
        <f>A909/10</f>
        <v/>
      </c>
      <c r="D909">
        <f>B909=C909</f>
        <v/>
      </c>
      <c r="E909">
        <f>INT(B909*10)=A909</f>
        <v/>
      </c>
      <c r="F909">
        <f>B909&gt;=C909</f>
        <v/>
      </c>
      <c r="G909">
        <f>ROUND(G908+0.1,1)</f>
        <v/>
      </c>
      <c r="H909">
        <f>G909=C909</f>
        <v/>
      </c>
      <c r="I909">
        <f>TEXT(B909,"0.00000000000000")</f>
        <v/>
      </c>
    </row>
    <row r="910">
      <c r="A910" t="n">
        <v>903</v>
      </c>
      <c r="B910">
        <f>B909+0.1</f>
        <v/>
      </c>
      <c r="C910">
        <f>A910/10</f>
        <v/>
      </c>
      <c r="D910">
        <f>B910=C910</f>
        <v/>
      </c>
      <c r="E910">
        <f>INT(B910*10)=A910</f>
        <v/>
      </c>
      <c r="F910">
        <f>B910&gt;=C910</f>
        <v/>
      </c>
      <c r="G910">
        <f>ROUND(G909+0.1,1)</f>
        <v/>
      </c>
      <c r="H910">
        <f>G910=C910</f>
        <v/>
      </c>
      <c r="I910">
        <f>TEXT(B910,"0.00000000000000")</f>
        <v/>
      </c>
    </row>
    <row r="911">
      <c r="A911" t="n">
        <v>904</v>
      </c>
      <c r="B911">
        <f>B910+0.1</f>
        <v/>
      </c>
      <c r="C911">
        <f>A911/10</f>
        <v/>
      </c>
      <c r="D911">
        <f>B911=C911</f>
        <v/>
      </c>
      <c r="E911">
        <f>INT(B911*10)=A911</f>
        <v/>
      </c>
      <c r="F911">
        <f>B911&gt;=C911</f>
        <v/>
      </c>
      <c r="G911">
        <f>ROUND(G910+0.1,1)</f>
        <v/>
      </c>
      <c r="H911">
        <f>G911=C911</f>
        <v/>
      </c>
      <c r="I911">
        <f>TEXT(B911,"0.00000000000000")</f>
        <v/>
      </c>
    </row>
    <row r="912">
      <c r="A912" t="n">
        <v>905</v>
      </c>
      <c r="B912">
        <f>B911+0.1</f>
        <v/>
      </c>
      <c r="C912">
        <f>A912/10</f>
        <v/>
      </c>
      <c r="D912">
        <f>B912=C912</f>
        <v/>
      </c>
      <c r="E912">
        <f>INT(B912*10)=A912</f>
        <v/>
      </c>
      <c r="F912">
        <f>B912&gt;=C912</f>
        <v/>
      </c>
      <c r="G912">
        <f>ROUND(G911+0.1,1)</f>
        <v/>
      </c>
      <c r="H912">
        <f>G912=C912</f>
        <v/>
      </c>
      <c r="I912">
        <f>TEXT(B912,"0.00000000000000")</f>
        <v/>
      </c>
    </row>
    <row r="913">
      <c r="A913" t="n">
        <v>906</v>
      </c>
      <c r="B913">
        <f>B912+0.1</f>
        <v/>
      </c>
      <c r="C913">
        <f>A913/10</f>
        <v/>
      </c>
      <c r="D913">
        <f>B913=C913</f>
        <v/>
      </c>
      <c r="E913">
        <f>INT(B913*10)=A913</f>
        <v/>
      </c>
      <c r="F913">
        <f>B913&gt;=C913</f>
        <v/>
      </c>
      <c r="G913">
        <f>ROUND(G912+0.1,1)</f>
        <v/>
      </c>
      <c r="H913">
        <f>G913=C913</f>
        <v/>
      </c>
      <c r="I913">
        <f>TEXT(B913,"0.00000000000000")</f>
        <v/>
      </c>
    </row>
    <row r="914">
      <c r="A914" t="n">
        <v>907</v>
      </c>
      <c r="B914">
        <f>B913+0.1</f>
        <v/>
      </c>
      <c r="C914">
        <f>A914/10</f>
        <v/>
      </c>
      <c r="D914">
        <f>B914=C914</f>
        <v/>
      </c>
      <c r="E914">
        <f>INT(B914*10)=A914</f>
        <v/>
      </c>
      <c r="F914">
        <f>B914&gt;=C914</f>
        <v/>
      </c>
      <c r="G914">
        <f>ROUND(G913+0.1,1)</f>
        <v/>
      </c>
      <c r="H914">
        <f>G914=C914</f>
        <v/>
      </c>
      <c r="I914">
        <f>TEXT(B914,"0.00000000000000")</f>
        <v/>
      </c>
    </row>
    <row r="915">
      <c r="A915" t="n">
        <v>908</v>
      </c>
      <c r="B915">
        <f>B914+0.1</f>
        <v/>
      </c>
      <c r="C915">
        <f>A915/10</f>
        <v/>
      </c>
      <c r="D915">
        <f>B915=C915</f>
        <v/>
      </c>
      <c r="E915">
        <f>INT(B915*10)=A915</f>
        <v/>
      </c>
      <c r="F915">
        <f>B915&gt;=C915</f>
        <v/>
      </c>
      <c r="G915">
        <f>ROUND(G914+0.1,1)</f>
        <v/>
      </c>
      <c r="H915">
        <f>G915=C915</f>
        <v/>
      </c>
      <c r="I915">
        <f>TEXT(B915,"0.00000000000000")</f>
        <v/>
      </c>
    </row>
    <row r="916">
      <c r="A916" t="n">
        <v>909</v>
      </c>
      <c r="B916">
        <f>B915+0.1</f>
        <v/>
      </c>
      <c r="C916">
        <f>A916/10</f>
        <v/>
      </c>
      <c r="D916">
        <f>B916=C916</f>
        <v/>
      </c>
      <c r="E916">
        <f>INT(B916*10)=A916</f>
        <v/>
      </c>
      <c r="F916">
        <f>B916&gt;=C916</f>
        <v/>
      </c>
      <c r="G916">
        <f>ROUND(G915+0.1,1)</f>
        <v/>
      </c>
      <c r="H916">
        <f>G916=C916</f>
        <v/>
      </c>
      <c r="I916">
        <f>TEXT(B916,"0.00000000000000")</f>
        <v/>
      </c>
    </row>
    <row r="917">
      <c r="A917" t="n">
        <v>910</v>
      </c>
      <c r="B917">
        <f>B916+0.1</f>
        <v/>
      </c>
      <c r="C917">
        <f>A917/10</f>
        <v/>
      </c>
      <c r="D917">
        <f>B917=C917</f>
        <v/>
      </c>
      <c r="E917">
        <f>INT(B917*10)=A917</f>
        <v/>
      </c>
      <c r="F917">
        <f>B917&gt;=C917</f>
        <v/>
      </c>
      <c r="G917">
        <f>ROUND(G916+0.1,1)</f>
        <v/>
      </c>
      <c r="H917">
        <f>G917=C917</f>
        <v/>
      </c>
      <c r="I917">
        <f>TEXT(B917,"0.00000000000000")</f>
        <v/>
      </c>
    </row>
    <row r="918">
      <c r="A918" t="n">
        <v>911</v>
      </c>
      <c r="B918">
        <f>B917+0.1</f>
        <v/>
      </c>
      <c r="C918">
        <f>A918/10</f>
        <v/>
      </c>
      <c r="D918">
        <f>B918=C918</f>
        <v/>
      </c>
      <c r="E918">
        <f>INT(B918*10)=A918</f>
        <v/>
      </c>
      <c r="F918">
        <f>B918&gt;=C918</f>
        <v/>
      </c>
      <c r="G918">
        <f>ROUND(G917+0.1,1)</f>
        <v/>
      </c>
      <c r="H918">
        <f>G918=C918</f>
        <v/>
      </c>
      <c r="I918">
        <f>TEXT(B918,"0.00000000000000")</f>
        <v/>
      </c>
    </row>
    <row r="919">
      <c r="A919" t="n">
        <v>912</v>
      </c>
      <c r="B919">
        <f>B918+0.1</f>
        <v/>
      </c>
      <c r="C919">
        <f>A919/10</f>
        <v/>
      </c>
      <c r="D919">
        <f>B919=C919</f>
        <v/>
      </c>
      <c r="E919">
        <f>INT(B919*10)=A919</f>
        <v/>
      </c>
      <c r="F919">
        <f>B919&gt;=C919</f>
        <v/>
      </c>
      <c r="G919">
        <f>ROUND(G918+0.1,1)</f>
        <v/>
      </c>
      <c r="H919">
        <f>G919=C919</f>
        <v/>
      </c>
      <c r="I919">
        <f>TEXT(B919,"0.00000000000000")</f>
        <v/>
      </c>
    </row>
    <row r="920">
      <c r="A920" t="n">
        <v>913</v>
      </c>
      <c r="B920">
        <f>B919+0.1</f>
        <v/>
      </c>
      <c r="C920">
        <f>A920/10</f>
        <v/>
      </c>
      <c r="D920">
        <f>B920=C920</f>
        <v/>
      </c>
      <c r="E920">
        <f>INT(B920*10)=A920</f>
        <v/>
      </c>
      <c r="F920">
        <f>B920&gt;=C920</f>
        <v/>
      </c>
      <c r="G920">
        <f>ROUND(G919+0.1,1)</f>
        <v/>
      </c>
      <c r="H920">
        <f>G920=C920</f>
        <v/>
      </c>
      <c r="I920">
        <f>TEXT(B920,"0.00000000000000")</f>
        <v/>
      </c>
    </row>
    <row r="921">
      <c r="A921" t="n">
        <v>914</v>
      </c>
      <c r="B921">
        <f>B920+0.1</f>
        <v/>
      </c>
      <c r="C921">
        <f>A921/10</f>
        <v/>
      </c>
      <c r="D921">
        <f>B921=C921</f>
        <v/>
      </c>
      <c r="E921">
        <f>INT(B921*10)=A921</f>
        <v/>
      </c>
      <c r="F921">
        <f>B921&gt;=C921</f>
        <v/>
      </c>
      <c r="G921">
        <f>ROUND(G920+0.1,1)</f>
        <v/>
      </c>
      <c r="H921">
        <f>G921=C921</f>
        <v/>
      </c>
      <c r="I921">
        <f>TEXT(B921,"0.00000000000000")</f>
        <v/>
      </c>
    </row>
    <row r="922">
      <c r="A922" t="n">
        <v>915</v>
      </c>
      <c r="B922">
        <f>B921+0.1</f>
        <v/>
      </c>
      <c r="C922">
        <f>A922/10</f>
        <v/>
      </c>
      <c r="D922">
        <f>B922=C922</f>
        <v/>
      </c>
      <c r="E922">
        <f>INT(B922*10)=A922</f>
        <v/>
      </c>
      <c r="F922">
        <f>B922&gt;=C922</f>
        <v/>
      </c>
      <c r="G922">
        <f>ROUND(G921+0.1,1)</f>
        <v/>
      </c>
      <c r="H922">
        <f>G922=C922</f>
        <v/>
      </c>
      <c r="I922">
        <f>TEXT(B922,"0.00000000000000")</f>
        <v/>
      </c>
    </row>
    <row r="923">
      <c r="A923" t="n">
        <v>916</v>
      </c>
      <c r="B923">
        <f>B922+0.1</f>
        <v/>
      </c>
      <c r="C923">
        <f>A923/10</f>
        <v/>
      </c>
      <c r="D923">
        <f>B923=C923</f>
        <v/>
      </c>
      <c r="E923">
        <f>INT(B923*10)=A923</f>
        <v/>
      </c>
      <c r="F923">
        <f>B923&gt;=C923</f>
        <v/>
      </c>
      <c r="G923">
        <f>ROUND(G922+0.1,1)</f>
        <v/>
      </c>
      <c r="H923">
        <f>G923=C923</f>
        <v/>
      </c>
      <c r="I923">
        <f>TEXT(B923,"0.00000000000000")</f>
        <v/>
      </c>
    </row>
    <row r="924">
      <c r="A924" t="n">
        <v>917</v>
      </c>
      <c r="B924">
        <f>B923+0.1</f>
        <v/>
      </c>
      <c r="C924">
        <f>A924/10</f>
        <v/>
      </c>
      <c r="D924">
        <f>B924=C924</f>
        <v/>
      </c>
      <c r="E924">
        <f>INT(B924*10)=A924</f>
        <v/>
      </c>
      <c r="F924">
        <f>B924&gt;=C924</f>
        <v/>
      </c>
      <c r="G924">
        <f>ROUND(G923+0.1,1)</f>
        <v/>
      </c>
      <c r="H924">
        <f>G924=C924</f>
        <v/>
      </c>
      <c r="I924">
        <f>TEXT(B924,"0.00000000000000")</f>
        <v/>
      </c>
    </row>
    <row r="925">
      <c r="A925" t="n">
        <v>918</v>
      </c>
      <c r="B925">
        <f>B924+0.1</f>
        <v/>
      </c>
      <c r="C925">
        <f>A925/10</f>
        <v/>
      </c>
      <c r="D925">
        <f>B925=C925</f>
        <v/>
      </c>
      <c r="E925">
        <f>INT(B925*10)=A925</f>
        <v/>
      </c>
      <c r="F925">
        <f>B925&gt;=C925</f>
        <v/>
      </c>
      <c r="G925">
        <f>ROUND(G924+0.1,1)</f>
        <v/>
      </c>
      <c r="H925">
        <f>G925=C925</f>
        <v/>
      </c>
      <c r="I925">
        <f>TEXT(B925,"0.00000000000000")</f>
        <v/>
      </c>
    </row>
    <row r="926">
      <c r="A926" t="n">
        <v>919</v>
      </c>
      <c r="B926">
        <f>B925+0.1</f>
        <v/>
      </c>
      <c r="C926">
        <f>A926/10</f>
        <v/>
      </c>
      <c r="D926">
        <f>B926=C926</f>
        <v/>
      </c>
      <c r="E926">
        <f>INT(B926*10)=A926</f>
        <v/>
      </c>
      <c r="F926">
        <f>B926&gt;=C926</f>
        <v/>
      </c>
      <c r="G926">
        <f>ROUND(G925+0.1,1)</f>
        <v/>
      </c>
      <c r="H926">
        <f>G926=C926</f>
        <v/>
      </c>
      <c r="I926">
        <f>TEXT(B926,"0.00000000000000")</f>
        <v/>
      </c>
    </row>
    <row r="927">
      <c r="A927" t="n">
        <v>920</v>
      </c>
      <c r="B927">
        <f>B926+0.1</f>
        <v/>
      </c>
      <c r="C927">
        <f>A927/10</f>
        <v/>
      </c>
      <c r="D927">
        <f>B927=C927</f>
        <v/>
      </c>
      <c r="E927">
        <f>INT(B927*10)=A927</f>
        <v/>
      </c>
      <c r="F927">
        <f>B927&gt;=C927</f>
        <v/>
      </c>
      <c r="G927">
        <f>ROUND(G926+0.1,1)</f>
        <v/>
      </c>
      <c r="H927">
        <f>G927=C927</f>
        <v/>
      </c>
      <c r="I927">
        <f>TEXT(B927,"0.00000000000000")</f>
        <v/>
      </c>
    </row>
    <row r="928">
      <c r="A928" t="n">
        <v>921</v>
      </c>
      <c r="B928">
        <f>B927+0.1</f>
        <v/>
      </c>
      <c r="C928">
        <f>A928/10</f>
        <v/>
      </c>
      <c r="D928">
        <f>B928=C928</f>
        <v/>
      </c>
      <c r="E928">
        <f>INT(B928*10)=A928</f>
        <v/>
      </c>
      <c r="F928">
        <f>B928&gt;=C928</f>
        <v/>
      </c>
      <c r="G928">
        <f>ROUND(G927+0.1,1)</f>
        <v/>
      </c>
      <c r="H928">
        <f>G928=C928</f>
        <v/>
      </c>
      <c r="I928">
        <f>TEXT(B928,"0.00000000000000")</f>
        <v/>
      </c>
    </row>
    <row r="929">
      <c r="A929" t="n">
        <v>922</v>
      </c>
      <c r="B929">
        <f>B928+0.1</f>
        <v/>
      </c>
      <c r="C929">
        <f>A929/10</f>
        <v/>
      </c>
      <c r="D929">
        <f>B929=C929</f>
        <v/>
      </c>
      <c r="E929">
        <f>INT(B929*10)=A929</f>
        <v/>
      </c>
      <c r="F929">
        <f>B929&gt;=C929</f>
        <v/>
      </c>
      <c r="G929">
        <f>ROUND(G928+0.1,1)</f>
        <v/>
      </c>
      <c r="H929">
        <f>G929=C929</f>
        <v/>
      </c>
      <c r="I929">
        <f>TEXT(B929,"0.00000000000000")</f>
        <v/>
      </c>
    </row>
    <row r="930">
      <c r="A930" t="n">
        <v>923</v>
      </c>
      <c r="B930">
        <f>B929+0.1</f>
        <v/>
      </c>
      <c r="C930">
        <f>A930/10</f>
        <v/>
      </c>
      <c r="D930">
        <f>B930=C930</f>
        <v/>
      </c>
      <c r="E930">
        <f>INT(B930*10)=A930</f>
        <v/>
      </c>
      <c r="F930">
        <f>B930&gt;=C930</f>
        <v/>
      </c>
      <c r="G930">
        <f>ROUND(G929+0.1,1)</f>
        <v/>
      </c>
      <c r="H930">
        <f>G930=C930</f>
        <v/>
      </c>
      <c r="I930">
        <f>TEXT(B930,"0.00000000000000")</f>
        <v/>
      </c>
    </row>
    <row r="931">
      <c r="A931" t="n">
        <v>924</v>
      </c>
      <c r="B931">
        <f>B930+0.1</f>
        <v/>
      </c>
      <c r="C931">
        <f>A931/10</f>
        <v/>
      </c>
      <c r="D931">
        <f>B931=C931</f>
        <v/>
      </c>
      <c r="E931">
        <f>INT(B931*10)=A931</f>
        <v/>
      </c>
      <c r="F931">
        <f>B931&gt;=C931</f>
        <v/>
      </c>
      <c r="G931">
        <f>ROUND(G930+0.1,1)</f>
        <v/>
      </c>
      <c r="H931">
        <f>G931=C931</f>
        <v/>
      </c>
      <c r="I931">
        <f>TEXT(B931,"0.00000000000000")</f>
        <v/>
      </c>
    </row>
    <row r="932">
      <c r="A932" t="n">
        <v>925</v>
      </c>
      <c r="B932">
        <f>B931+0.1</f>
        <v/>
      </c>
      <c r="C932">
        <f>A932/10</f>
        <v/>
      </c>
      <c r="D932">
        <f>B932=C932</f>
        <v/>
      </c>
      <c r="E932">
        <f>INT(B932*10)=A932</f>
        <v/>
      </c>
      <c r="F932">
        <f>B932&gt;=C932</f>
        <v/>
      </c>
      <c r="G932">
        <f>ROUND(G931+0.1,1)</f>
        <v/>
      </c>
      <c r="H932">
        <f>G932=C932</f>
        <v/>
      </c>
      <c r="I932">
        <f>TEXT(B932,"0.00000000000000")</f>
        <v/>
      </c>
    </row>
    <row r="933">
      <c r="A933" t="n">
        <v>926</v>
      </c>
      <c r="B933">
        <f>B932+0.1</f>
        <v/>
      </c>
      <c r="C933">
        <f>A933/10</f>
        <v/>
      </c>
      <c r="D933">
        <f>B933=C933</f>
        <v/>
      </c>
      <c r="E933">
        <f>INT(B933*10)=A933</f>
        <v/>
      </c>
      <c r="F933">
        <f>B933&gt;=C933</f>
        <v/>
      </c>
      <c r="G933">
        <f>ROUND(G932+0.1,1)</f>
        <v/>
      </c>
      <c r="H933">
        <f>G933=C933</f>
        <v/>
      </c>
      <c r="I933">
        <f>TEXT(B933,"0.00000000000000")</f>
        <v/>
      </c>
    </row>
    <row r="934">
      <c r="A934" t="n">
        <v>927</v>
      </c>
      <c r="B934">
        <f>B933+0.1</f>
        <v/>
      </c>
      <c r="C934">
        <f>A934/10</f>
        <v/>
      </c>
      <c r="D934">
        <f>B934=C934</f>
        <v/>
      </c>
      <c r="E934">
        <f>INT(B934*10)=A934</f>
        <v/>
      </c>
      <c r="F934">
        <f>B934&gt;=C934</f>
        <v/>
      </c>
      <c r="G934">
        <f>ROUND(G933+0.1,1)</f>
        <v/>
      </c>
      <c r="H934">
        <f>G934=C934</f>
        <v/>
      </c>
      <c r="I934">
        <f>TEXT(B934,"0.00000000000000")</f>
        <v/>
      </c>
    </row>
    <row r="935">
      <c r="A935" t="n">
        <v>928</v>
      </c>
      <c r="B935">
        <f>B934+0.1</f>
        <v/>
      </c>
      <c r="C935">
        <f>A935/10</f>
        <v/>
      </c>
      <c r="D935">
        <f>B935=C935</f>
        <v/>
      </c>
      <c r="E935">
        <f>INT(B935*10)=A935</f>
        <v/>
      </c>
      <c r="F935">
        <f>B935&gt;=C935</f>
        <v/>
      </c>
      <c r="G935">
        <f>ROUND(G934+0.1,1)</f>
        <v/>
      </c>
      <c r="H935">
        <f>G935=C935</f>
        <v/>
      </c>
      <c r="I935">
        <f>TEXT(B935,"0.00000000000000")</f>
        <v/>
      </c>
    </row>
    <row r="936">
      <c r="A936" t="n">
        <v>929</v>
      </c>
      <c r="B936">
        <f>B935+0.1</f>
        <v/>
      </c>
      <c r="C936">
        <f>A936/10</f>
        <v/>
      </c>
      <c r="D936">
        <f>B936=C936</f>
        <v/>
      </c>
      <c r="E936">
        <f>INT(B936*10)=A936</f>
        <v/>
      </c>
      <c r="F936">
        <f>B936&gt;=C936</f>
        <v/>
      </c>
      <c r="G936">
        <f>ROUND(G935+0.1,1)</f>
        <v/>
      </c>
      <c r="H936">
        <f>G936=C936</f>
        <v/>
      </c>
      <c r="I936">
        <f>TEXT(B936,"0.00000000000000")</f>
        <v/>
      </c>
    </row>
    <row r="937">
      <c r="A937" t="n">
        <v>930</v>
      </c>
      <c r="B937">
        <f>B936+0.1</f>
        <v/>
      </c>
      <c r="C937">
        <f>A937/10</f>
        <v/>
      </c>
      <c r="D937">
        <f>B937=C937</f>
        <v/>
      </c>
      <c r="E937">
        <f>INT(B937*10)=A937</f>
        <v/>
      </c>
      <c r="F937">
        <f>B937&gt;=C937</f>
        <v/>
      </c>
      <c r="G937">
        <f>ROUND(G936+0.1,1)</f>
        <v/>
      </c>
      <c r="H937">
        <f>G937=C937</f>
        <v/>
      </c>
      <c r="I937">
        <f>TEXT(B937,"0.00000000000000")</f>
        <v/>
      </c>
    </row>
    <row r="938">
      <c r="A938" t="n">
        <v>931</v>
      </c>
      <c r="B938">
        <f>B937+0.1</f>
        <v/>
      </c>
      <c r="C938">
        <f>A938/10</f>
        <v/>
      </c>
      <c r="D938">
        <f>B938=C938</f>
        <v/>
      </c>
      <c r="E938">
        <f>INT(B938*10)=A938</f>
        <v/>
      </c>
      <c r="F938">
        <f>B938&gt;=C938</f>
        <v/>
      </c>
      <c r="G938">
        <f>ROUND(G937+0.1,1)</f>
        <v/>
      </c>
      <c r="H938">
        <f>G938=C938</f>
        <v/>
      </c>
      <c r="I938">
        <f>TEXT(B938,"0.00000000000000")</f>
        <v/>
      </c>
    </row>
    <row r="939">
      <c r="A939" t="n">
        <v>932</v>
      </c>
      <c r="B939">
        <f>B938+0.1</f>
        <v/>
      </c>
      <c r="C939">
        <f>A939/10</f>
        <v/>
      </c>
      <c r="D939">
        <f>B939=C939</f>
        <v/>
      </c>
      <c r="E939">
        <f>INT(B939*10)=A939</f>
        <v/>
      </c>
      <c r="F939">
        <f>B939&gt;=C939</f>
        <v/>
      </c>
      <c r="G939">
        <f>ROUND(G938+0.1,1)</f>
        <v/>
      </c>
      <c r="H939">
        <f>G939=C939</f>
        <v/>
      </c>
      <c r="I939">
        <f>TEXT(B939,"0.00000000000000")</f>
        <v/>
      </c>
    </row>
    <row r="940">
      <c r="A940" t="n">
        <v>933</v>
      </c>
      <c r="B940">
        <f>B939+0.1</f>
        <v/>
      </c>
      <c r="C940">
        <f>A940/10</f>
        <v/>
      </c>
      <c r="D940">
        <f>B940=C940</f>
        <v/>
      </c>
      <c r="E940">
        <f>INT(B940*10)=A940</f>
        <v/>
      </c>
      <c r="F940">
        <f>B940&gt;=C940</f>
        <v/>
      </c>
      <c r="G940">
        <f>ROUND(G939+0.1,1)</f>
        <v/>
      </c>
      <c r="H940">
        <f>G940=C940</f>
        <v/>
      </c>
      <c r="I940">
        <f>TEXT(B940,"0.00000000000000")</f>
        <v/>
      </c>
    </row>
    <row r="941">
      <c r="A941" t="n">
        <v>934</v>
      </c>
      <c r="B941">
        <f>B940+0.1</f>
        <v/>
      </c>
      <c r="C941">
        <f>A941/10</f>
        <v/>
      </c>
      <c r="D941">
        <f>B941=C941</f>
        <v/>
      </c>
      <c r="E941">
        <f>INT(B941*10)=A941</f>
        <v/>
      </c>
      <c r="F941">
        <f>B941&gt;=C941</f>
        <v/>
      </c>
      <c r="G941">
        <f>ROUND(G940+0.1,1)</f>
        <v/>
      </c>
      <c r="H941">
        <f>G941=C941</f>
        <v/>
      </c>
      <c r="I941">
        <f>TEXT(B941,"0.00000000000000")</f>
        <v/>
      </c>
    </row>
    <row r="942">
      <c r="A942" t="n">
        <v>935</v>
      </c>
      <c r="B942">
        <f>B941+0.1</f>
        <v/>
      </c>
      <c r="C942">
        <f>A942/10</f>
        <v/>
      </c>
      <c r="D942">
        <f>B942=C942</f>
        <v/>
      </c>
      <c r="E942">
        <f>INT(B942*10)=A942</f>
        <v/>
      </c>
      <c r="F942">
        <f>B942&gt;=C942</f>
        <v/>
      </c>
      <c r="G942">
        <f>ROUND(G941+0.1,1)</f>
        <v/>
      </c>
      <c r="H942">
        <f>G942=C942</f>
        <v/>
      </c>
      <c r="I942">
        <f>TEXT(B942,"0.00000000000000")</f>
        <v/>
      </c>
    </row>
    <row r="943">
      <c r="A943" t="n">
        <v>936</v>
      </c>
      <c r="B943">
        <f>B942+0.1</f>
        <v/>
      </c>
      <c r="C943">
        <f>A943/10</f>
        <v/>
      </c>
      <c r="D943">
        <f>B943=C943</f>
        <v/>
      </c>
      <c r="E943">
        <f>INT(B943*10)=A943</f>
        <v/>
      </c>
      <c r="F943">
        <f>B943&gt;=C943</f>
        <v/>
      </c>
      <c r="G943">
        <f>ROUND(G942+0.1,1)</f>
        <v/>
      </c>
      <c r="H943">
        <f>G943=C943</f>
        <v/>
      </c>
      <c r="I943">
        <f>TEXT(B943,"0.00000000000000")</f>
        <v/>
      </c>
    </row>
    <row r="944">
      <c r="A944" t="n">
        <v>937</v>
      </c>
      <c r="B944">
        <f>B943+0.1</f>
        <v/>
      </c>
      <c r="C944">
        <f>A944/10</f>
        <v/>
      </c>
      <c r="D944">
        <f>B944=C944</f>
        <v/>
      </c>
      <c r="E944">
        <f>INT(B944*10)=A944</f>
        <v/>
      </c>
      <c r="F944">
        <f>B944&gt;=C944</f>
        <v/>
      </c>
      <c r="G944">
        <f>ROUND(G943+0.1,1)</f>
        <v/>
      </c>
      <c r="H944">
        <f>G944=C944</f>
        <v/>
      </c>
      <c r="I944">
        <f>TEXT(B944,"0.00000000000000")</f>
        <v/>
      </c>
    </row>
    <row r="945">
      <c r="A945" t="n">
        <v>938</v>
      </c>
      <c r="B945">
        <f>B944+0.1</f>
        <v/>
      </c>
      <c r="C945">
        <f>A945/10</f>
        <v/>
      </c>
      <c r="D945">
        <f>B945=C945</f>
        <v/>
      </c>
      <c r="E945">
        <f>INT(B945*10)=A945</f>
        <v/>
      </c>
      <c r="F945">
        <f>B945&gt;=C945</f>
        <v/>
      </c>
      <c r="G945">
        <f>ROUND(G944+0.1,1)</f>
        <v/>
      </c>
      <c r="H945">
        <f>G945=C945</f>
        <v/>
      </c>
      <c r="I945">
        <f>TEXT(B945,"0.00000000000000")</f>
        <v/>
      </c>
    </row>
    <row r="946">
      <c r="A946" t="n">
        <v>939</v>
      </c>
      <c r="B946">
        <f>B945+0.1</f>
        <v/>
      </c>
      <c r="C946">
        <f>A946/10</f>
        <v/>
      </c>
      <c r="D946">
        <f>B946=C946</f>
        <v/>
      </c>
      <c r="E946">
        <f>INT(B946*10)=A946</f>
        <v/>
      </c>
      <c r="F946">
        <f>B946&gt;=C946</f>
        <v/>
      </c>
      <c r="G946">
        <f>ROUND(G945+0.1,1)</f>
        <v/>
      </c>
      <c r="H946">
        <f>G946=C946</f>
        <v/>
      </c>
      <c r="I946">
        <f>TEXT(B946,"0.00000000000000")</f>
        <v/>
      </c>
    </row>
    <row r="947">
      <c r="A947" t="n">
        <v>940</v>
      </c>
      <c r="B947">
        <f>B946+0.1</f>
        <v/>
      </c>
      <c r="C947">
        <f>A947/10</f>
        <v/>
      </c>
      <c r="D947">
        <f>B947=C947</f>
        <v/>
      </c>
      <c r="E947">
        <f>INT(B947*10)=A947</f>
        <v/>
      </c>
      <c r="F947">
        <f>B947&gt;=C947</f>
        <v/>
      </c>
      <c r="G947">
        <f>ROUND(G946+0.1,1)</f>
        <v/>
      </c>
      <c r="H947">
        <f>G947=C947</f>
        <v/>
      </c>
      <c r="I947">
        <f>TEXT(B947,"0.00000000000000")</f>
        <v/>
      </c>
    </row>
    <row r="948">
      <c r="A948" t="n">
        <v>941</v>
      </c>
      <c r="B948">
        <f>B947+0.1</f>
        <v/>
      </c>
      <c r="C948">
        <f>A948/10</f>
        <v/>
      </c>
      <c r="D948">
        <f>B948=C948</f>
        <v/>
      </c>
      <c r="E948">
        <f>INT(B948*10)=A948</f>
        <v/>
      </c>
      <c r="F948">
        <f>B948&gt;=C948</f>
        <v/>
      </c>
      <c r="G948">
        <f>ROUND(G947+0.1,1)</f>
        <v/>
      </c>
      <c r="H948">
        <f>G948=C948</f>
        <v/>
      </c>
      <c r="I948">
        <f>TEXT(B948,"0.00000000000000")</f>
        <v/>
      </c>
    </row>
    <row r="949">
      <c r="A949" t="n">
        <v>942</v>
      </c>
      <c r="B949">
        <f>B948+0.1</f>
        <v/>
      </c>
      <c r="C949">
        <f>A949/10</f>
        <v/>
      </c>
      <c r="D949">
        <f>B949=C949</f>
        <v/>
      </c>
      <c r="E949">
        <f>INT(B949*10)=A949</f>
        <v/>
      </c>
      <c r="F949">
        <f>B949&gt;=C949</f>
        <v/>
      </c>
      <c r="G949">
        <f>ROUND(G948+0.1,1)</f>
        <v/>
      </c>
      <c r="H949">
        <f>G949=C949</f>
        <v/>
      </c>
      <c r="I949">
        <f>TEXT(B949,"0.00000000000000")</f>
        <v/>
      </c>
    </row>
    <row r="950">
      <c r="A950" t="n">
        <v>943</v>
      </c>
      <c r="B950">
        <f>B949+0.1</f>
        <v/>
      </c>
      <c r="C950">
        <f>A950/10</f>
        <v/>
      </c>
      <c r="D950">
        <f>B950=C950</f>
        <v/>
      </c>
      <c r="E950">
        <f>INT(B950*10)=A950</f>
        <v/>
      </c>
      <c r="F950">
        <f>B950&gt;=C950</f>
        <v/>
      </c>
      <c r="G950">
        <f>ROUND(G949+0.1,1)</f>
        <v/>
      </c>
      <c r="H950">
        <f>G950=C950</f>
        <v/>
      </c>
      <c r="I950">
        <f>TEXT(B950,"0.00000000000000")</f>
        <v/>
      </c>
    </row>
    <row r="951">
      <c r="A951" t="n">
        <v>944</v>
      </c>
      <c r="B951">
        <f>B950+0.1</f>
        <v/>
      </c>
      <c r="C951">
        <f>A951/10</f>
        <v/>
      </c>
      <c r="D951">
        <f>B951=C951</f>
        <v/>
      </c>
      <c r="E951">
        <f>INT(B951*10)=A951</f>
        <v/>
      </c>
      <c r="F951">
        <f>B951&gt;=C951</f>
        <v/>
      </c>
      <c r="G951">
        <f>ROUND(G950+0.1,1)</f>
        <v/>
      </c>
      <c r="H951">
        <f>G951=C951</f>
        <v/>
      </c>
      <c r="I951">
        <f>TEXT(B951,"0.00000000000000")</f>
        <v/>
      </c>
    </row>
    <row r="952">
      <c r="A952" t="n">
        <v>945</v>
      </c>
      <c r="B952">
        <f>B951+0.1</f>
        <v/>
      </c>
      <c r="C952">
        <f>A952/10</f>
        <v/>
      </c>
      <c r="D952">
        <f>B952=C952</f>
        <v/>
      </c>
      <c r="E952">
        <f>INT(B952*10)=A952</f>
        <v/>
      </c>
      <c r="F952">
        <f>B952&gt;=C952</f>
        <v/>
      </c>
      <c r="G952">
        <f>ROUND(G951+0.1,1)</f>
        <v/>
      </c>
      <c r="H952">
        <f>G952=C952</f>
        <v/>
      </c>
      <c r="I952">
        <f>TEXT(B952,"0.00000000000000")</f>
        <v/>
      </c>
    </row>
    <row r="953">
      <c r="A953" t="n">
        <v>946</v>
      </c>
      <c r="B953">
        <f>B952+0.1</f>
        <v/>
      </c>
      <c r="C953">
        <f>A953/10</f>
        <v/>
      </c>
      <c r="D953">
        <f>B953=C953</f>
        <v/>
      </c>
      <c r="E953">
        <f>INT(B953*10)=A953</f>
        <v/>
      </c>
      <c r="F953">
        <f>B953&gt;=C953</f>
        <v/>
      </c>
      <c r="G953">
        <f>ROUND(G952+0.1,1)</f>
        <v/>
      </c>
      <c r="H953">
        <f>G953=C953</f>
        <v/>
      </c>
      <c r="I953">
        <f>TEXT(B953,"0.00000000000000")</f>
        <v/>
      </c>
    </row>
    <row r="954">
      <c r="A954" t="n">
        <v>947</v>
      </c>
      <c r="B954">
        <f>B953+0.1</f>
        <v/>
      </c>
      <c r="C954">
        <f>A954/10</f>
        <v/>
      </c>
      <c r="D954">
        <f>B954=C954</f>
        <v/>
      </c>
      <c r="E954">
        <f>INT(B954*10)=A954</f>
        <v/>
      </c>
      <c r="F954">
        <f>B954&gt;=C954</f>
        <v/>
      </c>
      <c r="G954">
        <f>ROUND(G953+0.1,1)</f>
        <v/>
      </c>
      <c r="H954">
        <f>G954=C954</f>
        <v/>
      </c>
      <c r="I954">
        <f>TEXT(B954,"0.00000000000000")</f>
        <v/>
      </c>
    </row>
    <row r="955">
      <c r="A955" t="n">
        <v>948</v>
      </c>
      <c r="B955">
        <f>B954+0.1</f>
        <v/>
      </c>
      <c r="C955">
        <f>A955/10</f>
        <v/>
      </c>
      <c r="D955">
        <f>B955=C955</f>
        <v/>
      </c>
      <c r="E955">
        <f>INT(B955*10)=A955</f>
        <v/>
      </c>
      <c r="F955">
        <f>B955&gt;=C955</f>
        <v/>
      </c>
      <c r="G955">
        <f>ROUND(G954+0.1,1)</f>
        <v/>
      </c>
      <c r="H955">
        <f>G955=C955</f>
        <v/>
      </c>
      <c r="I955">
        <f>TEXT(B955,"0.00000000000000")</f>
        <v/>
      </c>
    </row>
    <row r="956">
      <c r="A956" t="n">
        <v>949</v>
      </c>
      <c r="B956">
        <f>B955+0.1</f>
        <v/>
      </c>
      <c r="C956">
        <f>A956/10</f>
        <v/>
      </c>
      <c r="D956">
        <f>B956=C956</f>
        <v/>
      </c>
      <c r="E956">
        <f>INT(B956*10)=A956</f>
        <v/>
      </c>
      <c r="F956">
        <f>B956&gt;=C956</f>
        <v/>
      </c>
      <c r="G956">
        <f>ROUND(G955+0.1,1)</f>
        <v/>
      </c>
      <c r="H956">
        <f>G956=C956</f>
        <v/>
      </c>
      <c r="I956">
        <f>TEXT(B956,"0.00000000000000")</f>
        <v/>
      </c>
    </row>
    <row r="957">
      <c r="A957" t="n">
        <v>950</v>
      </c>
      <c r="B957">
        <f>B956+0.1</f>
        <v/>
      </c>
      <c r="C957">
        <f>A957/10</f>
        <v/>
      </c>
      <c r="D957">
        <f>B957=C957</f>
        <v/>
      </c>
      <c r="E957">
        <f>INT(B957*10)=A957</f>
        <v/>
      </c>
      <c r="F957">
        <f>B957&gt;=C957</f>
        <v/>
      </c>
      <c r="G957">
        <f>ROUND(G956+0.1,1)</f>
        <v/>
      </c>
      <c r="H957">
        <f>G957=C957</f>
        <v/>
      </c>
      <c r="I957">
        <f>TEXT(B957,"0.00000000000000")</f>
        <v/>
      </c>
    </row>
    <row r="958">
      <c r="A958" t="n">
        <v>951</v>
      </c>
      <c r="B958">
        <f>B957+0.1</f>
        <v/>
      </c>
      <c r="C958">
        <f>A958/10</f>
        <v/>
      </c>
      <c r="D958">
        <f>B958=C958</f>
        <v/>
      </c>
      <c r="E958">
        <f>INT(B958*10)=A958</f>
        <v/>
      </c>
      <c r="F958">
        <f>B958&gt;=C958</f>
        <v/>
      </c>
      <c r="G958">
        <f>ROUND(G957+0.1,1)</f>
        <v/>
      </c>
      <c r="H958">
        <f>G958=C958</f>
        <v/>
      </c>
      <c r="I958">
        <f>TEXT(B958,"0.00000000000000")</f>
        <v/>
      </c>
    </row>
    <row r="959">
      <c r="A959" t="n">
        <v>952</v>
      </c>
      <c r="B959">
        <f>B958+0.1</f>
        <v/>
      </c>
      <c r="C959">
        <f>A959/10</f>
        <v/>
      </c>
      <c r="D959">
        <f>B959=C959</f>
        <v/>
      </c>
      <c r="E959">
        <f>INT(B959*10)=A959</f>
        <v/>
      </c>
      <c r="F959">
        <f>B959&gt;=C959</f>
        <v/>
      </c>
      <c r="G959">
        <f>ROUND(G958+0.1,1)</f>
        <v/>
      </c>
      <c r="H959">
        <f>G959=C959</f>
        <v/>
      </c>
      <c r="I959">
        <f>TEXT(B959,"0.00000000000000")</f>
        <v/>
      </c>
    </row>
    <row r="960">
      <c r="A960" t="n">
        <v>953</v>
      </c>
      <c r="B960">
        <f>B959+0.1</f>
        <v/>
      </c>
      <c r="C960">
        <f>A960/10</f>
        <v/>
      </c>
      <c r="D960">
        <f>B960=C960</f>
        <v/>
      </c>
      <c r="E960">
        <f>INT(B960*10)=A960</f>
        <v/>
      </c>
      <c r="F960">
        <f>B960&gt;=C960</f>
        <v/>
      </c>
      <c r="G960">
        <f>ROUND(G959+0.1,1)</f>
        <v/>
      </c>
      <c r="H960">
        <f>G960=C960</f>
        <v/>
      </c>
      <c r="I960">
        <f>TEXT(B960,"0.00000000000000")</f>
        <v/>
      </c>
    </row>
    <row r="961">
      <c r="A961" t="n">
        <v>954</v>
      </c>
      <c r="B961">
        <f>B960+0.1</f>
        <v/>
      </c>
      <c r="C961">
        <f>A961/10</f>
        <v/>
      </c>
      <c r="D961">
        <f>B961=C961</f>
        <v/>
      </c>
      <c r="E961">
        <f>INT(B961*10)=A961</f>
        <v/>
      </c>
      <c r="F961">
        <f>B961&gt;=C961</f>
        <v/>
      </c>
      <c r="G961">
        <f>ROUND(G960+0.1,1)</f>
        <v/>
      </c>
      <c r="H961">
        <f>G961=C961</f>
        <v/>
      </c>
      <c r="I961">
        <f>TEXT(B961,"0.00000000000000")</f>
        <v/>
      </c>
    </row>
    <row r="962">
      <c r="A962" t="n">
        <v>955</v>
      </c>
      <c r="B962">
        <f>B961+0.1</f>
        <v/>
      </c>
      <c r="C962">
        <f>A962/10</f>
        <v/>
      </c>
      <c r="D962">
        <f>B962=C962</f>
        <v/>
      </c>
      <c r="E962">
        <f>INT(B962*10)=A962</f>
        <v/>
      </c>
      <c r="F962">
        <f>B962&gt;=C962</f>
        <v/>
      </c>
      <c r="G962">
        <f>ROUND(G961+0.1,1)</f>
        <v/>
      </c>
      <c r="H962">
        <f>G962=C962</f>
        <v/>
      </c>
      <c r="I962">
        <f>TEXT(B962,"0.00000000000000")</f>
        <v/>
      </c>
    </row>
    <row r="963">
      <c r="A963" t="n">
        <v>956</v>
      </c>
      <c r="B963">
        <f>B962+0.1</f>
        <v/>
      </c>
      <c r="C963">
        <f>A963/10</f>
        <v/>
      </c>
      <c r="D963">
        <f>B963=C963</f>
        <v/>
      </c>
      <c r="E963">
        <f>INT(B963*10)=A963</f>
        <v/>
      </c>
      <c r="F963">
        <f>B963&gt;=C963</f>
        <v/>
      </c>
      <c r="G963">
        <f>ROUND(G962+0.1,1)</f>
        <v/>
      </c>
      <c r="H963">
        <f>G963=C963</f>
        <v/>
      </c>
      <c r="I963">
        <f>TEXT(B963,"0.00000000000000")</f>
        <v/>
      </c>
    </row>
    <row r="964">
      <c r="A964" t="n">
        <v>957</v>
      </c>
      <c r="B964">
        <f>B963+0.1</f>
        <v/>
      </c>
      <c r="C964">
        <f>A964/10</f>
        <v/>
      </c>
      <c r="D964">
        <f>B964=C964</f>
        <v/>
      </c>
      <c r="E964">
        <f>INT(B964*10)=A964</f>
        <v/>
      </c>
      <c r="F964">
        <f>B964&gt;=C964</f>
        <v/>
      </c>
      <c r="G964">
        <f>ROUND(G963+0.1,1)</f>
        <v/>
      </c>
      <c r="H964">
        <f>G964=C964</f>
        <v/>
      </c>
      <c r="I964">
        <f>TEXT(B964,"0.00000000000000")</f>
        <v/>
      </c>
    </row>
    <row r="965">
      <c r="A965" t="n">
        <v>958</v>
      </c>
      <c r="B965">
        <f>B964+0.1</f>
        <v/>
      </c>
      <c r="C965">
        <f>A965/10</f>
        <v/>
      </c>
      <c r="D965">
        <f>B965=C965</f>
        <v/>
      </c>
      <c r="E965">
        <f>INT(B965*10)=A965</f>
        <v/>
      </c>
      <c r="F965">
        <f>B965&gt;=C965</f>
        <v/>
      </c>
      <c r="G965">
        <f>ROUND(G964+0.1,1)</f>
        <v/>
      </c>
      <c r="H965">
        <f>G965=C965</f>
        <v/>
      </c>
      <c r="I965">
        <f>TEXT(B965,"0.00000000000000")</f>
        <v/>
      </c>
    </row>
    <row r="966">
      <c r="A966" t="n">
        <v>959</v>
      </c>
      <c r="B966">
        <f>B965+0.1</f>
        <v/>
      </c>
      <c r="C966">
        <f>A966/10</f>
        <v/>
      </c>
      <c r="D966">
        <f>B966=C966</f>
        <v/>
      </c>
      <c r="E966">
        <f>INT(B966*10)=A966</f>
        <v/>
      </c>
      <c r="F966">
        <f>B966&gt;=C966</f>
        <v/>
      </c>
      <c r="G966">
        <f>ROUND(G965+0.1,1)</f>
        <v/>
      </c>
      <c r="H966">
        <f>G966=C966</f>
        <v/>
      </c>
      <c r="I966">
        <f>TEXT(B966,"0.00000000000000")</f>
        <v/>
      </c>
    </row>
    <row r="967">
      <c r="A967" t="n">
        <v>960</v>
      </c>
      <c r="B967">
        <f>B966+0.1</f>
        <v/>
      </c>
      <c r="C967">
        <f>A967/10</f>
        <v/>
      </c>
      <c r="D967">
        <f>B967=C967</f>
        <v/>
      </c>
      <c r="E967">
        <f>INT(B967*10)=A967</f>
        <v/>
      </c>
      <c r="F967">
        <f>B967&gt;=C967</f>
        <v/>
      </c>
      <c r="G967">
        <f>ROUND(G966+0.1,1)</f>
        <v/>
      </c>
      <c r="H967">
        <f>G967=C967</f>
        <v/>
      </c>
      <c r="I967">
        <f>TEXT(B967,"0.00000000000000")</f>
        <v/>
      </c>
    </row>
    <row r="968">
      <c r="A968" t="n">
        <v>961</v>
      </c>
      <c r="B968">
        <f>B967+0.1</f>
        <v/>
      </c>
      <c r="C968">
        <f>A968/10</f>
        <v/>
      </c>
      <c r="D968">
        <f>B968=C968</f>
        <v/>
      </c>
      <c r="E968">
        <f>INT(B968*10)=A968</f>
        <v/>
      </c>
      <c r="F968">
        <f>B968&gt;=C968</f>
        <v/>
      </c>
      <c r="G968">
        <f>ROUND(G967+0.1,1)</f>
        <v/>
      </c>
      <c r="H968">
        <f>G968=C968</f>
        <v/>
      </c>
      <c r="I968">
        <f>TEXT(B968,"0.00000000000000")</f>
        <v/>
      </c>
    </row>
    <row r="969">
      <c r="A969" t="n">
        <v>962</v>
      </c>
      <c r="B969">
        <f>B968+0.1</f>
        <v/>
      </c>
      <c r="C969">
        <f>A969/10</f>
        <v/>
      </c>
      <c r="D969">
        <f>B969=C969</f>
        <v/>
      </c>
      <c r="E969">
        <f>INT(B969*10)=A969</f>
        <v/>
      </c>
      <c r="F969">
        <f>B969&gt;=C969</f>
        <v/>
      </c>
      <c r="G969">
        <f>ROUND(G968+0.1,1)</f>
        <v/>
      </c>
      <c r="H969">
        <f>G969=C969</f>
        <v/>
      </c>
      <c r="I969">
        <f>TEXT(B969,"0.00000000000000")</f>
        <v/>
      </c>
    </row>
    <row r="970">
      <c r="A970" t="n">
        <v>963</v>
      </c>
      <c r="B970">
        <f>B969+0.1</f>
        <v/>
      </c>
      <c r="C970">
        <f>A970/10</f>
        <v/>
      </c>
      <c r="D970">
        <f>B970=C970</f>
        <v/>
      </c>
      <c r="E970">
        <f>INT(B970*10)=A970</f>
        <v/>
      </c>
      <c r="F970">
        <f>B970&gt;=C970</f>
        <v/>
      </c>
      <c r="G970">
        <f>ROUND(G969+0.1,1)</f>
        <v/>
      </c>
      <c r="H970">
        <f>G970=C970</f>
        <v/>
      </c>
      <c r="I970">
        <f>TEXT(B970,"0.00000000000000")</f>
        <v/>
      </c>
    </row>
    <row r="971">
      <c r="A971" t="n">
        <v>964</v>
      </c>
      <c r="B971">
        <f>B970+0.1</f>
        <v/>
      </c>
      <c r="C971">
        <f>A971/10</f>
        <v/>
      </c>
      <c r="D971">
        <f>B971=C971</f>
        <v/>
      </c>
      <c r="E971">
        <f>INT(B971*10)=A971</f>
        <v/>
      </c>
      <c r="F971">
        <f>B971&gt;=C971</f>
        <v/>
      </c>
      <c r="G971">
        <f>ROUND(G970+0.1,1)</f>
        <v/>
      </c>
      <c r="H971">
        <f>G971=C971</f>
        <v/>
      </c>
      <c r="I971">
        <f>TEXT(B971,"0.00000000000000")</f>
        <v/>
      </c>
    </row>
    <row r="972">
      <c r="A972" t="n">
        <v>965</v>
      </c>
      <c r="B972">
        <f>B971+0.1</f>
        <v/>
      </c>
      <c r="C972">
        <f>A972/10</f>
        <v/>
      </c>
      <c r="D972">
        <f>B972=C972</f>
        <v/>
      </c>
      <c r="E972">
        <f>INT(B972*10)=A972</f>
        <v/>
      </c>
      <c r="F972">
        <f>B972&gt;=C972</f>
        <v/>
      </c>
      <c r="G972">
        <f>ROUND(G971+0.1,1)</f>
        <v/>
      </c>
      <c r="H972">
        <f>G972=C972</f>
        <v/>
      </c>
      <c r="I972">
        <f>TEXT(B972,"0.00000000000000")</f>
        <v/>
      </c>
    </row>
    <row r="973">
      <c r="A973" t="n">
        <v>966</v>
      </c>
      <c r="B973">
        <f>B972+0.1</f>
        <v/>
      </c>
      <c r="C973">
        <f>A973/10</f>
        <v/>
      </c>
      <c r="D973">
        <f>B973=C973</f>
        <v/>
      </c>
      <c r="E973">
        <f>INT(B973*10)=A973</f>
        <v/>
      </c>
      <c r="F973">
        <f>B973&gt;=C973</f>
        <v/>
      </c>
      <c r="G973">
        <f>ROUND(G972+0.1,1)</f>
        <v/>
      </c>
      <c r="H973">
        <f>G973=C973</f>
        <v/>
      </c>
      <c r="I973">
        <f>TEXT(B973,"0.00000000000000")</f>
        <v/>
      </c>
    </row>
    <row r="974">
      <c r="A974" t="n">
        <v>967</v>
      </c>
      <c r="B974">
        <f>B973+0.1</f>
        <v/>
      </c>
      <c r="C974">
        <f>A974/10</f>
        <v/>
      </c>
      <c r="D974">
        <f>B974=C974</f>
        <v/>
      </c>
      <c r="E974">
        <f>INT(B974*10)=A974</f>
        <v/>
      </c>
      <c r="F974">
        <f>B974&gt;=C974</f>
        <v/>
      </c>
      <c r="G974">
        <f>ROUND(G973+0.1,1)</f>
        <v/>
      </c>
      <c r="H974">
        <f>G974=C974</f>
        <v/>
      </c>
      <c r="I974">
        <f>TEXT(B974,"0.00000000000000")</f>
        <v/>
      </c>
    </row>
    <row r="975">
      <c r="A975" t="n">
        <v>968</v>
      </c>
      <c r="B975">
        <f>B974+0.1</f>
        <v/>
      </c>
      <c r="C975">
        <f>A975/10</f>
        <v/>
      </c>
      <c r="D975">
        <f>B975=C975</f>
        <v/>
      </c>
      <c r="E975">
        <f>INT(B975*10)=A975</f>
        <v/>
      </c>
      <c r="F975">
        <f>B975&gt;=C975</f>
        <v/>
      </c>
      <c r="G975">
        <f>ROUND(G974+0.1,1)</f>
        <v/>
      </c>
      <c r="H975">
        <f>G975=C975</f>
        <v/>
      </c>
      <c r="I975">
        <f>TEXT(B975,"0.00000000000000")</f>
        <v/>
      </c>
    </row>
    <row r="976">
      <c r="A976" t="n">
        <v>969</v>
      </c>
      <c r="B976">
        <f>B975+0.1</f>
        <v/>
      </c>
      <c r="C976">
        <f>A976/10</f>
        <v/>
      </c>
      <c r="D976">
        <f>B976=C976</f>
        <v/>
      </c>
      <c r="E976">
        <f>INT(B976*10)=A976</f>
        <v/>
      </c>
      <c r="F976">
        <f>B976&gt;=C976</f>
        <v/>
      </c>
      <c r="G976">
        <f>ROUND(G975+0.1,1)</f>
        <v/>
      </c>
      <c r="H976">
        <f>G976=C976</f>
        <v/>
      </c>
      <c r="I976">
        <f>TEXT(B976,"0.00000000000000")</f>
        <v/>
      </c>
    </row>
    <row r="977">
      <c r="A977" t="n">
        <v>970</v>
      </c>
      <c r="B977">
        <f>B976+0.1</f>
        <v/>
      </c>
      <c r="C977">
        <f>A977/10</f>
        <v/>
      </c>
      <c r="D977">
        <f>B977=C977</f>
        <v/>
      </c>
      <c r="E977">
        <f>INT(B977*10)=A977</f>
        <v/>
      </c>
      <c r="F977">
        <f>B977&gt;=C977</f>
        <v/>
      </c>
      <c r="G977">
        <f>ROUND(G976+0.1,1)</f>
        <v/>
      </c>
      <c r="H977">
        <f>G977=C977</f>
        <v/>
      </c>
      <c r="I977">
        <f>TEXT(B977,"0.00000000000000")</f>
        <v/>
      </c>
    </row>
    <row r="978">
      <c r="A978" t="n">
        <v>971</v>
      </c>
      <c r="B978">
        <f>B977+0.1</f>
        <v/>
      </c>
      <c r="C978">
        <f>A978/10</f>
        <v/>
      </c>
      <c r="D978">
        <f>B978=C978</f>
        <v/>
      </c>
      <c r="E978">
        <f>INT(B978*10)=A978</f>
        <v/>
      </c>
      <c r="F978">
        <f>B978&gt;=C978</f>
        <v/>
      </c>
      <c r="G978">
        <f>ROUND(G977+0.1,1)</f>
        <v/>
      </c>
      <c r="H978">
        <f>G978=C978</f>
        <v/>
      </c>
      <c r="I978">
        <f>TEXT(B978,"0.00000000000000")</f>
        <v/>
      </c>
    </row>
    <row r="979">
      <c r="A979" t="n">
        <v>972</v>
      </c>
      <c r="B979">
        <f>B978+0.1</f>
        <v/>
      </c>
      <c r="C979">
        <f>A979/10</f>
        <v/>
      </c>
      <c r="D979">
        <f>B979=C979</f>
        <v/>
      </c>
      <c r="E979">
        <f>INT(B979*10)=A979</f>
        <v/>
      </c>
      <c r="F979">
        <f>B979&gt;=C979</f>
        <v/>
      </c>
      <c r="G979">
        <f>ROUND(G978+0.1,1)</f>
        <v/>
      </c>
      <c r="H979">
        <f>G979=C979</f>
        <v/>
      </c>
      <c r="I979">
        <f>TEXT(B979,"0.00000000000000")</f>
        <v/>
      </c>
    </row>
    <row r="980">
      <c r="A980" t="n">
        <v>973</v>
      </c>
      <c r="B980">
        <f>B979+0.1</f>
        <v/>
      </c>
      <c r="C980">
        <f>A980/10</f>
        <v/>
      </c>
      <c r="D980">
        <f>B980=C980</f>
        <v/>
      </c>
      <c r="E980">
        <f>INT(B980*10)=A980</f>
        <v/>
      </c>
      <c r="F980">
        <f>B980&gt;=C980</f>
        <v/>
      </c>
      <c r="G980">
        <f>ROUND(G979+0.1,1)</f>
        <v/>
      </c>
      <c r="H980">
        <f>G980=C980</f>
        <v/>
      </c>
      <c r="I980">
        <f>TEXT(B980,"0.00000000000000")</f>
        <v/>
      </c>
    </row>
    <row r="981">
      <c r="A981" t="n">
        <v>974</v>
      </c>
      <c r="B981">
        <f>B980+0.1</f>
        <v/>
      </c>
      <c r="C981">
        <f>A981/10</f>
        <v/>
      </c>
      <c r="D981">
        <f>B981=C981</f>
        <v/>
      </c>
      <c r="E981">
        <f>INT(B981*10)=A981</f>
        <v/>
      </c>
      <c r="F981">
        <f>B981&gt;=C981</f>
        <v/>
      </c>
      <c r="G981">
        <f>ROUND(G980+0.1,1)</f>
        <v/>
      </c>
      <c r="H981">
        <f>G981=C981</f>
        <v/>
      </c>
      <c r="I981">
        <f>TEXT(B981,"0.00000000000000")</f>
        <v/>
      </c>
    </row>
    <row r="982">
      <c r="A982" t="n">
        <v>975</v>
      </c>
      <c r="B982">
        <f>B981+0.1</f>
        <v/>
      </c>
      <c r="C982">
        <f>A982/10</f>
        <v/>
      </c>
      <c r="D982">
        <f>B982=C982</f>
        <v/>
      </c>
      <c r="E982">
        <f>INT(B982*10)=A982</f>
        <v/>
      </c>
      <c r="F982">
        <f>B982&gt;=C982</f>
        <v/>
      </c>
      <c r="G982">
        <f>ROUND(G981+0.1,1)</f>
        <v/>
      </c>
      <c r="H982">
        <f>G982=C982</f>
        <v/>
      </c>
      <c r="I982">
        <f>TEXT(B982,"0.00000000000000")</f>
        <v/>
      </c>
    </row>
    <row r="983">
      <c r="A983" t="n">
        <v>976</v>
      </c>
      <c r="B983">
        <f>B982+0.1</f>
        <v/>
      </c>
      <c r="C983">
        <f>A983/10</f>
        <v/>
      </c>
      <c r="D983">
        <f>B983=C983</f>
        <v/>
      </c>
      <c r="E983">
        <f>INT(B983*10)=A983</f>
        <v/>
      </c>
      <c r="F983">
        <f>B983&gt;=C983</f>
        <v/>
      </c>
      <c r="G983">
        <f>ROUND(G982+0.1,1)</f>
        <v/>
      </c>
      <c r="H983">
        <f>G983=C983</f>
        <v/>
      </c>
      <c r="I983">
        <f>TEXT(B983,"0.00000000000000")</f>
        <v/>
      </c>
    </row>
    <row r="984">
      <c r="A984" t="n">
        <v>977</v>
      </c>
      <c r="B984">
        <f>B983+0.1</f>
        <v/>
      </c>
      <c r="C984">
        <f>A984/10</f>
        <v/>
      </c>
      <c r="D984">
        <f>B984=C984</f>
        <v/>
      </c>
      <c r="E984">
        <f>INT(B984*10)=A984</f>
        <v/>
      </c>
      <c r="F984">
        <f>B984&gt;=C984</f>
        <v/>
      </c>
      <c r="G984">
        <f>ROUND(G983+0.1,1)</f>
        <v/>
      </c>
      <c r="H984">
        <f>G984=C984</f>
        <v/>
      </c>
      <c r="I984">
        <f>TEXT(B984,"0.00000000000000")</f>
        <v/>
      </c>
    </row>
    <row r="985">
      <c r="A985" t="n">
        <v>978</v>
      </c>
      <c r="B985">
        <f>B984+0.1</f>
        <v/>
      </c>
      <c r="C985">
        <f>A985/10</f>
        <v/>
      </c>
      <c r="D985">
        <f>B985=C985</f>
        <v/>
      </c>
      <c r="E985">
        <f>INT(B985*10)=A985</f>
        <v/>
      </c>
      <c r="F985">
        <f>B985&gt;=C985</f>
        <v/>
      </c>
      <c r="G985">
        <f>ROUND(G984+0.1,1)</f>
        <v/>
      </c>
      <c r="H985">
        <f>G985=C985</f>
        <v/>
      </c>
      <c r="I985">
        <f>TEXT(B985,"0.00000000000000")</f>
        <v/>
      </c>
    </row>
    <row r="986">
      <c r="A986" t="n">
        <v>979</v>
      </c>
      <c r="B986">
        <f>B985+0.1</f>
        <v/>
      </c>
      <c r="C986">
        <f>A986/10</f>
        <v/>
      </c>
      <c r="D986">
        <f>B986=C986</f>
        <v/>
      </c>
      <c r="E986">
        <f>INT(B986*10)=A986</f>
        <v/>
      </c>
      <c r="F986">
        <f>B986&gt;=C986</f>
        <v/>
      </c>
      <c r="G986">
        <f>ROUND(G985+0.1,1)</f>
        <v/>
      </c>
      <c r="H986">
        <f>G986=C986</f>
        <v/>
      </c>
      <c r="I986">
        <f>TEXT(B986,"0.00000000000000")</f>
        <v/>
      </c>
    </row>
    <row r="987">
      <c r="A987" t="n">
        <v>980</v>
      </c>
      <c r="B987">
        <f>B986+0.1</f>
        <v/>
      </c>
      <c r="C987">
        <f>A987/10</f>
        <v/>
      </c>
      <c r="D987">
        <f>B987=C987</f>
        <v/>
      </c>
      <c r="E987">
        <f>INT(B987*10)=A987</f>
        <v/>
      </c>
      <c r="F987">
        <f>B987&gt;=C987</f>
        <v/>
      </c>
      <c r="G987">
        <f>ROUND(G986+0.1,1)</f>
        <v/>
      </c>
      <c r="H987">
        <f>G987=C987</f>
        <v/>
      </c>
      <c r="I987">
        <f>TEXT(B987,"0.00000000000000")</f>
        <v/>
      </c>
    </row>
    <row r="988">
      <c r="A988" t="n">
        <v>981</v>
      </c>
      <c r="B988">
        <f>B987+0.1</f>
        <v/>
      </c>
      <c r="C988">
        <f>A988/10</f>
        <v/>
      </c>
      <c r="D988">
        <f>B988=C988</f>
        <v/>
      </c>
      <c r="E988">
        <f>INT(B988*10)=A988</f>
        <v/>
      </c>
      <c r="F988">
        <f>B988&gt;=C988</f>
        <v/>
      </c>
      <c r="G988">
        <f>ROUND(G987+0.1,1)</f>
        <v/>
      </c>
      <c r="H988">
        <f>G988=C988</f>
        <v/>
      </c>
      <c r="I988">
        <f>TEXT(B988,"0.00000000000000")</f>
        <v/>
      </c>
    </row>
    <row r="989">
      <c r="A989" t="n">
        <v>982</v>
      </c>
      <c r="B989">
        <f>B988+0.1</f>
        <v/>
      </c>
      <c r="C989">
        <f>A989/10</f>
        <v/>
      </c>
      <c r="D989">
        <f>B989=C989</f>
        <v/>
      </c>
      <c r="E989">
        <f>INT(B989*10)=A989</f>
        <v/>
      </c>
      <c r="F989">
        <f>B989&gt;=C989</f>
        <v/>
      </c>
      <c r="G989">
        <f>ROUND(G988+0.1,1)</f>
        <v/>
      </c>
      <c r="H989">
        <f>G989=C989</f>
        <v/>
      </c>
      <c r="I989">
        <f>TEXT(B989,"0.00000000000000")</f>
        <v/>
      </c>
    </row>
    <row r="990">
      <c r="A990" t="n">
        <v>983</v>
      </c>
      <c r="B990">
        <f>B989+0.1</f>
        <v/>
      </c>
      <c r="C990">
        <f>A990/10</f>
        <v/>
      </c>
      <c r="D990">
        <f>B990=C990</f>
        <v/>
      </c>
      <c r="E990">
        <f>INT(B990*10)=A990</f>
        <v/>
      </c>
      <c r="F990">
        <f>B990&gt;=C990</f>
        <v/>
      </c>
      <c r="G990">
        <f>ROUND(G989+0.1,1)</f>
        <v/>
      </c>
      <c r="H990">
        <f>G990=C990</f>
        <v/>
      </c>
      <c r="I990">
        <f>TEXT(B990,"0.00000000000000")</f>
        <v/>
      </c>
    </row>
    <row r="991">
      <c r="A991" t="n">
        <v>984</v>
      </c>
      <c r="B991">
        <f>B990+0.1</f>
        <v/>
      </c>
      <c r="C991">
        <f>A991/10</f>
        <v/>
      </c>
      <c r="D991">
        <f>B991=C991</f>
        <v/>
      </c>
      <c r="E991">
        <f>INT(B991*10)=A991</f>
        <v/>
      </c>
      <c r="F991">
        <f>B991&gt;=C991</f>
        <v/>
      </c>
      <c r="G991">
        <f>ROUND(G990+0.1,1)</f>
        <v/>
      </c>
      <c r="H991">
        <f>G991=C991</f>
        <v/>
      </c>
      <c r="I991">
        <f>TEXT(B991,"0.00000000000000")</f>
        <v/>
      </c>
    </row>
    <row r="992">
      <c r="A992" t="n">
        <v>985</v>
      </c>
      <c r="B992">
        <f>B991+0.1</f>
        <v/>
      </c>
      <c r="C992">
        <f>A992/10</f>
        <v/>
      </c>
      <c r="D992">
        <f>B992=C992</f>
        <v/>
      </c>
      <c r="E992">
        <f>INT(B992*10)=A992</f>
        <v/>
      </c>
      <c r="F992">
        <f>B992&gt;=C992</f>
        <v/>
      </c>
      <c r="G992">
        <f>ROUND(G991+0.1,1)</f>
        <v/>
      </c>
      <c r="H992">
        <f>G992=C992</f>
        <v/>
      </c>
      <c r="I992">
        <f>TEXT(B992,"0.00000000000000")</f>
        <v/>
      </c>
    </row>
    <row r="993">
      <c r="A993" t="n">
        <v>986</v>
      </c>
      <c r="B993">
        <f>B992+0.1</f>
        <v/>
      </c>
      <c r="C993">
        <f>A993/10</f>
        <v/>
      </c>
      <c r="D993">
        <f>B993=C993</f>
        <v/>
      </c>
      <c r="E993">
        <f>INT(B993*10)=A993</f>
        <v/>
      </c>
      <c r="F993">
        <f>B993&gt;=C993</f>
        <v/>
      </c>
      <c r="G993">
        <f>ROUND(G992+0.1,1)</f>
        <v/>
      </c>
      <c r="H993">
        <f>G993=C993</f>
        <v/>
      </c>
      <c r="I993">
        <f>TEXT(B993,"0.00000000000000")</f>
        <v/>
      </c>
    </row>
    <row r="994">
      <c r="A994" t="n">
        <v>987</v>
      </c>
      <c r="B994">
        <f>B993+0.1</f>
        <v/>
      </c>
      <c r="C994">
        <f>A994/10</f>
        <v/>
      </c>
      <c r="D994">
        <f>B994=C994</f>
        <v/>
      </c>
      <c r="E994">
        <f>INT(B994*10)=A994</f>
        <v/>
      </c>
      <c r="F994">
        <f>B994&gt;=C994</f>
        <v/>
      </c>
      <c r="G994">
        <f>ROUND(G993+0.1,1)</f>
        <v/>
      </c>
      <c r="H994">
        <f>G994=C994</f>
        <v/>
      </c>
      <c r="I994">
        <f>TEXT(B994,"0.00000000000000")</f>
        <v/>
      </c>
    </row>
    <row r="995">
      <c r="A995" t="n">
        <v>988</v>
      </c>
      <c r="B995">
        <f>B994+0.1</f>
        <v/>
      </c>
      <c r="C995">
        <f>A995/10</f>
        <v/>
      </c>
      <c r="D995">
        <f>B995=C995</f>
        <v/>
      </c>
      <c r="E995">
        <f>INT(B995*10)=A995</f>
        <v/>
      </c>
      <c r="F995">
        <f>B995&gt;=C995</f>
        <v/>
      </c>
      <c r="G995">
        <f>ROUND(G994+0.1,1)</f>
        <v/>
      </c>
      <c r="H995">
        <f>G995=C995</f>
        <v/>
      </c>
      <c r="I995">
        <f>TEXT(B995,"0.00000000000000")</f>
        <v/>
      </c>
    </row>
    <row r="996">
      <c r="A996" t="n">
        <v>989</v>
      </c>
      <c r="B996">
        <f>B995+0.1</f>
        <v/>
      </c>
      <c r="C996">
        <f>A996/10</f>
        <v/>
      </c>
      <c r="D996">
        <f>B996=C996</f>
        <v/>
      </c>
      <c r="E996">
        <f>INT(B996*10)=A996</f>
        <v/>
      </c>
      <c r="F996">
        <f>B996&gt;=C996</f>
        <v/>
      </c>
      <c r="G996">
        <f>ROUND(G995+0.1,1)</f>
        <v/>
      </c>
      <c r="H996">
        <f>G996=C996</f>
        <v/>
      </c>
      <c r="I996">
        <f>TEXT(B996,"0.00000000000000")</f>
        <v/>
      </c>
    </row>
    <row r="997">
      <c r="A997" t="n">
        <v>990</v>
      </c>
      <c r="B997">
        <f>B996+0.1</f>
        <v/>
      </c>
      <c r="C997">
        <f>A997/10</f>
        <v/>
      </c>
      <c r="D997">
        <f>B997=C997</f>
        <v/>
      </c>
      <c r="E997">
        <f>INT(B997*10)=A997</f>
        <v/>
      </c>
      <c r="F997">
        <f>B997&gt;=C997</f>
        <v/>
      </c>
      <c r="G997">
        <f>ROUND(G996+0.1,1)</f>
        <v/>
      </c>
      <c r="H997">
        <f>G997=C997</f>
        <v/>
      </c>
      <c r="I997">
        <f>TEXT(B997,"0.00000000000000")</f>
        <v/>
      </c>
    </row>
    <row r="998">
      <c r="A998" t="n">
        <v>991</v>
      </c>
      <c r="B998">
        <f>B997+0.1</f>
        <v/>
      </c>
      <c r="C998">
        <f>A998/10</f>
        <v/>
      </c>
      <c r="D998">
        <f>B998=C998</f>
        <v/>
      </c>
      <c r="E998">
        <f>INT(B998*10)=A998</f>
        <v/>
      </c>
      <c r="F998">
        <f>B998&gt;=C998</f>
        <v/>
      </c>
      <c r="G998">
        <f>ROUND(G997+0.1,1)</f>
        <v/>
      </c>
      <c r="H998">
        <f>G998=C998</f>
        <v/>
      </c>
      <c r="I998">
        <f>TEXT(B998,"0.00000000000000")</f>
        <v/>
      </c>
    </row>
    <row r="999">
      <c r="A999" t="n">
        <v>992</v>
      </c>
      <c r="B999">
        <f>B998+0.1</f>
        <v/>
      </c>
      <c r="C999">
        <f>A999/10</f>
        <v/>
      </c>
      <c r="D999">
        <f>B999=C999</f>
        <v/>
      </c>
      <c r="E999">
        <f>INT(B999*10)=A999</f>
        <v/>
      </c>
      <c r="F999">
        <f>B999&gt;=C999</f>
        <v/>
      </c>
      <c r="G999">
        <f>ROUND(G998+0.1,1)</f>
        <v/>
      </c>
      <c r="H999">
        <f>G999=C999</f>
        <v/>
      </c>
      <c r="I999">
        <f>TEXT(B999,"0.00000000000000")</f>
        <v/>
      </c>
    </row>
    <row r="1000">
      <c r="A1000" t="n">
        <v>993</v>
      </c>
      <c r="B1000">
        <f>B999+0.1</f>
        <v/>
      </c>
      <c r="C1000">
        <f>A1000/10</f>
        <v/>
      </c>
      <c r="D1000">
        <f>B1000=C1000</f>
        <v/>
      </c>
      <c r="E1000">
        <f>INT(B1000*10)=A1000</f>
        <v/>
      </c>
      <c r="F1000">
        <f>B1000&gt;=C1000</f>
        <v/>
      </c>
      <c r="G1000">
        <f>ROUND(G999+0.1,1)</f>
        <v/>
      </c>
      <c r="H1000">
        <f>G1000=C1000</f>
        <v/>
      </c>
      <c r="I1000">
        <f>TEXT(B1000,"0.00000000000000")</f>
        <v/>
      </c>
    </row>
    <row r="1001">
      <c r="A1001" t="n">
        <v>994</v>
      </c>
      <c r="B1001">
        <f>B1000+0.1</f>
        <v/>
      </c>
      <c r="C1001">
        <f>A1001/10</f>
        <v/>
      </c>
      <c r="D1001">
        <f>B1001=C1001</f>
        <v/>
      </c>
      <c r="E1001">
        <f>INT(B1001*10)=A1001</f>
        <v/>
      </c>
      <c r="F1001">
        <f>B1001&gt;=C1001</f>
        <v/>
      </c>
      <c r="G1001">
        <f>ROUND(G1000+0.1,1)</f>
        <v/>
      </c>
      <c r="H1001">
        <f>G1001=C1001</f>
        <v/>
      </c>
      <c r="I1001">
        <f>TEXT(B1001,"0.00000000000000")</f>
        <v/>
      </c>
    </row>
    <row r="1002">
      <c r="A1002" t="n">
        <v>995</v>
      </c>
      <c r="B1002">
        <f>B1001+0.1</f>
        <v/>
      </c>
      <c r="C1002">
        <f>A1002/10</f>
        <v/>
      </c>
      <c r="D1002">
        <f>B1002=C1002</f>
        <v/>
      </c>
      <c r="E1002">
        <f>INT(B1002*10)=A1002</f>
        <v/>
      </c>
      <c r="F1002">
        <f>B1002&gt;=C1002</f>
        <v/>
      </c>
      <c r="G1002">
        <f>ROUND(G1001+0.1,1)</f>
        <v/>
      </c>
      <c r="H1002">
        <f>G1002=C1002</f>
        <v/>
      </c>
      <c r="I1002">
        <f>TEXT(B1002,"0.00000000000000")</f>
        <v/>
      </c>
    </row>
    <row r="1003">
      <c r="A1003" t="n">
        <v>996</v>
      </c>
      <c r="B1003">
        <f>B1002+0.1</f>
        <v/>
      </c>
      <c r="C1003">
        <f>A1003/10</f>
        <v/>
      </c>
      <c r="D1003">
        <f>B1003=C1003</f>
        <v/>
      </c>
      <c r="E1003">
        <f>INT(B1003*10)=A1003</f>
        <v/>
      </c>
      <c r="F1003">
        <f>B1003&gt;=C1003</f>
        <v/>
      </c>
      <c r="G1003">
        <f>ROUND(G1002+0.1,1)</f>
        <v/>
      </c>
      <c r="H1003">
        <f>G1003=C1003</f>
        <v/>
      </c>
      <c r="I1003">
        <f>TEXT(B1003,"0.00000000000000")</f>
        <v/>
      </c>
    </row>
    <row r="1004">
      <c r="A1004" t="n">
        <v>997</v>
      </c>
      <c r="B1004">
        <f>B1003+0.1</f>
        <v/>
      </c>
      <c r="C1004">
        <f>A1004/10</f>
        <v/>
      </c>
      <c r="D1004">
        <f>B1004=C1004</f>
        <v/>
      </c>
      <c r="E1004">
        <f>INT(B1004*10)=A1004</f>
        <v/>
      </c>
      <c r="F1004">
        <f>B1004&gt;=C1004</f>
        <v/>
      </c>
      <c r="G1004">
        <f>ROUND(G1003+0.1,1)</f>
        <v/>
      </c>
      <c r="H1004">
        <f>G1004=C1004</f>
        <v/>
      </c>
      <c r="I1004">
        <f>TEXT(B1004,"0.00000000000000")</f>
        <v/>
      </c>
    </row>
    <row r="1005">
      <c r="A1005" t="n">
        <v>998</v>
      </c>
      <c r="B1005">
        <f>B1004+0.1</f>
        <v/>
      </c>
      <c r="C1005">
        <f>A1005/10</f>
        <v/>
      </c>
      <c r="D1005">
        <f>B1005=C1005</f>
        <v/>
      </c>
      <c r="E1005">
        <f>INT(B1005*10)=A1005</f>
        <v/>
      </c>
      <c r="F1005">
        <f>B1005&gt;=C1005</f>
        <v/>
      </c>
      <c r="G1005">
        <f>ROUND(G1004+0.1,1)</f>
        <v/>
      </c>
      <c r="H1005">
        <f>G1005=C1005</f>
        <v/>
      </c>
      <c r="I1005">
        <f>TEXT(B1005,"0.00000000000000")</f>
        <v/>
      </c>
    </row>
    <row r="1006">
      <c r="A1006" t="n">
        <v>999</v>
      </c>
      <c r="B1006">
        <f>B1005+0.1</f>
        <v/>
      </c>
      <c r="C1006">
        <f>A1006/10</f>
        <v/>
      </c>
      <c r="D1006">
        <f>B1006=C1006</f>
        <v/>
      </c>
      <c r="E1006">
        <f>INT(B1006*10)=A1006</f>
        <v/>
      </c>
      <c r="F1006">
        <f>B1006&gt;=C1006</f>
        <v/>
      </c>
      <c r="G1006">
        <f>ROUND(G1005+0.1,1)</f>
        <v/>
      </c>
      <c r="H1006">
        <f>G1006=C1006</f>
        <v/>
      </c>
      <c r="I1006">
        <f>TEXT(B1006,"0.00000000000000")</f>
        <v/>
      </c>
    </row>
    <row r="1007">
      <c r="A1007" t="n">
        <v>1000</v>
      </c>
      <c r="B1007">
        <f>B1006+0.1</f>
        <v/>
      </c>
      <c r="C1007">
        <f>A1007/10</f>
        <v/>
      </c>
      <c r="D1007">
        <f>B1007=C1007</f>
        <v/>
      </c>
      <c r="E1007">
        <f>INT(B1007*10)=A1007</f>
        <v/>
      </c>
      <c r="F1007">
        <f>B1007&gt;=C1007</f>
        <v/>
      </c>
      <c r="G1007">
        <f>ROUND(G1006+0.1,1)</f>
        <v/>
      </c>
      <c r="H1007">
        <f>G1007=C1007</f>
        <v/>
      </c>
      <c r="I1007">
        <f>TEXT(B1007,"0.00000000000000")</f>
        <v/>
      </c>
    </row>
    <row r="1008">
      <c r="A1008" t="n">
        <v>1001</v>
      </c>
      <c r="B1008">
        <f>B1007+0.1</f>
        <v/>
      </c>
      <c r="C1008">
        <f>A1008/10</f>
        <v/>
      </c>
      <c r="D1008">
        <f>B1008=C1008</f>
        <v/>
      </c>
      <c r="E1008">
        <f>INT(B1008*10)=A1008</f>
        <v/>
      </c>
      <c r="F1008">
        <f>B1008&gt;=C1008</f>
        <v/>
      </c>
      <c r="G1008">
        <f>ROUND(G1007+0.1,1)</f>
        <v/>
      </c>
      <c r="H1008">
        <f>G1008=C1008</f>
        <v/>
      </c>
      <c r="I1008">
        <f>TEXT(B1008,"0.00000000000000")</f>
        <v/>
      </c>
    </row>
    <row r="1009">
      <c r="A1009" t="n">
        <v>1002</v>
      </c>
      <c r="B1009">
        <f>B1008+0.1</f>
        <v/>
      </c>
      <c r="C1009">
        <f>A1009/10</f>
        <v/>
      </c>
      <c r="D1009">
        <f>B1009=C1009</f>
        <v/>
      </c>
      <c r="E1009">
        <f>INT(B1009*10)=A1009</f>
        <v/>
      </c>
      <c r="F1009">
        <f>B1009&gt;=C1009</f>
        <v/>
      </c>
      <c r="G1009">
        <f>ROUND(G1008+0.1,1)</f>
        <v/>
      </c>
      <c r="H1009">
        <f>G1009=C1009</f>
        <v/>
      </c>
      <c r="I1009">
        <f>TEXT(B1009,"0.00000000000000")</f>
        <v/>
      </c>
    </row>
    <row r="1010">
      <c r="A1010" t="n">
        <v>1003</v>
      </c>
      <c r="B1010">
        <f>B1009+0.1</f>
        <v/>
      </c>
      <c r="C1010">
        <f>A1010/10</f>
        <v/>
      </c>
      <c r="D1010">
        <f>B1010=C1010</f>
        <v/>
      </c>
      <c r="E1010">
        <f>INT(B1010*10)=A1010</f>
        <v/>
      </c>
      <c r="F1010">
        <f>B1010&gt;=C1010</f>
        <v/>
      </c>
      <c r="G1010">
        <f>ROUND(G1009+0.1,1)</f>
        <v/>
      </c>
      <c r="H1010">
        <f>G1010=C1010</f>
        <v/>
      </c>
      <c r="I1010">
        <f>TEXT(B1010,"0.00000000000000")</f>
        <v/>
      </c>
    </row>
    <row r="1011">
      <c r="A1011" t="n">
        <v>1004</v>
      </c>
      <c r="B1011">
        <f>B1010+0.1</f>
        <v/>
      </c>
      <c r="C1011">
        <f>A1011/10</f>
        <v/>
      </c>
      <c r="D1011">
        <f>B1011=C1011</f>
        <v/>
      </c>
      <c r="E1011">
        <f>INT(B1011*10)=A1011</f>
        <v/>
      </c>
      <c r="F1011">
        <f>B1011&gt;=C1011</f>
        <v/>
      </c>
      <c r="G1011">
        <f>ROUND(G1010+0.1,1)</f>
        <v/>
      </c>
      <c r="H1011">
        <f>G1011=C1011</f>
        <v/>
      </c>
      <c r="I1011">
        <f>TEXT(B1011,"0.00000000000000")</f>
        <v/>
      </c>
    </row>
    <row r="1012">
      <c r="A1012" t="n">
        <v>1005</v>
      </c>
      <c r="B1012">
        <f>B1011+0.1</f>
        <v/>
      </c>
      <c r="C1012">
        <f>A1012/10</f>
        <v/>
      </c>
      <c r="D1012">
        <f>B1012=C1012</f>
        <v/>
      </c>
      <c r="E1012">
        <f>INT(B1012*10)=A1012</f>
        <v/>
      </c>
      <c r="F1012">
        <f>B1012&gt;=C1012</f>
        <v/>
      </c>
      <c r="G1012">
        <f>ROUND(G1011+0.1,1)</f>
        <v/>
      </c>
      <c r="H1012">
        <f>G1012=C1012</f>
        <v/>
      </c>
      <c r="I1012">
        <f>TEXT(B1012,"0.00000000000000")</f>
        <v/>
      </c>
    </row>
    <row r="1013">
      <c r="A1013" t="n">
        <v>1006</v>
      </c>
      <c r="B1013">
        <f>B1012+0.1</f>
        <v/>
      </c>
      <c r="C1013">
        <f>A1013/10</f>
        <v/>
      </c>
      <c r="D1013">
        <f>B1013=C1013</f>
        <v/>
      </c>
      <c r="E1013">
        <f>INT(B1013*10)=A1013</f>
        <v/>
      </c>
      <c r="F1013">
        <f>B1013&gt;=C1013</f>
        <v/>
      </c>
      <c r="G1013">
        <f>ROUND(G1012+0.1,1)</f>
        <v/>
      </c>
      <c r="H1013">
        <f>G1013=C1013</f>
        <v/>
      </c>
      <c r="I1013">
        <f>TEXT(B1013,"0.00000000000000")</f>
        <v/>
      </c>
    </row>
    <row r="1014">
      <c r="A1014" t="n">
        <v>1007</v>
      </c>
      <c r="B1014">
        <f>B1013+0.1</f>
        <v/>
      </c>
      <c r="C1014">
        <f>A1014/10</f>
        <v/>
      </c>
      <c r="D1014">
        <f>B1014=C1014</f>
        <v/>
      </c>
      <c r="E1014">
        <f>INT(B1014*10)=A1014</f>
        <v/>
      </c>
      <c r="F1014">
        <f>B1014&gt;=C1014</f>
        <v/>
      </c>
      <c r="G1014">
        <f>ROUND(G1013+0.1,1)</f>
        <v/>
      </c>
      <c r="H1014">
        <f>G1014=C1014</f>
        <v/>
      </c>
      <c r="I1014">
        <f>TEXT(B1014,"0.00000000000000")</f>
        <v/>
      </c>
    </row>
    <row r="1015">
      <c r="A1015" t="n">
        <v>1008</v>
      </c>
      <c r="B1015">
        <f>B1014+0.1</f>
        <v/>
      </c>
      <c r="C1015">
        <f>A1015/10</f>
        <v/>
      </c>
      <c r="D1015">
        <f>B1015=C1015</f>
        <v/>
      </c>
      <c r="E1015">
        <f>INT(B1015*10)=A1015</f>
        <v/>
      </c>
      <c r="F1015">
        <f>B1015&gt;=C1015</f>
        <v/>
      </c>
      <c r="G1015">
        <f>ROUND(G1014+0.1,1)</f>
        <v/>
      </c>
      <c r="H1015">
        <f>G1015=C1015</f>
        <v/>
      </c>
      <c r="I1015">
        <f>TEXT(B1015,"0.00000000000000")</f>
        <v/>
      </c>
    </row>
    <row r="1016">
      <c r="A1016" t="n">
        <v>1009</v>
      </c>
      <c r="B1016">
        <f>B1015+0.1</f>
        <v/>
      </c>
      <c r="C1016">
        <f>A1016/10</f>
        <v/>
      </c>
      <c r="D1016">
        <f>B1016=C1016</f>
        <v/>
      </c>
      <c r="E1016">
        <f>INT(B1016*10)=A1016</f>
        <v/>
      </c>
      <c r="F1016">
        <f>B1016&gt;=C1016</f>
        <v/>
      </c>
      <c r="G1016">
        <f>ROUND(G1015+0.1,1)</f>
        <v/>
      </c>
      <c r="H1016">
        <f>G1016=C1016</f>
        <v/>
      </c>
      <c r="I1016">
        <f>TEXT(B1016,"0.00000000000000")</f>
        <v/>
      </c>
    </row>
    <row r="1017">
      <c r="A1017" t="n">
        <v>1010</v>
      </c>
      <c r="B1017">
        <f>B1016+0.1</f>
        <v/>
      </c>
      <c r="C1017">
        <f>A1017/10</f>
        <v/>
      </c>
      <c r="D1017">
        <f>B1017=C1017</f>
        <v/>
      </c>
      <c r="E1017">
        <f>INT(B1017*10)=A1017</f>
        <v/>
      </c>
      <c r="F1017">
        <f>B1017&gt;=C1017</f>
        <v/>
      </c>
      <c r="G1017">
        <f>ROUND(G1016+0.1,1)</f>
        <v/>
      </c>
      <c r="H1017">
        <f>G1017=C1017</f>
        <v/>
      </c>
      <c r="I1017">
        <f>TEXT(B1017,"0.00000000000000")</f>
        <v/>
      </c>
    </row>
    <row r="1018">
      <c r="A1018" t="n">
        <v>1011</v>
      </c>
      <c r="B1018">
        <f>B1017+0.1</f>
        <v/>
      </c>
      <c r="C1018">
        <f>A1018/10</f>
        <v/>
      </c>
      <c r="D1018">
        <f>B1018=C1018</f>
        <v/>
      </c>
      <c r="E1018">
        <f>INT(B1018*10)=A1018</f>
        <v/>
      </c>
      <c r="F1018">
        <f>B1018&gt;=C1018</f>
        <v/>
      </c>
      <c r="G1018">
        <f>ROUND(G1017+0.1,1)</f>
        <v/>
      </c>
      <c r="H1018">
        <f>G1018=C1018</f>
        <v/>
      </c>
      <c r="I1018">
        <f>TEXT(B1018,"0.00000000000000")</f>
        <v/>
      </c>
    </row>
    <row r="1019">
      <c r="A1019" t="n">
        <v>1012</v>
      </c>
      <c r="B1019">
        <f>B1018+0.1</f>
        <v/>
      </c>
      <c r="C1019">
        <f>A1019/10</f>
        <v/>
      </c>
      <c r="D1019">
        <f>B1019=C1019</f>
        <v/>
      </c>
      <c r="E1019">
        <f>INT(B1019*10)=A1019</f>
        <v/>
      </c>
      <c r="F1019">
        <f>B1019&gt;=C1019</f>
        <v/>
      </c>
      <c r="G1019">
        <f>ROUND(G1018+0.1,1)</f>
        <v/>
      </c>
      <c r="H1019">
        <f>G1019=C1019</f>
        <v/>
      </c>
      <c r="I1019">
        <f>TEXT(B1019,"0.00000000000000")</f>
        <v/>
      </c>
    </row>
    <row r="1020">
      <c r="A1020" t="n">
        <v>1013</v>
      </c>
      <c r="B1020">
        <f>B1019+0.1</f>
        <v/>
      </c>
      <c r="C1020">
        <f>A1020/10</f>
        <v/>
      </c>
      <c r="D1020">
        <f>B1020=C1020</f>
        <v/>
      </c>
      <c r="E1020">
        <f>INT(B1020*10)=A1020</f>
        <v/>
      </c>
      <c r="F1020">
        <f>B1020&gt;=C1020</f>
        <v/>
      </c>
      <c r="G1020">
        <f>ROUND(G1019+0.1,1)</f>
        <v/>
      </c>
      <c r="H1020">
        <f>G1020=C1020</f>
        <v/>
      </c>
      <c r="I1020">
        <f>TEXT(B1020,"0.00000000000000")</f>
        <v/>
      </c>
    </row>
    <row r="1021">
      <c r="A1021" t="n">
        <v>1014</v>
      </c>
      <c r="B1021">
        <f>B1020+0.1</f>
        <v/>
      </c>
      <c r="C1021">
        <f>A1021/10</f>
        <v/>
      </c>
      <c r="D1021">
        <f>B1021=C1021</f>
        <v/>
      </c>
      <c r="E1021">
        <f>INT(B1021*10)=A1021</f>
        <v/>
      </c>
      <c r="F1021">
        <f>B1021&gt;=C1021</f>
        <v/>
      </c>
      <c r="G1021">
        <f>ROUND(G1020+0.1,1)</f>
        <v/>
      </c>
      <c r="H1021">
        <f>G1021=C1021</f>
        <v/>
      </c>
      <c r="I1021">
        <f>TEXT(B1021,"0.00000000000000")</f>
        <v/>
      </c>
    </row>
    <row r="1022">
      <c r="A1022" t="n">
        <v>1015</v>
      </c>
      <c r="B1022">
        <f>B1021+0.1</f>
        <v/>
      </c>
      <c r="C1022">
        <f>A1022/10</f>
        <v/>
      </c>
      <c r="D1022">
        <f>B1022=C1022</f>
        <v/>
      </c>
      <c r="E1022">
        <f>INT(B1022*10)=A1022</f>
        <v/>
      </c>
      <c r="F1022">
        <f>B1022&gt;=C1022</f>
        <v/>
      </c>
      <c r="G1022">
        <f>ROUND(G1021+0.1,1)</f>
        <v/>
      </c>
      <c r="H1022">
        <f>G1022=C1022</f>
        <v/>
      </c>
      <c r="I1022">
        <f>TEXT(B1022,"0.00000000000000")</f>
        <v/>
      </c>
    </row>
    <row r="1023">
      <c r="A1023" t="n">
        <v>1016</v>
      </c>
      <c r="B1023">
        <f>B1022+0.1</f>
        <v/>
      </c>
      <c r="C1023">
        <f>A1023/10</f>
        <v/>
      </c>
      <c r="D1023">
        <f>B1023=C1023</f>
        <v/>
      </c>
      <c r="E1023">
        <f>INT(B1023*10)=A1023</f>
        <v/>
      </c>
      <c r="F1023">
        <f>B1023&gt;=C1023</f>
        <v/>
      </c>
      <c r="G1023">
        <f>ROUND(G1022+0.1,1)</f>
        <v/>
      </c>
      <c r="H1023">
        <f>G1023=C1023</f>
        <v/>
      </c>
      <c r="I1023">
        <f>TEXT(B1023,"0.00000000000000")</f>
        <v/>
      </c>
    </row>
    <row r="1024">
      <c r="A1024" t="n">
        <v>1017</v>
      </c>
      <c r="B1024">
        <f>B1023+0.1</f>
        <v/>
      </c>
      <c r="C1024">
        <f>A1024/10</f>
        <v/>
      </c>
      <c r="D1024">
        <f>B1024=C1024</f>
        <v/>
      </c>
      <c r="E1024">
        <f>INT(B1024*10)=A1024</f>
        <v/>
      </c>
      <c r="F1024">
        <f>B1024&gt;=C1024</f>
        <v/>
      </c>
      <c r="G1024">
        <f>ROUND(G1023+0.1,1)</f>
        <v/>
      </c>
      <c r="H1024">
        <f>G1024=C1024</f>
        <v/>
      </c>
      <c r="I1024">
        <f>TEXT(B1024,"0.00000000000000")</f>
        <v/>
      </c>
    </row>
    <row r="1025">
      <c r="A1025" t="n">
        <v>1018</v>
      </c>
      <c r="B1025">
        <f>B1024+0.1</f>
        <v/>
      </c>
      <c r="C1025">
        <f>A1025/10</f>
        <v/>
      </c>
      <c r="D1025">
        <f>B1025=C1025</f>
        <v/>
      </c>
      <c r="E1025">
        <f>INT(B1025*10)=A1025</f>
        <v/>
      </c>
      <c r="F1025">
        <f>B1025&gt;=C1025</f>
        <v/>
      </c>
      <c r="G1025">
        <f>ROUND(G1024+0.1,1)</f>
        <v/>
      </c>
      <c r="H1025">
        <f>G1025=C1025</f>
        <v/>
      </c>
      <c r="I1025">
        <f>TEXT(B1025,"0.00000000000000")</f>
        <v/>
      </c>
    </row>
    <row r="1026">
      <c r="A1026" t="n">
        <v>1019</v>
      </c>
      <c r="B1026">
        <f>B1025+0.1</f>
        <v/>
      </c>
      <c r="C1026">
        <f>A1026/10</f>
        <v/>
      </c>
      <c r="D1026">
        <f>B1026=C1026</f>
        <v/>
      </c>
      <c r="E1026">
        <f>INT(B1026*10)=A1026</f>
        <v/>
      </c>
      <c r="F1026">
        <f>B1026&gt;=C1026</f>
        <v/>
      </c>
      <c r="G1026">
        <f>ROUND(G1025+0.1,1)</f>
        <v/>
      </c>
      <c r="H1026">
        <f>G1026=C1026</f>
        <v/>
      </c>
      <c r="I1026">
        <f>TEXT(B1026,"0.00000000000000")</f>
        <v/>
      </c>
    </row>
    <row r="1027">
      <c r="A1027" t="n">
        <v>1020</v>
      </c>
      <c r="B1027">
        <f>B1026+0.1</f>
        <v/>
      </c>
      <c r="C1027">
        <f>A1027/10</f>
        <v/>
      </c>
      <c r="D1027">
        <f>B1027=C1027</f>
        <v/>
      </c>
      <c r="E1027">
        <f>INT(B1027*10)=A1027</f>
        <v/>
      </c>
      <c r="F1027">
        <f>B1027&gt;=C1027</f>
        <v/>
      </c>
      <c r="G1027">
        <f>ROUND(G1026+0.1,1)</f>
        <v/>
      </c>
      <c r="H1027">
        <f>G1027=C1027</f>
        <v/>
      </c>
      <c r="I1027">
        <f>TEXT(B1027,"0.00000000000000")</f>
        <v/>
      </c>
    </row>
    <row r="1028">
      <c r="A1028" t="n">
        <v>1021</v>
      </c>
      <c r="B1028">
        <f>B1027+0.1</f>
        <v/>
      </c>
      <c r="C1028">
        <f>A1028/10</f>
        <v/>
      </c>
      <c r="D1028">
        <f>B1028=C1028</f>
        <v/>
      </c>
      <c r="E1028">
        <f>INT(B1028*10)=A1028</f>
        <v/>
      </c>
      <c r="F1028">
        <f>B1028&gt;=C1028</f>
        <v/>
      </c>
      <c r="G1028">
        <f>ROUND(G1027+0.1,1)</f>
        <v/>
      </c>
      <c r="H1028">
        <f>G1028=C1028</f>
        <v/>
      </c>
      <c r="I1028">
        <f>TEXT(B1028,"0.00000000000000")</f>
        <v/>
      </c>
    </row>
    <row r="1029">
      <c r="A1029" t="n">
        <v>1022</v>
      </c>
      <c r="B1029">
        <f>B1028+0.1</f>
        <v/>
      </c>
      <c r="C1029">
        <f>A1029/10</f>
        <v/>
      </c>
      <c r="D1029">
        <f>B1029=C1029</f>
        <v/>
      </c>
      <c r="E1029">
        <f>INT(B1029*10)=A1029</f>
        <v/>
      </c>
      <c r="F1029">
        <f>B1029&gt;=C1029</f>
        <v/>
      </c>
      <c r="G1029">
        <f>ROUND(G1028+0.1,1)</f>
        <v/>
      </c>
      <c r="H1029">
        <f>G1029=C1029</f>
        <v/>
      </c>
      <c r="I1029">
        <f>TEXT(B1029,"0.00000000000000")</f>
        <v/>
      </c>
    </row>
    <row r="1030">
      <c r="A1030" t="n">
        <v>1023</v>
      </c>
      <c r="B1030">
        <f>B1029+0.1</f>
        <v/>
      </c>
      <c r="C1030">
        <f>A1030/10</f>
        <v/>
      </c>
      <c r="D1030">
        <f>B1030=C1030</f>
        <v/>
      </c>
      <c r="E1030">
        <f>INT(B1030*10)=A1030</f>
        <v/>
      </c>
      <c r="F1030">
        <f>B1030&gt;=C1030</f>
        <v/>
      </c>
      <c r="G1030">
        <f>ROUND(G1029+0.1,1)</f>
        <v/>
      </c>
      <c r="H1030">
        <f>G1030=C1030</f>
        <v/>
      </c>
      <c r="I1030">
        <f>TEXT(B1030,"0.00000000000000")</f>
        <v/>
      </c>
    </row>
    <row r="1031">
      <c r="A1031" t="n">
        <v>1024</v>
      </c>
      <c r="B1031">
        <f>B1030+0.1</f>
        <v/>
      </c>
      <c r="C1031">
        <f>A1031/10</f>
        <v/>
      </c>
      <c r="D1031">
        <f>B1031=C1031</f>
        <v/>
      </c>
      <c r="E1031">
        <f>INT(B1031*10)=A1031</f>
        <v/>
      </c>
      <c r="F1031">
        <f>B1031&gt;=C1031</f>
        <v/>
      </c>
      <c r="G1031">
        <f>ROUND(G1030+0.1,1)</f>
        <v/>
      </c>
      <c r="H1031">
        <f>G1031=C1031</f>
        <v/>
      </c>
      <c r="I1031">
        <f>TEXT(B1031,"0.00000000000000")</f>
        <v/>
      </c>
    </row>
    <row r="1032">
      <c r="A1032" t="n">
        <v>1025</v>
      </c>
      <c r="B1032">
        <f>B1031+0.1</f>
        <v/>
      </c>
      <c r="C1032">
        <f>A1032/10</f>
        <v/>
      </c>
      <c r="D1032">
        <f>B1032=C1032</f>
        <v/>
      </c>
      <c r="E1032">
        <f>INT(B1032*10)=A1032</f>
        <v/>
      </c>
      <c r="F1032">
        <f>B1032&gt;=C1032</f>
        <v/>
      </c>
      <c r="G1032">
        <f>ROUND(G1031+0.1,1)</f>
        <v/>
      </c>
      <c r="H1032">
        <f>G1032=C1032</f>
        <v/>
      </c>
      <c r="I1032">
        <f>TEXT(B1032,"0.00000000000000")</f>
        <v/>
      </c>
    </row>
    <row r="1033">
      <c r="A1033" t="n">
        <v>1026</v>
      </c>
      <c r="B1033">
        <f>B1032+0.1</f>
        <v/>
      </c>
      <c r="C1033">
        <f>A1033/10</f>
        <v/>
      </c>
      <c r="D1033">
        <f>B1033=C1033</f>
        <v/>
      </c>
      <c r="E1033">
        <f>INT(B1033*10)=A1033</f>
        <v/>
      </c>
      <c r="F1033">
        <f>B1033&gt;=C1033</f>
        <v/>
      </c>
      <c r="G1033">
        <f>ROUND(G1032+0.1,1)</f>
        <v/>
      </c>
      <c r="H1033">
        <f>G1033=C1033</f>
        <v/>
      </c>
      <c r="I1033">
        <f>TEXT(B1033,"0.00000000000000")</f>
        <v/>
      </c>
    </row>
    <row r="1034">
      <c r="A1034" t="n">
        <v>1027</v>
      </c>
      <c r="B1034">
        <f>B1033+0.1</f>
        <v/>
      </c>
      <c r="C1034">
        <f>A1034/10</f>
        <v/>
      </c>
      <c r="D1034">
        <f>B1034=C1034</f>
        <v/>
      </c>
      <c r="E1034">
        <f>INT(B1034*10)=A1034</f>
        <v/>
      </c>
      <c r="F1034">
        <f>B1034&gt;=C1034</f>
        <v/>
      </c>
      <c r="G1034">
        <f>ROUND(G1033+0.1,1)</f>
        <v/>
      </c>
      <c r="H1034">
        <f>G1034=C1034</f>
        <v/>
      </c>
      <c r="I1034">
        <f>TEXT(B1034,"0.00000000000000")</f>
        <v/>
      </c>
    </row>
    <row r="1035">
      <c r="A1035" t="n">
        <v>1028</v>
      </c>
      <c r="B1035">
        <f>B1034+0.1</f>
        <v/>
      </c>
      <c r="C1035">
        <f>A1035/10</f>
        <v/>
      </c>
      <c r="D1035">
        <f>B1035=C1035</f>
        <v/>
      </c>
      <c r="E1035">
        <f>INT(B1035*10)=A1035</f>
        <v/>
      </c>
      <c r="F1035">
        <f>B1035&gt;=C1035</f>
        <v/>
      </c>
      <c r="G1035">
        <f>ROUND(G1034+0.1,1)</f>
        <v/>
      </c>
      <c r="H1035">
        <f>G1035=C1035</f>
        <v/>
      </c>
      <c r="I1035">
        <f>TEXT(B1035,"0.00000000000000")</f>
        <v/>
      </c>
    </row>
    <row r="1036">
      <c r="A1036" t="n">
        <v>1029</v>
      </c>
      <c r="B1036">
        <f>B1035+0.1</f>
        <v/>
      </c>
      <c r="C1036">
        <f>A1036/10</f>
        <v/>
      </c>
      <c r="D1036">
        <f>B1036=C1036</f>
        <v/>
      </c>
      <c r="E1036">
        <f>INT(B1036*10)=A1036</f>
        <v/>
      </c>
      <c r="F1036">
        <f>B1036&gt;=C1036</f>
        <v/>
      </c>
      <c r="G1036">
        <f>ROUND(G1035+0.1,1)</f>
        <v/>
      </c>
      <c r="H1036">
        <f>G1036=C1036</f>
        <v/>
      </c>
      <c r="I1036">
        <f>TEXT(B1036,"0.00000000000000")</f>
        <v/>
      </c>
    </row>
    <row r="1037">
      <c r="A1037" t="n">
        <v>1030</v>
      </c>
      <c r="B1037">
        <f>B1036+0.1</f>
        <v/>
      </c>
      <c r="C1037">
        <f>A1037/10</f>
        <v/>
      </c>
      <c r="D1037">
        <f>B1037=C1037</f>
        <v/>
      </c>
      <c r="E1037">
        <f>INT(B1037*10)=A1037</f>
        <v/>
      </c>
      <c r="F1037">
        <f>B1037&gt;=C1037</f>
        <v/>
      </c>
      <c r="G1037">
        <f>ROUND(G1036+0.1,1)</f>
        <v/>
      </c>
      <c r="H1037">
        <f>G1037=C1037</f>
        <v/>
      </c>
      <c r="I1037">
        <f>TEXT(B1037,"0.00000000000000")</f>
        <v/>
      </c>
    </row>
    <row r="1038">
      <c r="A1038" t="n">
        <v>1031</v>
      </c>
      <c r="B1038">
        <f>B1037+0.1</f>
        <v/>
      </c>
      <c r="C1038">
        <f>A1038/10</f>
        <v/>
      </c>
      <c r="D1038">
        <f>B1038=C1038</f>
        <v/>
      </c>
      <c r="E1038">
        <f>INT(B1038*10)=A1038</f>
        <v/>
      </c>
      <c r="F1038">
        <f>B1038&gt;=C1038</f>
        <v/>
      </c>
      <c r="G1038">
        <f>ROUND(G1037+0.1,1)</f>
        <v/>
      </c>
      <c r="H1038">
        <f>G1038=C1038</f>
        <v/>
      </c>
      <c r="I1038">
        <f>TEXT(B1038,"0.00000000000000")</f>
        <v/>
      </c>
    </row>
    <row r="1039">
      <c r="A1039" t="n">
        <v>1032</v>
      </c>
      <c r="B1039">
        <f>B1038+0.1</f>
        <v/>
      </c>
      <c r="C1039">
        <f>A1039/10</f>
        <v/>
      </c>
      <c r="D1039">
        <f>B1039=C1039</f>
        <v/>
      </c>
      <c r="E1039">
        <f>INT(B1039*10)=A1039</f>
        <v/>
      </c>
      <c r="F1039">
        <f>B1039&gt;=C1039</f>
        <v/>
      </c>
      <c r="G1039">
        <f>ROUND(G1038+0.1,1)</f>
        <v/>
      </c>
      <c r="H1039">
        <f>G1039=C1039</f>
        <v/>
      </c>
      <c r="I1039">
        <f>TEXT(B1039,"0.00000000000000")</f>
        <v/>
      </c>
    </row>
    <row r="1040">
      <c r="A1040" t="n">
        <v>1033</v>
      </c>
      <c r="B1040">
        <f>B1039+0.1</f>
        <v/>
      </c>
      <c r="C1040">
        <f>A1040/10</f>
        <v/>
      </c>
      <c r="D1040">
        <f>B1040=C1040</f>
        <v/>
      </c>
      <c r="E1040">
        <f>INT(B1040*10)=A1040</f>
        <v/>
      </c>
      <c r="F1040">
        <f>B1040&gt;=C1040</f>
        <v/>
      </c>
      <c r="G1040">
        <f>ROUND(G1039+0.1,1)</f>
        <v/>
      </c>
      <c r="H1040">
        <f>G1040=C1040</f>
        <v/>
      </c>
      <c r="I1040">
        <f>TEXT(B1040,"0.00000000000000")</f>
        <v/>
      </c>
    </row>
    <row r="1041">
      <c r="A1041" t="n">
        <v>1034</v>
      </c>
      <c r="B1041">
        <f>B1040+0.1</f>
        <v/>
      </c>
      <c r="C1041">
        <f>A1041/10</f>
        <v/>
      </c>
      <c r="D1041">
        <f>B1041=C1041</f>
        <v/>
      </c>
      <c r="E1041">
        <f>INT(B1041*10)=A1041</f>
        <v/>
      </c>
      <c r="F1041">
        <f>B1041&gt;=C1041</f>
        <v/>
      </c>
      <c r="G1041">
        <f>ROUND(G1040+0.1,1)</f>
        <v/>
      </c>
      <c r="H1041">
        <f>G1041=C1041</f>
        <v/>
      </c>
      <c r="I1041">
        <f>TEXT(B1041,"0.00000000000000")</f>
        <v/>
      </c>
    </row>
    <row r="1042">
      <c r="A1042" t="n">
        <v>1035</v>
      </c>
      <c r="B1042">
        <f>B1041+0.1</f>
        <v/>
      </c>
      <c r="C1042">
        <f>A1042/10</f>
        <v/>
      </c>
      <c r="D1042">
        <f>B1042=C1042</f>
        <v/>
      </c>
      <c r="E1042">
        <f>INT(B1042*10)=A1042</f>
        <v/>
      </c>
      <c r="F1042">
        <f>B1042&gt;=C1042</f>
        <v/>
      </c>
      <c r="G1042">
        <f>ROUND(G1041+0.1,1)</f>
        <v/>
      </c>
      <c r="H1042">
        <f>G1042=C1042</f>
        <v/>
      </c>
      <c r="I1042">
        <f>TEXT(B1042,"0.00000000000000")</f>
        <v/>
      </c>
    </row>
    <row r="1043">
      <c r="A1043" t="n">
        <v>1036</v>
      </c>
      <c r="B1043">
        <f>B1042+0.1</f>
        <v/>
      </c>
      <c r="C1043">
        <f>A1043/10</f>
        <v/>
      </c>
      <c r="D1043">
        <f>B1043=C1043</f>
        <v/>
      </c>
      <c r="E1043">
        <f>INT(B1043*10)=A1043</f>
        <v/>
      </c>
      <c r="F1043">
        <f>B1043&gt;=C1043</f>
        <v/>
      </c>
      <c r="G1043">
        <f>ROUND(G1042+0.1,1)</f>
        <v/>
      </c>
      <c r="H1043">
        <f>G1043=C1043</f>
        <v/>
      </c>
      <c r="I1043">
        <f>TEXT(B1043,"0.00000000000000")</f>
        <v/>
      </c>
    </row>
    <row r="1044">
      <c r="A1044" t="n">
        <v>1037</v>
      </c>
      <c r="B1044">
        <f>B1043+0.1</f>
        <v/>
      </c>
      <c r="C1044">
        <f>A1044/10</f>
        <v/>
      </c>
      <c r="D1044">
        <f>B1044=C1044</f>
        <v/>
      </c>
      <c r="E1044">
        <f>INT(B1044*10)=A1044</f>
        <v/>
      </c>
      <c r="F1044">
        <f>B1044&gt;=C1044</f>
        <v/>
      </c>
      <c r="G1044">
        <f>ROUND(G1043+0.1,1)</f>
        <v/>
      </c>
      <c r="H1044">
        <f>G1044=C1044</f>
        <v/>
      </c>
      <c r="I1044">
        <f>TEXT(B1044,"0.00000000000000")</f>
        <v/>
      </c>
    </row>
    <row r="1045">
      <c r="A1045" t="n">
        <v>1038</v>
      </c>
      <c r="B1045">
        <f>B1044+0.1</f>
        <v/>
      </c>
      <c r="C1045">
        <f>A1045/10</f>
        <v/>
      </c>
      <c r="D1045">
        <f>B1045=C1045</f>
        <v/>
      </c>
      <c r="E1045">
        <f>INT(B1045*10)=A1045</f>
        <v/>
      </c>
      <c r="F1045">
        <f>B1045&gt;=C1045</f>
        <v/>
      </c>
      <c r="G1045">
        <f>ROUND(G1044+0.1,1)</f>
        <v/>
      </c>
      <c r="H1045">
        <f>G1045=C1045</f>
        <v/>
      </c>
      <c r="I1045">
        <f>TEXT(B1045,"0.00000000000000")</f>
        <v/>
      </c>
    </row>
    <row r="1046">
      <c r="A1046" t="n">
        <v>1039</v>
      </c>
      <c r="B1046">
        <f>B1045+0.1</f>
        <v/>
      </c>
      <c r="C1046">
        <f>A1046/10</f>
        <v/>
      </c>
      <c r="D1046">
        <f>B1046=C1046</f>
        <v/>
      </c>
      <c r="E1046">
        <f>INT(B1046*10)=A1046</f>
        <v/>
      </c>
      <c r="F1046">
        <f>B1046&gt;=C1046</f>
        <v/>
      </c>
      <c r="G1046">
        <f>ROUND(G1045+0.1,1)</f>
        <v/>
      </c>
      <c r="H1046">
        <f>G1046=C1046</f>
        <v/>
      </c>
      <c r="I1046">
        <f>TEXT(B1046,"0.00000000000000")</f>
        <v/>
      </c>
    </row>
    <row r="1047">
      <c r="A1047" t="n">
        <v>1040</v>
      </c>
      <c r="B1047">
        <f>B1046+0.1</f>
        <v/>
      </c>
      <c r="C1047">
        <f>A1047/10</f>
        <v/>
      </c>
      <c r="D1047">
        <f>B1047=C1047</f>
        <v/>
      </c>
      <c r="E1047">
        <f>INT(B1047*10)=A1047</f>
        <v/>
      </c>
      <c r="F1047">
        <f>B1047&gt;=C1047</f>
        <v/>
      </c>
      <c r="G1047">
        <f>ROUND(G1046+0.1,1)</f>
        <v/>
      </c>
      <c r="H1047">
        <f>G1047=C1047</f>
        <v/>
      </c>
      <c r="I1047">
        <f>TEXT(B1047,"0.00000000000000")</f>
        <v/>
      </c>
    </row>
    <row r="1048">
      <c r="A1048" t="n">
        <v>1041</v>
      </c>
      <c r="B1048">
        <f>B1047+0.1</f>
        <v/>
      </c>
      <c r="C1048">
        <f>A1048/10</f>
        <v/>
      </c>
      <c r="D1048">
        <f>B1048=C1048</f>
        <v/>
      </c>
      <c r="E1048">
        <f>INT(B1048*10)=A1048</f>
        <v/>
      </c>
      <c r="F1048">
        <f>B1048&gt;=C1048</f>
        <v/>
      </c>
      <c r="G1048">
        <f>ROUND(G1047+0.1,1)</f>
        <v/>
      </c>
      <c r="H1048">
        <f>G1048=C1048</f>
        <v/>
      </c>
      <c r="I1048">
        <f>TEXT(B1048,"0.00000000000000")</f>
        <v/>
      </c>
    </row>
    <row r="1049">
      <c r="A1049" t="n">
        <v>1042</v>
      </c>
      <c r="B1049">
        <f>B1048+0.1</f>
        <v/>
      </c>
      <c r="C1049">
        <f>A1049/10</f>
        <v/>
      </c>
      <c r="D1049">
        <f>B1049=C1049</f>
        <v/>
      </c>
      <c r="E1049">
        <f>INT(B1049*10)=A1049</f>
        <v/>
      </c>
      <c r="F1049">
        <f>B1049&gt;=C1049</f>
        <v/>
      </c>
      <c r="G1049">
        <f>ROUND(G1048+0.1,1)</f>
        <v/>
      </c>
      <c r="H1049">
        <f>G1049=C1049</f>
        <v/>
      </c>
      <c r="I1049">
        <f>TEXT(B1049,"0.00000000000000")</f>
        <v/>
      </c>
    </row>
    <row r="1050">
      <c r="A1050" t="n">
        <v>1043</v>
      </c>
      <c r="B1050">
        <f>B1049+0.1</f>
        <v/>
      </c>
      <c r="C1050">
        <f>A1050/10</f>
        <v/>
      </c>
      <c r="D1050">
        <f>B1050=C1050</f>
        <v/>
      </c>
      <c r="E1050">
        <f>INT(B1050*10)=A1050</f>
        <v/>
      </c>
      <c r="F1050">
        <f>B1050&gt;=C1050</f>
        <v/>
      </c>
      <c r="G1050">
        <f>ROUND(G1049+0.1,1)</f>
        <v/>
      </c>
      <c r="H1050">
        <f>G1050=C1050</f>
        <v/>
      </c>
      <c r="I1050">
        <f>TEXT(B1050,"0.00000000000000")</f>
        <v/>
      </c>
    </row>
    <row r="1051">
      <c r="A1051" t="n">
        <v>1044</v>
      </c>
      <c r="B1051">
        <f>B1050+0.1</f>
        <v/>
      </c>
      <c r="C1051">
        <f>A1051/10</f>
        <v/>
      </c>
      <c r="D1051">
        <f>B1051=C1051</f>
        <v/>
      </c>
      <c r="E1051">
        <f>INT(B1051*10)=A1051</f>
        <v/>
      </c>
      <c r="F1051">
        <f>B1051&gt;=C1051</f>
        <v/>
      </c>
      <c r="G1051">
        <f>ROUND(G1050+0.1,1)</f>
        <v/>
      </c>
      <c r="H1051">
        <f>G1051=C1051</f>
        <v/>
      </c>
      <c r="I1051">
        <f>TEXT(B1051,"0.00000000000000")</f>
        <v/>
      </c>
    </row>
    <row r="1052">
      <c r="A1052" t="n">
        <v>1045</v>
      </c>
      <c r="B1052">
        <f>B1051+0.1</f>
        <v/>
      </c>
      <c r="C1052">
        <f>A1052/10</f>
        <v/>
      </c>
      <c r="D1052">
        <f>B1052=C1052</f>
        <v/>
      </c>
      <c r="E1052">
        <f>INT(B1052*10)=A1052</f>
        <v/>
      </c>
      <c r="F1052">
        <f>B1052&gt;=C1052</f>
        <v/>
      </c>
      <c r="G1052">
        <f>ROUND(G1051+0.1,1)</f>
        <v/>
      </c>
      <c r="H1052">
        <f>G1052=C1052</f>
        <v/>
      </c>
      <c r="I1052">
        <f>TEXT(B1052,"0.00000000000000")</f>
        <v/>
      </c>
    </row>
    <row r="1053">
      <c r="A1053" t="n">
        <v>1046</v>
      </c>
      <c r="B1053">
        <f>B1052+0.1</f>
        <v/>
      </c>
      <c r="C1053">
        <f>A1053/10</f>
        <v/>
      </c>
      <c r="D1053">
        <f>B1053=C1053</f>
        <v/>
      </c>
      <c r="E1053">
        <f>INT(B1053*10)=A1053</f>
        <v/>
      </c>
      <c r="F1053">
        <f>B1053&gt;=C1053</f>
        <v/>
      </c>
      <c r="G1053">
        <f>ROUND(G1052+0.1,1)</f>
        <v/>
      </c>
      <c r="H1053">
        <f>G1053=C1053</f>
        <v/>
      </c>
      <c r="I1053">
        <f>TEXT(B1053,"0.00000000000000")</f>
        <v/>
      </c>
    </row>
    <row r="1054">
      <c r="A1054" t="n">
        <v>1047</v>
      </c>
      <c r="B1054">
        <f>B1053+0.1</f>
        <v/>
      </c>
      <c r="C1054">
        <f>A1054/10</f>
        <v/>
      </c>
      <c r="D1054">
        <f>B1054=C1054</f>
        <v/>
      </c>
      <c r="E1054">
        <f>INT(B1054*10)=A1054</f>
        <v/>
      </c>
      <c r="F1054">
        <f>B1054&gt;=C1054</f>
        <v/>
      </c>
      <c r="G1054">
        <f>ROUND(G1053+0.1,1)</f>
        <v/>
      </c>
      <c r="H1054">
        <f>G1054=C1054</f>
        <v/>
      </c>
      <c r="I1054">
        <f>TEXT(B1054,"0.00000000000000")</f>
        <v/>
      </c>
    </row>
    <row r="1055">
      <c r="A1055" t="n">
        <v>1048</v>
      </c>
      <c r="B1055">
        <f>B1054+0.1</f>
        <v/>
      </c>
      <c r="C1055">
        <f>A1055/10</f>
        <v/>
      </c>
      <c r="D1055">
        <f>B1055=C1055</f>
        <v/>
      </c>
      <c r="E1055">
        <f>INT(B1055*10)=A1055</f>
        <v/>
      </c>
      <c r="F1055">
        <f>B1055&gt;=C1055</f>
        <v/>
      </c>
      <c r="G1055">
        <f>ROUND(G1054+0.1,1)</f>
        <v/>
      </c>
      <c r="H1055">
        <f>G1055=C1055</f>
        <v/>
      </c>
      <c r="I1055">
        <f>TEXT(B1055,"0.00000000000000")</f>
        <v/>
      </c>
    </row>
    <row r="1056">
      <c r="A1056" t="n">
        <v>1049</v>
      </c>
      <c r="B1056">
        <f>B1055+0.1</f>
        <v/>
      </c>
      <c r="C1056">
        <f>A1056/10</f>
        <v/>
      </c>
      <c r="D1056">
        <f>B1056=C1056</f>
        <v/>
      </c>
      <c r="E1056">
        <f>INT(B1056*10)=A1056</f>
        <v/>
      </c>
      <c r="F1056">
        <f>B1056&gt;=C1056</f>
        <v/>
      </c>
      <c r="G1056">
        <f>ROUND(G1055+0.1,1)</f>
        <v/>
      </c>
      <c r="H1056">
        <f>G1056=C1056</f>
        <v/>
      </c>
      <c r="I1056">
        <f>TEXT(B1056,"0.00000000000000")</f>
        <v/>
      </c>
    </row>
    <row r="1057">
      <c r="A1057" t="n">
        <v>1050</v>
      </c>
      <c r="B1057">
        <f>B1056+0.1</f>
        <v/>
      </c>
      <c r="C1057">
        <f>A1057/10</f>
        <v/>
      </c>
      <c r="D1057">
        <f>B1057=C1057</f>
        <v/>
      </c>
      <c r="E1057">
        <f>INT(B1057*10)=A1057</f>
        <v/>
      </c>
      <c r="F1057">
        <f>B1057&gt;=C1057</f>
        <v/>
      </c>
      <c r="G1057">
        <f>ROUND(G1056+0.1,1)</f>
        <v/>
      </c>
      <c r="H1057">
        <f>G1057=C1057</f>
        <v/>
      </c>
      <c r="I1057">
        <f>TEXT(B1057,"0.00000000000000")</f>
        <v/>
      </c>
    </row>
    <row r="1058">
      <c r="A1058" t="n">
        <v>1051</v>
      </c>
      <c r="B1058">
        <f>B1057+0.1</f>
        <v/>
      </c>
      <c r="C1058">
        <f>A1058/10</f>
        <v/>
      </c>
      <c r="D1058">
        <f>B1058=C1058</f>
        <v/>
      </c>
      <c r="E1058">
        <f>INT(B1058*10)=A1058</f>
        <v/>
      </c>
      <c r="F1058">
        <f>B1058&gt;=C1058</f>
        <v/>
      </c>
      <c r="G1058">
        <f>ROUND(G1057+0.1,1)</f>
        <v/>
      </c>
      <c r="H1058">
        <f>G1058=C1058</f>
        <v/>
      </c>
      <c r="I1058">
        <f>TEXT(B1058,"0.00000000000000")</f>
        <v/>
      </c>
    </row>
    <row r="1059">
      <c r="A1059" t="n">
        <v>1052</v>
      </c>
      <c r="B1059">
        <f>B1058+0.1</f>
        <v/>
      </c>
      <c r="C1059">
        <f>A1059/10</f>
        <v/>
      </c>
      <c r="D1059">
        <f>B1059=C1059</f>
        <v/>
      </c>
      <c r="E1059">
        <f>INT(B1059*10)=A1059</f>
        <v/>
      </c>
      <c r="F1059">
        <f>B1059&gt;=C1059</f>
        <v/>
      </c>
      <c r="G1059">
        <f>ROUND(G1058+0.1,1)</f>
        <v/>
      </c>
      <c r="H1059">
        <f>G1059=C1059</f>
        <v/>
      </c>
      <c r="I1059">
        <f>TEXT(B1059,"0.00000000000000")</f>
        <v/>
      </c>
    </row>
    <row r="1060">
      <c r="A1060" t="n">
        <v>1053</v>
      </c>
      <c r="B1060">
        <f>B1059+0.1</f>
        <v/>
      </c>
      <c r="C1060">
        <f>A1060/10</f>
        <v/>
      </c>
      <c r="D1060">
        <f>B1060=C1060</f>
        <v/>
      </c>
      <c r="E1060">
        <f>INT(B1060*10)=A1060</f>
        <v/>
      </c>
      <c r="F1060">
        <f>B1060&gt;=C1060</f>
        <v/>
      </c>
      <c r="G1060">
        <f>ROUND(G1059+0.1,1)</f>
        <v/>
      </c>
      <c r="H1060">
        <f>G1060=C1060</f>
        <v/>
      </c>
      <c r="I1060">
        <f>TEXT(B1060,"0.00000000000000")</f>
        <v/>
      </c>
    </row>
    <row r="1061">
      <c r="A1061" t="n">
        <v>1054</v>
      </c>
      <c r="B1061">
        <f>B1060+0.1</f>
        <v/>
      </c>
      <c r="C1061">
        <f>A1061/10</f>
        <v/>
      </c>
      <c r="D1061">
        <f>B1061=C1061</f>
        <v/>
      </c>
      <c r="E1061">
        <f>INT(B1061*10)=A1061</f>
        <v/>
      </c>
      <c r="F1061">
        <f>B1061&gt;=C1061</f>
        <v/>
      </c>
      <c r="G1061">
        <f>ROUND(G1060+0.1,1)</f>
        <v/>
      </c>
      <c r="H1061">
        <f>G1061=C1061</f>
        <v/>
      </c>
      <c r="I1061">
        <f>TEXT(B1061,"0.00000000000000")</f>
        <v/>
      </c>
    </row>
    <row r="1062">
      <c r="A1062" t="n">
        <v>1055</v>
      </c>
      <c r="B1062">
        <f>B1061+0.1</f>
        <v/>
      </c>
      <c r="C1062">
        <f>A1062/10</f>
        <v/>
      </c>
      <c r="D1062">
        <f>B1062=C1062</f>
        <v/>
      </c>
      <c r="E1062">
        <f>INT(B1062*10)=A1062</f>
        <v/>
      </c>
      <c r="F1062">
        <f>B1062&gt;=C1062</f>
        <v/>
      </c>
      <c r="G1062">
        <f>ROUND(G1061+0.1,1)</f>
        <v/>
      </c>
      <c r="H1062">
        <f>G1062=C1062</f>
        <v/>
      </c>
      <c r="I1062">
        <f>TEXT(B1062,"0.00000000000000")</f>
        <v/>
      </c>
    </row>
    <row r="1063">
      <c r="A1063" t="n">
        <v>1056</v>
      </c>
      <c r="B1063">
        <f>B1062+0.1</f>
        <v/>
      </c>
      <c r="C1063">
        <f>A1063/10</f>
        <v/>
      </c>
      <c r="D1063">
        <f>B1063=C1063</f>
        <v/>
      </c>
      <c r="E1063">
        <f>INT(B1063*10)=A1063</f>
        <v/>
      </c>
      <c r="F1063">
        <f>B1063&gt;=C1063</f>
        <v/>
      </c>
      <c r="G1063">
        <f>ROUND(G1062+0.1,1)</f>
        <v/>
      </c>
      <c r="H1063">
        <f>G1063=C1063</f>
        <v/>
      </c>
      <c r="I1063">
        <f>TEXT(B1063,"0.00000000000000")</f>
        <v/>
      </c>
    </row>
    <row r="1064">
      <c r="A1064" t="n">
        <v>1057</v>
      </c>
      <c r="B1064">
        <f>B1063+0.1</f>
        <v/>
      </c>
      <c r="C1064">
        <f>A1064/10</f>
        <v/>
      </c>
      <c r="D1064">
        <f>B1064=C1064</f>
        <v/>
      </c>
      <c r="E1064">
        <f>INT(B1064*10)=A1064</f>
        <v/>
      </c>
      <c r="F1064">
        <f>B1064&gt;=C1064</f>
        <v/>
      </c>
      <c r="G1064">
        <f>ROUND(G1063+0.1,1)</f>
        <v/>
      </c>
      <c r="H1064">
        <f>G1064=C1064</f>
        <v/>
      </c>
      <c r="I1064">
        <f>TEXT(B1064,"0.00000000000000")</f>
        <v/>
      </c>
    </row>
    <row r="1065">
      <c r="A1065" t="n">
        <v>1058</v>
      </c>
      <c r="B1065">
        <f>B1064+0.1</f>
        <v/>
      </c>
      <c r="C1065">
        <f>A1065/10</f>
        <v/>
      </c>
      <c r="D1065">
        <f>B1065=C1065</f>
        <v/>
      </c>
      <c r="E1065">
        <f>INT(B1065*10)=A1065</f>
        <v/>
      </c>
      <c r="F1065">
        <f>B1065&gt;=C1065</f>
        <v/>
      </c>
      <c r="G1065">
        <f>ROUND(G1064+0.1,1)</f>
        <v/>
      </c>
      <c r="H1065">
        <f>G1065=C1065</f>
        <v/>
      </c>
      <c r="I1065">
        <f>TEXT(B1065,"0.00000000000000")</f>
        <v/>
      </c>
    </row>
    <row r="1066">
      <c r="A1066" t="n">
        <v>1059</v>
      </c>
      <c r="B1066">
        <f>B1065+0.1</f>
        <v/>
      </c>
      <c r="C1066">
        <f>A1066/10</f>
        <v/>
      </c>
      <c r="D1066">
        <f>B1066=C1066</f>
        <v/>
      </c>
      <c r="E1066">
        <f>INT(B1066*10)=A1066</f>
        <v/>
      </c>
      <c r="F1066">
        <f>B1066&gt;=C1066</f>
        <v/>
      </c>
      <c r="G1066">
        <f>ROUND(G1065+0.1,1)</f>
        <v/>
      </c>
      <c r="H1066">
        <f>G1066=C1066</f>
        <v/>
      </c>
      <c r="I1066">
        <f>TEXT(B1066,"0.00000000000000")</f>
        <v/>
      </c>
    </row>
    <row r="1067">
      <c r="A1067" t="n">
        <v>1060</v>
      </c>
      <c r="B1067">
        <f>B1066+0.1</f>
        <v/>
      </c>
      <c r="C1067">
        <f>A1067/10</f>
        <v/>
      </c>
      <c r="D1067">
        <f>B1067=C1067</f>
        <v/>
      </c>
      <c r="E1067">
        <f>INT(B1067*10)=A1067</f>
        <v/>
      </c>
      <c r="F1067">
        <f>B1067&gt;=C1067</f>
        <v/>
      </c>
      <c r="G1067">
        <f>ROUND(G1066+0.1,1)</f>
        <v/>
      </c>
      <c r="H1067">
        <f>G1067=C1067</f>
        <v/>
      </c>
      <c r="I1067">
        <f>TEXT(B1067,"0.00000000000000")</f>
        <v/>
      </c>
    </row>
    <row r="1068">
      <c r="A1068" t="n">
        <v>1061</v>
      </c>
      <c r="B1068">
        <f>B1067+0.1</f>
        <v/>
      </c>
      <c r="C1068">
        <f>A1068/10</f>
        <v/>
      </c>
      <c r="D1068">
        <f>B1068=C1068</f>
        <v/>
      </c>
      <c r="E1068">
        <f>INT(B1068*10)=A1068</f>
        <v/>
      </c>
      <c r="F1068">
        <f>B1068&gt;=C1068</f>
        <v/>
      </c>
      <c r="G1068">
        <f>ROUND(G1067+0.1,1)</f>
        <v/>
      </c>
      <c r="H1068">
        <f>G1068=C1068</f>
        <v/>
      </c>
      <c r="I1068">
        <f>TEXT(B1068,"0.00000000000000")</f>
        <v/>
      </c>
    </row>
    <row r="1069">
      <c r="A1069" t="n">
        <v>1062</v>
      </c>
      <c r="B1069">
        <f>B1068+0.1</f>
        <v/>
      </c>
      <c r="C1069">
        <f>A1069/10</f>
        <v/>
      </c>
      <c r="D1069">
        <f>B1069=C1069</f>
        <v/>
      </c>
      <c r="E1069">
        <f>INT(B1069*10)=A1069</f>
        <v/>
      </c>
      <c r="F1069">
        <f>B1069&gt;=C1069</f>
        <v/>
      </c>
      <c r="G1069">
        <f>ROUND(G1068+0.1,1)</f>
        <v/>
      </c>
      <c r="H1069">
        <f>G1069=C1069</f>
        <v/>
      </c>
      <c r="I1069">
        <f>TEXT(B1069,"0.00000000000000")</f>
        <v/>
      </c>
    </row>
    <row r="1070">
      <c r="A1070" t="n">
        <v>1063</v>
      </c>
      <c r="B1070">
        <f>B1069+0.1</f>
        <v/>
      </c>
      <c r="C1070">
        <f>A1070/10</f>
        <v/>
      </c>
      <c r="D1070">
        <f>B1070=C1070</f>
        <v/>
      </c>
      <c r="E1070">
        <f>INT(B1070*10)=A1070</f>
        <v/>
      </c>
      <c r="F1070">
        <f>B1070&gt;=C1070</f>
        <v/>
      </c>
      <c r="G1070">
        <f>ROUND(G1069+0.1,1)</f>
        <v/>
      </c>
      <c r="H1070">
        <f>G1070=C1070</f>
        <v/>
      </c>
      <c r="I1070">
        <f>TEXT(B1070,"0.00000000000000")</f>
        <v/>
      </c>
    </row>
    <row r="1071">
      <c r="A1071" t="n">
        <v>1064</v>
      </c>
      <c r="B1071">
        <f>B1070+0.1</f>
        <v/>
      </c>
      <c r="C1071">
        <f>A1071/10</f>
        <v/>
      </c>
      <c r="D1071">
        <f>B1071=C1071</f>
        <v/>
      </c>
      <c r="E1071">
        <f>INT(B1071*10)=A1071</f>
        <v/>
      </c>
      <c r="F1071">
        <f>B1071&gt;=C1071</f>
        <v/>
      </c>
      <c r="G1071">
        <f>ROUND(G1070+0.1,1)</f>
        <v/>
      </c>
      <c r="H1071">
        <f>G1071=C1071</f>
        <v/>
      </c>
      <c r="I1071">
        <f>TEXT(B1071,"0.00000000000000")</f>
        <v/>
      </c>
    </row>
    <row r="1072">
      <c r="A1072" t="n">
        <v>1065</v>
      </c>
      <c r="B1072">
        <f>B1071+0.1</f>
        <v/>
      </c>
      <c r="C1072">
        <f>A1072/10</f>
        <v/>
      </c>
      <c r="D1072">
        <f>B1072=C1072</f>
        <v/>
      </c>
      <c r="E1072">
        <f>INT(B1072*10)=A1072</f>
        <v/>
      </c>
      <c r="F1072">
        <f>B1072&gt;=C1072</f>
        <v/>
      </c>
      <c r="G1072">
        <f>ROUND(G1071+0.1,1)</f>
        <v/>
      </c>
      <c r="H1072">
        <f>G1072=C1072</f>
        <v/>
      </c>
      <c r="I1072">
        <f>TEXT(B1072,"0.00000000000000")</f>
        <v/>
      </c>
    </row>
    <row r="1073">
      <c r="A1073" t="n">
        <v>1066</v>
      </c>
      <c r="B1073">
        <f>B1072+0.1</f>
        <v/>
      </c>
      <c r="C1073">
        <f>A1073/10</f>
        <v/>
      </c>
      <c r="D1073">
        <f>B1073=C1073</f>
        <v/>
      </c>
      <c r="E1073">
        <f>INT(B1073*10)=A1073</f>
        <v/>
      </c>
      <c r="F1073">
        <f>B1073&gt;=C1073</f>
        <v/>
      </c>
      <c r="G1073">
        <f>ROUND(G1072+0.1,1)</f>
        <v/>
      </c>
      <c r="H1073">
        <f>G1073=C1073</f>
        <v/>
      </c>
      <c r="I1073">
        <f>TEXT(B1073,"0.00000000000000")</f>
        <v/>
      </c>
    </row>
    <row r="1074">
      <c r="A1074" t="n">
        <v>1067</v>
      </c>
      <c r="B1074">
        <f>B1073+0.1</f>
        <v/>
      </c>
      <c r="C1074">
        <f>A1074/10</f>
        <v/>
      </c>
      <c r="D1074">
        <f>B1074=C1074</f>
        <v/>
      </c>
      <c r="E1074">
        <f>INT(B1074*10)=A1074</f>
        <v/>
      </c>
      <c r="F1074">
        <f>B1074&gt;=C1074</f>
        <v/>
      </c>
      <c r="G1074">
        <f>ROUND(G1073+0.1,1)</f>
        <v/>
      </c>
      <c r="H1074">
        <f>G1074=C1074</f>
        <v/>
      </c>
      <c r="I1074">
        <f>TEXT(B1074,"0.00000000000000")</f>
        <v/>
      </c>
    </row>
    <row r="1075">
      <c r="A1075" t="n">
        <v>1068</v>
      </c>
      <c r="B1075">
        <f>B1074+0.1</f>
        <v/>
      </c>
      <c r="C1075">
        <f>A1075/10</f>
        <v/>
      </c>
      <c r="D1075">
        <f>B1075=C1075</f>
        <v/>
      </c>
      <c r="E1075">
        <f>INT(B1075*10)=A1075</f>
        <v/>
      </c>
      <c r="F1075">
        <f>B1075&gt;=C1075</f>
        <v/>
      </c>
      <c r="G1075">
        <f>ROUND(G1074+0.1,1)</f>
        <v/>
      </c>
      <c r="H1075">
        <f>G1075=C1075</f>
        <v/>
      </c>
      <c r="I1075">
        <f>TEXT(B1075,"0.00000000000000")</f>
        <v/>
      </c>
    </row>
    <row r="1076">
      <c r="A1076" t="n">
        <v>1069</v>
      </c>
      <c r="B1076">
        <f>B1075+0.1</f>
        <v/>
      </c>
      <c r="C1076">
        <f>A1076/10</f>
        <v/>
      </c>
      <c r="D1076">
        <f>B1076=C1076</f>
        <v/>
      </c>
      <c r="E1076">
        <f>INT(B1076*10)=A1076</f>
        <v/>
      </c>
      <c r="F1076">
        <f>B1076&gt;=C1076</f>
        <v/>
      </c>
      <c r="G1076">
        <f>ROUND(G1075+0.1,1)</f>
        <v/>
      </c>
      <c r="H1076">
        <f>G1076=C1076</f>
        <v/>
      </c>
      <c r="I1076">
        <f>TEXT(B1076,"0.00000000000000")</f>
        <v/>
      </c>
    </row>
    <row r="1077">
      <c r="A1077" t="n">
        <v>1070</v>
      </c>
      <c r="B1077">
        <f>B1076+0.1</f>
        <v/>
      </c>
      <c r="C1077">
        <f>A1077/10</f>
        <v/>
      </c>
      <c r="D1077">
        <f>B1077=C1077</f>
        <v/>
      </c>
      <c r="E1077">
        <f>INT(B1077*10)=A1077</f>
        <v/>
      </c>
      <c r="F1077">
        <f>B1077&gt;=C1077</f>
        <v/>
      </c>
      <c r="G1077">
        <f>ROUND(G1076+0.1,1)</f>
        <v/>
      </c>
      <c r="H1077">
        <f>G1077=C1077</f>
        <v/>
      </c>
      <c r="I1077">
        <f>TEXT(B1077,"0.00000000000000")</f>
        <v/>
      </c>
    </row>
    <row r="1078">
      <c r="A1078" t="n">
        <v>1071</v>
      </c>
      <c r="B1078">
        <f>B1077+0.1</f>
        <v/>
      </c>
      <c r="C1078">
        <f>A1078/10</f>
        <v/>
      </c>
      <c r="D1078">
        <f>B1078=C1078</f>
        <v/>
      </c>
      <c r="E1078">
        <f>INT(B1078*10)=A1078</f>
        <v/>
      </c>
      <c r="F1078">
        <f>B1078&gt;=C1078</f>
        <v/>
      </c>
      <c r="G1078">
        <f>ROUND(G1077+0.1,1)</f>
        <v/>
      </c>
      <c r="H1078">
        <f>G1078=C1078</f>
        <v/>
      </c>
      <c r="I1078">
        <f>TEXT(B1078,"0.00000000000000")</f>
        <v/>
      </c>
    </row>
    <row r="1079">
      <c r="A1079" t="n">
        <v>1072</v>
      </c>
      <c r="B1079">
        <f>B1078+0.1</f>
        <v/>
      </c>
      <c r="C1079">
        <f>A1079/10</f>
        <v/>
      </c>
      <c r="D1079">
        <f>B1079=C1079</f>
        <v/>
      </c>
      <c r="E1079">
        <f>INT(B1079*10)=A1079</f>
        <v/>
      </c>
      <c r="F1079">
        <f>B1079&gt;=C1079</f>
        <v/>
      </c>
      <c r="G1079">
        <f>ROUND(G1078+0.1,1)</f>
        <v/>
      </c>
      <c r="H1079">
        <f>G1079=C1079</f>
        <v/>
      </c>
      <c r="I1079">
        <f>TEXT(B1079,"0.00000000000000")</f>
        <v/>
      </c>
    </row>
    <row r="1080">
      <c r="A1080" t="n">
        <v>1073</v>
      </c>
      <c r="B1080">
        <f>B1079+0.1</f>
        <v/>
      </c>
      <c r="C1080">
        <f>A1080/10</f>
        <v/>
      </c>
      <c r="D1080">
        <f>B1080=C1080</f>
        <v/>
      </c>
      <c r="E1080">
        <f>INT(B1080*10)=A1080</f>
        <v/>
      </c>
      <c r="F1080">
        <f>B1080&gt;=C1080</f>
        <v/>
      </c>
      <c r="G1080">
        <f>ROUND(G1079+0.1,1)</f>
        <v/>
      </c>
      <c r="H1080">
        <f>G1080=C1080</f>
        <v/>
      </c>
      <c r="I1080">
        <f>TEXT(B1080,"0.00000000000000")</f>
        <v/>
      </c>
    </row>
    <row r="1081">
      <c r="A1081" t="n">
        <v>1074</v>
      </c>
      <c r="B1081">
        <f>B1080+0.1</f>
        <v/>
      </c>
      <c r="C1081">
        <f>A1081/10</f>
        <v/>
      </c>
      <c r="D1081">
        <f>B1081=C1081</f>
        <v/>
      </c>
      <c r="E1081">
        <f>INT(B1081*10)=A1081</f>
        <v/>
      </c>
      <c r="F1081">
        <f>B1081&gt;=C1081</f>
        <v/>
      </c>
      <c r="G1081">
        <f>ROUND(G1080+0.1,1)</f>
        <v/>
      </c>
      <c r="H1081">
        <f>G1081=C1081</f>
        <v/>
      </c>
      <c r="I1081">
        <f>TEXT(B1081,"0.00000000000000")</f>
        <v/>
      </c>
    </row>
    <row r="1082">
      <c r="A1082" t="n">
        <v>1075</v>
      </c>
      <c r="B1082">
        <f>B1081+0.1</f>
        <v/>
      </c>
      <c r="C1082">
        <f>A1082/10</f>
        <v/>
      </c>
      <c r="D1082">
        <f>B1082=C1082</f>
        <v/>
      </c>
      <c r="E1082">
        <f>INT(B1082*10)=A1082</f>
        <v/>
      </c>
      <c r="F1082">
        <f>B1082&gt;=C1082</f>
        <v/>
      </c>
      <c r="G1082">
        <f>ROUND(G1081+0.1,1)</f>
        <v/>
      </c>
      <c r="H1082">
        <f>G1082=C1082</f>
        <v/>
      </c>
      <c r="I1082">
        <f>TEXT(B1082,"0.00000000000000")</f>
        <v/>
      </c>
    </row>
    <row r="1083">
      <c r="A1083" t="n">
        <v>1076</v>
      </c>
      <c r="B1083">
        <f>B1082+0.1</f>
        <v/>
      </c>
      <c r="C1083">
        <f>A1083/10</f>
        <v/>
      </c>
      <c r="D1083">
        <f>B1083=C1083</f>
        <v/>
      </c>
      <c r="E1083">
        <f>INT(B1083*10)=A1083</f>
        <v/>
      </c>
      <c r="F1083">
        <f>B1083&gt;=C1083</f>
        <v/>
      </c>
      <c r="G1083">
        <f>ROUND(G1082+0.1,1)</f>
        <v/>
      </c>
      <c r="H1083">
        <f>G1083=C1083</f>
        <v/>
      </c>
      <c r="I1083">
        <f>TEXT(B1083,"0.00000000000000")</f>
        <v/>
      </c>
    </row>
    <row r="1084">
      <c r="A1084" t="n">
        <v>1077</v>
      </c>
      <c r="B1084">
        <f>B1083+0.1</f>
        <v/>
      </c>
      <c r="C1084">
        <f>A1084/10</f>
        <v/>
      </c>
      <c r="D1084">
        <f>B1084=C1084</f>
        <v/>
      </c>
      <c r="E1084">
        <f>INT(B1084*10)=A1084</f>
        <v/>
      </c>
      <c r="F1084">
        <f>B1084&gt;=C1084</f>
        <v/>
      </c>
      <c r="G1084">
        <f>ROUND(G1083+0.1,1)</f>
        <v/>
      </c>
      <c r="H1084">
        <f>G1084=C1084</f>
        <v/>
      </c>
      <c r="I1084">
        <f>TEXT(B1084,"0.00000000000000")</f>
        <v/>
      </c>
    </row>
    <row r="1085">
      <c r="A1085" t="n">
        <v>1078</v>
      </c>
      <c r="B1085">
        <f>B1084+0.1</f>
        <v/>
      </c>
      <c r="C1085">
        <f>A1085/10</f>
        <v/>
      </c>
      <c r="D1085">
        <f>B1085=C1085</f>
        <v/>
      </c>
      <c r="E1085">
        <f>INT(B1085*10)=A1085</f>
        <v/>
      </c>
      <c r="F1085">
        <f>B1085&gt;=C1085</f>
        <v/>
      </c>
      <c r="G1085">
        <f>ROUND(G1084+0.1,1)</f>
        <v/>
      </c>
      <c r="H1085">
        <f>G1085=C1085</f>
        <v/>
      </c>
      <c r="I1085">
        <f>TEXT(B1085,"0.00000000000000")</f>
        <v/>
      </c>
    </row>
    <row r="1086">
      <c r="A1086" t="n">
        <v>1079</v>
      </c>
      <c r="B1086">
        <f>B1085+0.1</f>
        <v/>
      </c>
      <c r="C1086">
        <f>A1086/10</f>
        <v/>
      </c>
      <c r="D1086">
        <f>B1086=C1086</f>
        <v/>
      </c>
      <c r="E1086">
        <f>INT(B1086*10)=A1086</f>
        <v/>
      </c>
      <c r="F1086">
        <f>B1086&gt;=C1086</f>
        <v/>
      </c>
      <c r="G1086">
        <f>ROUND(G1085+0.1,1)</f>
        <v/>
      </c>
      <c r="H1086">
        <f>G1086=C1086</f>
        <v/>
      </c>
      <c r="I1086">
        <f>TEXT(B1086,"0.00000000000000")</f>
        <v/>
      </c>
    </row>
    <row r="1087">
      <c r="A1087" t="n">
        <v>1080</v>
      </c>
      <c r="B1087">
        <f>B1086+0.1</f>
        <v/>
      </c>
      <c r="C1087">
        <f>A1087/10</f>
        <v/>
      </c>
      <c r="D1087">
        <f>B1087=C1087</f>
        <v/>
      </c>
      <c r="E1087">
        <f>INT(B1087*10)=A1087</f>
        <v/>
      </c>
      <c r="F1087">
        <f>B1087&gt;=C1087</f>
        <v/>
      </c>
      <c r="G1087">
        <f>ROUND(G1086+0.1,1)</f>
        <v/>
      </c>
      <c r="H1087">
        <f>G1087=C1087</f>
        <v/>
      </c>
      <c r="I1087">
        <f>TEXT(B1087,"0.00000000000000")</f>
        <v/>
      </c>
    </row>
    <row r="1088">
      <c r="A1088" t="n">
        <v>1081</v>
      </c>
      <c r="B1088">
        <f>B1087+0.1</f>
        <v/>
      </c>
      <c r="C1088">
        <f>A1088/10</f>
        <v/>
      </c>
      <c r="D1088">
        <f>B1088=C1088</f>
        <v/>
      </c>
      <c r="E1088">
        <f>INT(B1088*10)=A1088</f>
        <v/>
      </c>
      <c r="F1088">
        <f>B1088&gt;=C1088</f>
        <v/>
      </c>
      <c r="G1088">
        <f>ROUND(G1087+0.1,1)</f>
        <v/>
      </c>
      <c r="H1088">
        <f>G1088=C1088</f>
        <v/>
      </c>
      <c r="I1088">
        <f>TEXT(B1088,"0.00000000000000")</f>
        <v/>
      </c>
    </row>
    <row r="1089">
      <c r="A1089" t="n">
        <v>1082</v>
      </c>
      <c r="B1089">
        <f>B1088+0.1</f>
        <v/>
      </c>
      <c r="C1089">
        <f>A1089/10</f>
        <v/>
      </c>
      <c r="D1089">
        <f>B1089=C1089</f>
        <v/>
      </c>
      <c r="E1089">
        <f>INT(B1089*10)=A1089</f>
        <v/>
      </c>
      <c r="F1089">
        <f>B1089&gt;=C1089</f>
        <v/>
      </c>
      <c r="G1089">
        <f>ROUND(G1088+0.1,1)</f>
        <v/>
      </c>
      <c r="H1089">
        <f>G1089=C1089</f>
        <v/>
      </c>
      <c r="I1089">
        <f>TEXT(B1089,"0.00000000000000")</f>
        <v/>
      </c>
    </row>
    <row r="1090">
      <c r="A1090" t="n">
        <v>1083</v>
      </c>
      <c r="B1090">
        <f>B1089+0.1</f>
        <v/>
      </c>
      <c r="C1090">
        <f>A1090/10</f>
        <v/>
      </c>
      <c r="D1090">
        <f>B1090=C1090</f>
        <v/>
      </c>
      <c r="E1090">
        <f>INT(B1090*10)=A1090</f>
        <v/>
      </c>
      <c r="F1090">
        <f>B1090&gt;=C1090</f>
        <v/>
      </c>
      <c r="G1090">
        <f>ROUND(G1089+0.1,1)</f>
        <v/>
      </c>
      <c r="H1090">
        <f>G1090=C1090</f>
        <v/>
      </c>
      <c r="I1090">
        <f>TEXT(B1090,"0.00000000000000")</f>
        <v/>
      </c>
    </row>
    <row r="1091">
      <c r="A1091" t="n">
        <v>1084</v>
      </c>
      <c r="B1091">
        <f>B1090+0.1</f>
        <v/>
      </c>
      <c r="C1091">
        <f>A1091/10</f>
        <v/>
      </c>
      <c r="D1091">
        <f>B1091=C1091</f>
        <v/>
      </c>
      <c r="E1091">
        <f>INT(B1091*10)=A1091</f>
        <v/>
      </c>
      <c r="F1091">
        <f>B1091&gt;=C1091</f>
        <v/>
      </c>
      <c r="G1091">
        <f>ROUND(G1090+0.1,1)</f>
        <v/>
      </c>
      <c r="H1091">
        <f>G1091=C1091</f>
        <v/>
      </c>
      <c r="I1091">
        <f>TEXT(B1091,"0.00000000000000")</f>
        <v/>
      </c>
    </row>
    <row r="1092">
      <c r="A1092" t="n">
        <v>1085</v>
      </c>
      <c r="B1092">
        <f>B1091+0.1</f>
        <v/>
      </c>
      <c r="C1092">
        <f>A1092/10</f>
        <v/>
      </c>
      <c r="D1092">
        <f>B1092=C1092</f>
        <v/>
      </c>
      <c r="E1092">
        <f>INT(B1092*10)=A1092</f>
        <v/>
      </c>
      <c r="F1092">
        <f>B1092&gt;=C1092</f>
        <v/>
      </c>
      <c r="G1092">
        <f>ROUND(G1091+0.1,1)</f>
        <v/>
      </c>
      <c r="H1092">
        <f>G1092=C1092</f>
        <v/>
      </c>
      <c r="I1092">
        <f>TEXT(B1092,"0.00000000000000")</f>
        <v/>
      </c>
    </row>
    <row r="1093">
      <c r="A1093" t="n">
        <v>1086</v>
      </c>
      <c r="B1093">
        <f>B1092+0.1</f>
        <v/>
      </c>
      <c r="C1093">
        <f>A1093/10</f>
        <v/>
      </c>
      <c r="D1093">
        <f>B1093=C1093</f>
        <v/>
      </c>
      <c r="E1093">
        <f>INT(B1093*10)=A1093</f>
        <v/>
      </c>
      <c r="F1093">
        <f>B1093&gt;=C1093</f>
        <v/>
      </c>
      <c r="G1093">
        <f>ROUND(G1092+0.1,1)</f>
        <v/>
      </c>
      <c r="H1093">
        <f>G1093=C1093</f>
        <v/>
      </c>
      <c r="I1093">
        <f>TEXT(B1093,"0.00000000000000")</f>
        <v/>
      </c>
    </row>
    <row r="1094">
      <c r="A1094" t="n">
        <v>1087</v>
      </c>
      <c r="B1094">
        <f>B1093+0.1</f>
        <v/>
      </c>
      <c r="C1094">
        <f>A1094/10</f>
        <v/>
      </c>
      <c r="D1094">
        <f>B1094=C1094</f>
        <v/>
      </c>
      <c r="E1094">
        <f>INT(B1094*10)=A1094</f>
        <v/>
      </c>
      <c r="F1094">
        <f>B1094&gt;=C1094</f>
        <v/>
      </c>
      <c r="G1094">
        <f>ROUND(G1093+0.1,1)</f>
        <v/>
      </c>
      <c r="H1094">
        <f>G1094=C1094</f>
        <v/>
      </c>
      <c r="I1094">
        <f>TEXT(B1094,"0.00000000000000")</f>
        <v/>
      </c>
    </row>
    <row r="1095">
      <c r="A1095" t="n">
        <v>1088</v>
      </c>
      <c r="B1095">
        <f>B1094+0.1</f>
        <v/>
      </c>
      <c r="C1095">
        <f>A1095/10</f>
        <v/>
      </c>
      <c r="D1095">
        <f>B1095=C1095</f>
        <v/>
      </c>
      <c r="E1095">
        <f>INT(B1095*10)=A1095</f>
        <v/>
      </c>
      <c r="F1095">
        <f>B1095&gt;=C1095</f>
        <v/>
      </c>
      <c r="G1095">
        <f>ROUND(G1094+0.1,1)</f>
        <v/>
      </c>
      <c r="H1095">
        <f>G1095=C1095</f>
        <v/>
      </c>
      <c r="I1095">
        <f>TEXT(B1095,"0.00000000000000")</f>
        <v/>
      </c>
    </row>
    <row r="1096">
      <c r="A1096" t="n">
        <v>1089</v>
      </c>
      <c r="B1096">
        <f>B1095+0.1</f>
        <v/>
      </c>
      <c r="C1096">
        <f>A1096/10</f>
        <v/>
      </c>
      <c r="D1096">
        <f>B1096=C1096</f>
        <v/>
      </c>
      <c r="E1096">
        <f>INT(B1096*10)=A1096</f>
        <v/>
      </c>
      <c r="F1096">
        <f>B1096&gt;=C1096</f>
        <v/>
      </c>
      <c r="G1096">
        <f>ROUND(G1095+0.1,1)</f>
        <v/>
      </c>
      <c r="H1096">
        <f>G1096=C1096</f>
        <v/>
      </c>
      <c r="I1096">
        <f>TEXT(B1096,"0.00000000000000")</f>
        <v/>
      </c>
    </row>
    <row r="1097">
      <c r="A1097" t="n">
        <v>1090</v>
      </c>
      <c r="B1097">
        <f>B1096+0.1</f>
        <v/>
      </c>
      <c r="C1097">
        <f>A1097/10</f>
        <v/>
      </c>
      <c r="D1097">
        <f>B1097=C1097</f>
        <v/>
      </c>
      <c r="E1097">
        <f>INT(B1097*10)=A1097</f>
        <v/>
      </c>
      <c r="F1097">
        <f>B1097&gt;=C1097</f>
        <v/>
      </c>
      <c r="G1097">
        <f>ROUND(G1096+0.1,1)</f>
        <v/>
      </c>
      <c r="H1097">
        <f>G1097=C1097</f>
        <v/>
      </c>
      <c r="I1097">
        <f>TEXT(B1097,"0.00000000000000")</f>
        <v/>
      </c>
    </row>
    <row r="1098">
      <c r="A1098" t="n">
        <v>1091</v>
      </c>
      <c r="B1098">
        <f>B1097+0.1</f>
        <v/>
      </c>
      <c r="C1098">
        <f>A1098/10</f>
        <v/>
      </c>
      <c r="D1098">
        <f>B1098=C1098</f>
        <v/>
      </c>
      <c r="E1098">
        <f>INT(B1098*10)=A1098</f>
        <v/>
      </c>
      <c r="F1098">
        <f>B1098&gt;=C1098</f>
        <v/>
      </c>
      <c r="G1098">
        <f>ROUND(G1097+0.1,1)</f>
        <v/>
      </c>
      <c r="H1098">
        <f>G1098=C1098</f>
        <v/>
      </c>
      <c r="I1098">
        <f>TEXT(B1098,"0.00000000000000")</f>
        <v/>
      </c>
    </row>
    <row r="1099">
      <c r="A1099" t="n">
        <v>1092</v>
      </c>
      <c r="B1099">
        <f>B1098+0.1</f>
        <v/>
      </c>
      <c r="C1099">
        <f>A1099/10</f>
        <v/>
      </c>
      <c r="D1099">
        <f>B1099=C1099</f>
        <v/>
      </c>
      <c r="E1099">
        <f>INT(B1099*10)=A1099</f>
        <v/>
      </c>
      <c r="F1099">
        <f>B1099&gt;=C1099</f>
        <v/>
      </c>
      <c r="G1099">
        <f>ROUND(G1098+0.1,1)</f>
        <v/>
      </c>
      <c r="H1099">
        <f>G1099=C1099</f>
        <v/>
      </c>
      <c r="I1099">
        <f>TEXT(B1099,"0.00000000000000")</f>
        <v/>
      </c>
    </row>
    <row r="1100">
      <c r="A1100" t="n">
        <v>1093</v>
      </c>
      <c r="B1100">
        <f>B1099+0.1</f>
        <v/>
      </c>
      <c r="C1100">
        <f>A1100/10</f>
        <v/>
      </c>
      <c r="D1100">
        <f>B1100=C1100</f>
        <v/>
      </c>
      <c r="E1100">
        <f>INT(B1100*10)=A1100</f>
        <v/>
      </c>
      <c r="F1100">
        <f>B1100&gt;=C1100</f>
        <v/>
      </c>
      <c r="G1100">
        <f>ROUND(G1099+0.1,1)</f>
        <v/>
      </c>
      <c r="H1100">
        <f>G1100=C1100</f>
        <v/>
      </c>
      <c r="I1100">
        <f>TEXT(B1100,"0.00000000000000")</f>
        <v/>
      </c>
    </row>
    <row r="1101">
      <c r="A1101" t="n">
        <v>1094</v>
      </c>
      <c r="B1101">
        <f>B1100+0.1</f>
        <v/>
      </c>
      <c r="C1101">
        <f>A1101/10</f>
        <v/>
      </c>
      <c r="D1101">
        <f>B1101=C1101</f>
        <v/>
      </c>
      <c r="E1101">
        <f>INT(B1101*10)=A1101</f>
        <v/>
      </c>
      <c r="F1101">
        <f>B1101&gt;=C1101</f>
        <v/>
      </c>
      <c r="G1101">
        <f>ROUND(G1100+0.1,1)</f>
        <v/>
      </c>
      <c r="H1101">
        <f>G1101=C1101</f>
        <v/>
      </c>
      <c r="I1101">
        <f>TEXT(B1101,"0.00000000000000")</f>
        <v/>
      </c>
    </row>
    <row r="1102">
      <c r="A1102" t="n">
        <v>1095</v>
      </c>
      <c r="B1102">
        <f>B1101+0.1</f>
        <v/>
      </c>
      <c r="C1102">
        <f>A1102/10</f>
        <v/>
      </c>
      <c r="D1102">
        <f>B1102=C1102</f>
        <v/>
      </c>
      <c r="E1102">
        <f>INT(B1102*10)=A1102</f>
        <v/>
      </c>
      <c r="F1102">
        <f>B1102&gt;=C1102</f>
        <v/>
      </c>
      <c r="G1102">
        <f>ROUND(G1101+0.1,1)</f>
        <v/>
      </c>
      <c r="H1102">
        <f>G1102=C1102</f>
        <v/>
      </c>
      <c r="I1102">
        <f>TEXT(B1102,"0.00000000000000")</f>
        <v/>
      </c>
    </row>
    <row r="1103">
      <c r="A1103" t="n">
        <v>1096</v>
      </c>
      <c r="B1103">
        <f>B1102+0.1</f>
        <v/>
      </c>
      <c r="C1103">
        <f>A1103/10</f>
        <v/>
      </c>
      <c r="D1103">
        <f>B1103=C1103</f>
        <v/>
      </c>
      <c r="E1103">
        <f>INT(B1103*10)=A1103</f>
        <v/>
      </c>
      <c r="F1103">
        <f>B1103&gt;=C1103</f>
        <v/>
      </c>
      <c r="G1103">
        <f>ROUND(G1102+0.1,1)</f>
        <v/>
      </c>
      <c r="H1103">
        <f>G1103=C1103</f>
        <v/>
      </c>
      <c r="I1103">
        <f>TEXT(B1103,"0.00000000000000")</f>
        <v/>
      </c>
    </row>
    <row r="1104">
      <c r="A1104" t="n">
        <v>1097</v>
      </c>
      <c r="B1104">
        <f>B1103+0.1</f>
        <v/>
      </c>
      <c r="C1104">
        <f>A1104/10</f>
        <v/>
      </c>
      <c r="D1104">
        <f>B1104=C1104</f>
        <v/>
      </c>
      <c r="E1104">
        <f>INT(B1104*10)=A1104</f>
        <v/>
      </c>
      <c r="F1104">
        <f>B1104&gt;=C1104</f>
        <v/>
      </c>
      <c r="G1104">
        <f>ROUND(G1103+0.1,1)</f>
        <v/>
      </c>
      <c r="H1104">
        <f>G1104=C1104</f>
        <v/>
      </c>
      <c r="I1104">
        <f>TEXT(B1104,"0.00000000000000")</f>
        <v/>
      </c>
    </row>
    <row r="1105">
      <c r="A1105" t="n">
        <v>1098</v>
      </c>
      <c r="B1105">
        <f>B1104+0.1</f>
        <v/>
      </c>
      <c r="C1105">
        <f>A1105/10</f>
        <v/>
      </c>
      <c r="D1105">
        <f>B1105=C1105</f>
        <v/>
      </c>
      <c r="E1105">
        <f>INT(B1105*10)=A1105</f>
        <v/>
      </c>
      <c r="F1105">
        <f>B1105&gt;=C1105</f>
        <v/>
      </c>
      <c r="G1105">
        <f>ROUND(G1104+0.1,1)</f>
        <v/>
      </c>
      <c r="H1105">
        <f>G1105=C1105</f>
        <v/>
      </c>
      <c r="I1105">
        <f>TEXT(B1105,"0.00000000000000")</f>
        <v/>
      </c>
    </row>
    <row r="1106">
      <c r="A1106" t="n">
        <v>1099</v>
      </c>
      <c r="B1106">
        <f>B1105+0.1</f>
        <v/>
      </c>
      <c r="C1106">
        <f>A1106/10</f>
        <v/>
      </c>
      <c r="D1106">
        <f>B1106=C1106</f>
        <v/>
      </c>
      <c r="E1106">
        <f>INT(B1106*10)=A1106</f>
        <v/>
      </c>
      <c r="F1106">
        <f>B1106&gt;=C1106</f>
        <v/>
      </c>
      <c r="G1106">
        <f>ROUND(G1105+0.1,1)</f>
        <v/>
      </c>
      <c r="H1106">
        <f>G1106=C1106</f>
        <v/>
      </c>
      <c r="I1106">
        <f>TEXT(B1106,"0.00000000000000")</f>
        <v/>
      </c>
    </row>
    <row r="1107">
      <c r="A1107" t="n">
        <v>1100</v>
      </c>
      <c r="B1107">
        <f>B1106+0.1</f>
        <v/>
      </c>
      <c r="C1107">
        <f>A1107/10</f>
        <v/>
      </c>
      <c r="D1107">
        <f>B1107=C1107</f>
        <v/>
      </c>
      <c r="E1107">
        <f>INT(B1107*10)=A1107</f>
        <v/>
      </c>
      <c r="F1107">
        <f>B1107&gt;=C1107</f>
        <v/>
      </c>
      <c r="G1107">
        <f>ROUND(G1106+0.1,1)</f>
        <v/>
      </c>
      <c r="H1107">
        <f>G1107=C1107</f>
        <v/>
      </c>
      <c r="I1107">
        <f>TEXT(B1107,"0.00000000000000")</f>
        <v/>
      </c>
    </row>
    <row r="1108">
      <c r="A1108" t="n">
        <v>1101</v>
      </c>
      <c r="B1108">
        <f>B1107+0.1</f>
        <v/>
      </c>
      <c r="C1108">
        <f>A1108/10</f>
        <v/>
      </c>
      <c r="D1108">
        <f>B1108=C1108</f>
        <v/>
      </c>
      <c r="E1108">
        <f>INT(B1108*10)=A1108</f>
        <v/>
      </c>
      <c r="F1108">
        <f>B1108&gt;=C1108</f>
        <v/>
      </c>
      <c r="G1108">
        <f>ROUND(G1107+0.1,1)</f>
        <v/>
      </c>
      <c r="H1108">
        <f>G1108=C1108</f>
        <v/>
      </c>
      <c r="I1108">
        <f>TEXT(B1108,"0.00000000000000")</f>
        <v/>
      </c>
    </row>
    <row r="1109">
      <c r="A1109" t="n">
        <v>1102</v>
      </c>
      <c r="B1109">
        <f>B1108+0.1</f>
        <v/>
      </c>
      <c r="C1109">
        <f>A1109/10</f>
        <v/>
      </c>
      <c r="D1109">
        <f>B1109=C1109</f>
        <v/>
      </c>
      <c r="E1109">
        <f>INT(B1109*10)=A1109</f>
        <v/>
      </c>
      <c r="F1109">
        <f>B1109&gt;=C1109</f>
        <v/>
      </c>
      <c r="G1109">
        <f>ROUND(G1108+0.1,1)</f>
        <v/>
      </c>
      <c r="H1109">
        <f>G1109=C1109</f>
        <v/>
      </c>
      <c r="I1109">
        <f>TEXT(B1109,"0.00000000000000")</f>
        <v/>
      </c>
    </row>
    <row r="1110">
      <c r="A1110" t="n">
        <v>1103</v>
      </c>
      <c r="B1110">
        <f>B1109+0.1</f>
        <v/>
      </c>
      <c r="C1110">
        <f>A1110/10</f>
        <v/>
      </c>
      <c r="D1110">
        <f>B1110=C1110</f>
        <v/>
      </c>
      <c r="E1110">
        <f>INT(B1110*10)=A1110</f>
        <v/>
      </c>
      <c r="F1110">
        <f>B1110&gt;=C1110</f>
        <v/>
      </c>
      <c r="G1110">
        <f>ROUND(G1109+0.1,1)</f>
        <v/>
      </c>
      <c r="H1110">
        <f>G1110=C1110</f>
        <v/>
      </c>
      <c r="I1110">
        <f>TEXT(B1110,"0.00000000000000")</f>
        <v/>
      </c>
    </row>
    <row r="1111">
      <c r="A1111" t="n">
        <v>1104</v>
      </c>
      <c r="B1111">
        <f>B1110+0.1</f>
        <v/>
      </c>
      <c r="C1111">
        <f>A1111/10</f>
        <v/>
      </c>
      <c r="D1111">
        <f>B1111=C1111</f>
        <v/>
      </c>
      <c r="E1111">
        <f>INT(B1111*10)=A1111</f>
        <v/>
      </c>
      <c r="F1111">
        <f>B1111&gt;=C1111</f>
        <v/>
      </c>
      <c r="G1111">
        <f>ROUND(G1110+0.1,1)</f>
        <v/>
      </c>
      <c r="H1111">
        <f>G1111=C1111</f>
        <v/>
      </c>
      <c r="I1111">
        <f>TEXT(B1111,"0.00000000000000")</f>
        <v/>
      </c>
    </row>
    <row r="1112">
      <c r="A1112" t="n">
        <v>1105</v>
      </c>
      <c r="B1112">
        <f>B1111+0.1</f>
        <v/>
      </c>
      <c r="C1112">
        <f>A1112/10</f>
        <v/>
      </c>
      <c r="D1112">
        <f>B1112=C1112</f>
        <v/>
      </c>
      <c r="E1112">
        <f>INT(B1112*10)=A1112</f>
        <v/>
      </c>
      <c r="F1112">
        <f>B1112&gt;=C1112</f>
        <v/>
      </c>
      <c r="G1112">
        <f>ROUND(G1111+0.1,1)</f>
        <v/>
      </c>
      <c r="H1112">
        <f>G1112=C1112</f>
        <v/>
      </c>
      <c r="I1112">
        <f>TEXT(B1112,"0.00000000000000")</f>
        <v/>
      </c>
    </row>
    <row r="1113">
      <c r="A1113" t="n">
        <v>1106</v>
      </c>
      <c r="B1113">
        <f>B1112+0.1</f>
        <v/>
      </c>
      <c r="C1113">
        <f>A1113/10</f>
        <v/>
      </c>
      <c r="D1113">
        <f>B1113=C1113</f>
        <v/>
      </c>
      <c r="E1113">
        <f>INT(B1113*10)=A1113</f>
        <v/>
      </c>
      <c r="F1113">
        <f>B1113&gt;=C1113</f>
        <v/>
      </c>
      <c r="G1113">
        <f>ROUND(G1112+0.1,1)</f>
        <v/>
      </c>
      <c r="H1113">
        <f>G1113=C1113</f>
        <v/>
      </c>
      <c r="I1113">
        <f>TEXT(B1113,"0.00000000000000")</f>
        <v/>
      </c>
    </row>
    <row r="1114">
      <c r="A1114" t="n">
        <v>1107</v>
      </c>
      <c r="B1114">
        <f>B1113+0.1</f>
        <v/>
      </c>
      <c r="C1114">
        <f>A1114/10</f>
        <v/>
      </c>
      <c r="D1114">
        <f>B1114=C1114</f>
        <v/>
      </c>
      <c r="E1114">
        <f>INT(B1114*10)=A1114</f>
        <v/>
      </c>
      <c r="F1114">
        <f>B1114&gt;=C1114</f>
        <v/>
      </c>
      <c r="G1114">
        <f>ROUND(G1113+0.1,1)</f>
        <v/>
      </c>
      <c r="H1114">
        <f>G1114=C1114</f>
        <v/>
      </c>
      <c r="I1114">
        <f>TEXT(B1114,"0.00000000000000")</f>
        <v/>
      </c>
    </row>
    <row r="1115">
      <c r="A1115" t="n">
        <v>1108</v>
      </c>
      <c r="B1115">
        <f>B1114+0.1</f>
        <v/>
      </c>
      <c r="C1115">
        <f>A1115/10</f>
        <v/>
      </c>
      <c r="D1115">
        <f>B1115=C1115</f>
        <v/>
      </c>
      <c r="E1115">
        <f>INT(B1115*10)=A1115</f>
        <v/>
      </c>
      <c r="F1115">
        <f>B1115&gt;=C1115</f>
        <v/>
      </c>
      <c r="G1115">
        <f>ROUND(G1114+0.1,1)</f>
        <v/>
      </c>
      <c r="H1115">
        <f>G1115=C1115</f>
        <v/>
      </c>
      <c r="I1115">
        <f>TEXT(B1115,"0.00000000000000")</f>
        <v/>
      </c>
    </row>
    <row r="1116">
      <c r="A1116" t="n">
        <v>1109</v>
      </c>
      <c r="B1116">
        <f>B1115+0.1</f>
        <v/>
      </c>
      <c r="C1116">
        <f>A1116/10</f>
        <v/>
      </c>
      <c r="D1116">
        <f>B1116=C1116</f>
        <v/>
      </c>
      <c r="E1116">
        <f>INT(B1116*10)=A1116</f>
        <v/>
      </c>
      <c r="F1116">
        <f>B1116&gt;=C1116</f>
        <v/>
      </c>
      <c r="G1116">
        <f>ROUND(G1115+0.1,1)</f>
        <v/>
      </c>
      <c r="H1116">
        <f>G1116=C1116</f>
        <v/>
      </c>
      <c r="I1116">
        <f>TEXT(B1116,"0.00000000000000")</f>
        <v/>
      </c>
    </row>
    <row r="1117">
      <c r="A1117" t="n">
        <v>1110</v>
      </c>
      <c r="B1117">
        <f>B1116+0.1</f>
        <v/>
      </c>
      <c r="C1117">
        <f>A1117/10</f>
        <v/>
      </c>
      <c r="D1117">
        <f>B1117=C1117</f>
        <v/>
      </c>
      <c r="E1117">
        <f>INT(B1117*10)=A1117</f>
        <v/>
      </c>
      <c r="F1117">
        <f>B1117&gt;=C1117</f>
        <v/>
      </c>
      <c r="G1117">
        <f>ROUND(G1116+0.1,1)</f>
        <v/>
      </c>
      <c r="H1117">
        <f>G1117=C1117</f>
        <v/>
      </c>
      <c r="I1117">
        <f>TEXT(B1117,"0.00000000000000")</f>
        <v/>
      </c>
    </row>
    <row r="1118">
      <c r="A1118" t="n">
        <v>1111</v>
      </c>
      <c r="B1118">
        <f>B1117+0.1</f>
        <v/>
      </c>
      <c r="C1118">
        <f>A1118/10</f>
        <v/>
      </c>
      <c r="D1118">
        <f>B1118=C1118</f>
        <v/>
      </c>
      <c r="E1118">
        <f>INT(B1118*10)=A1118</f>
        <v/>
      </c>
      <c r="F1118">
        <f>B1118&gt;=C1118</f>
        <v/>
      </c>
      <c r="G1118">
        <f>ROUND(G1117+0.1,1)</f>
        <v/>
      </c>
      <c r="H1118">
        <f>G1118=C1118</f>
        <v/>
      </c>
      <c r="I1118">
        <f>TEXT(B1118,"0.00000000000000")</f>
        <v/>
      </c>
    </row>
    <row r="1119">
      <c r="A1119" t="n">
        <v>1112</v>
      </c>
      <c r="B1119">
        <f>B1118+0.1</f>
        <v/>
      </c>
      <c r="C1119">
        <f>A1119/10</f>
        <v/>
      </c>
      <c r="D1119">
        <f>B1119=C1119</f>
        <v/>
      </c>
      <c r="E1119">
        <f>INT(B1119*10)=A1119</f>
        <v/>
      </c>
      <c r="F1119">
        <f>B1119&gt;=C1119</f>
        <v/>
      </c>
      <c r="G1119">
        <f>ROUND(G1118+0.1,1)</f>
        <v/>
      </c>
      <c r="H1119">
        <f>G1119=C1119</f>
        <v/>
      </c>
      <c r="I1119">
        <f>TEXT(B1119,"0.00000000000000")</f>
        <v/>
      </c>
    </row>
    <row r="1120">
      <c r="A1120" t="n">
        <v>1113</v>
      </c>
      <c r="B1120">
        <f>B1119+0.1</f>
        <v/>
      </c>
      <c r="C1120">
        <f>A1120/10</f>
        <v/>
      </c>
      <c r="D1120">
        <f>B1120=C1120</f>
        <v/>
      </c>
      <c r="E1120">
        <f>INT(B1120*10)=A1120</f>
        <v/>
      </c>
      <c r="F1120">
        <f>B1120&gt;=C1120</f>
        <v/>
      </c>
      <c r="G1120">
        <f>ROUND(G1119+0.1,1)</f>
        <v/>
      </c>
      <c r="H1120">
        <f>G1120=C1120</f>
        <v/>
      </c>
      <c r="I1120">
        <f>TEXT(B1120,"0.00000000000000")</f>
        <v/>
      </c>
    </row>
    <row r="1121">
      <c r="A1121" t="n">
        <v>1114</v>
      </c>
      <c r="B1121">
        <f>B1120+0.1</f>
        <v/>
      </c>
      <c r="C1121">
        <f>A1121/10</f>
        <v/>
      </c>
      <c r="D1121">
        <f>B1121=C1121</f>
        <v/>
      </c>
      <c r="E1121">
        <f>INT(B1121*10)=A1121</f>
        <v/>
      </c>
      <c r="F1121">
        <f>B1121&gt;=C1121</f>
        <v/>
      </c>
      <c r="G1121">
        <f>ROUND(G1120+0.1,1)</f>
        <v/>
      </c>
      <c r="H1121">
        <f>G1121=C1121</f>
        <v/>
      </c>
      <c r="I1121">
        <f>TEXT(B1121,"0.00000000000000")</f>
        <v/>
      </c>
    </row>
    <row r="1122">
      <c r="A1122" t="n">
        <v>1115</v>
      </c>
      <c r="B1122">
        <f>B1121+0.1</f>
        <v/>
      </c>
      <c r="C1122">
        <f>A1122/10</f>
        <v/>
      </c>
      <c r="D1122">
        <f>B1122=C1122</f>
        <v/>
      </c>
      <c r="E1122">
        <f>INT(B1122*10)=A1122</f>
        <v/>
      </c>
      <c r="F1122">
        <f>B1122&gt;=C1122</f>
        <v/>
      </c>
      <c r="G1122">
        <f>ROUND(G1121+0.1,1)</f>
        <v/>
      </c>
      <c r="H1122">
        <f>G1122=C1122</f>
        <v/>
      </c>
      <c r="I1122">
        <f>TEXT(B1122,"0.00000000000000")</f>
        <v/>
      </c>
    </row>
    <row r="1123">
      <c r="A1123" t="n">
        <v>1116</v>
      </c>
      <c r="B1123">
        <f>B1122+0.1</f>
        <v/>
      </c>
      <c r="C1123">
        <f>A1123/10</f>
        <v/>
      </c>
      <c r="D1123">
        <f>B1123=C1123</f>
        <v/>
      </c>
      <c r="E1123">
        <f>INT(B1123*10)=A1123</f>
        <v/>
      </c>
      <c r="F1123">
        <f>B1123&gt;=C1123</f>
        <v/>
      </c>
      <c r="G1123">
        <f>ROUND(G1122+0.1,1)</f>
        <v/>
      </c>
      <c r="H1123">
        <f>G1123=C1123</f>
        <v/>
      </c>
      <c r="I1123">
        <f>TEXT(B1123,"0.00000000000000")</f>
        <v/>
      </c>
    </row>
    <row r="1124">
      <c r="A1124" t="n">
        <v>1117</v>
      </c>
      <c r="B1124">
        <f>B1123+0.1</f>
        <v/>
      </c>
      <c r="C1124">
        <f>A1124/10</f>
        <v/>
      </c>
      <c r="D1124">
        <f>B1124=C1124</f>
        <v/>
      </c>
      <c r="E1124">
        <f>INT(B1124*10)=A1124</f>
        <v/>
      </c>
      <c r="F1124">
        <f>B1124&gt;=C1124</f>
        <v/>
      </c>
      <c r="G1124">
        <f>ROUND(G1123+0.1,1)</f>
        <v/>
      </c>
      <c r="H1124">
        <f>G1124=C1124</f>
        <v/>
      </c>
      <c r="I1124">
        <f>TEXT(B1124,"0.00000000000000")</f>
        <v/>
      </c>
    </row>
    <row r="1125">
      <c r="A1125" t="n">
        <v>1118</v>
      </c>
      <c r="B1125">
        <f>B1124+0.1</f>
        <v/>
      </c>
      <c r="C1125">
        <f>A1125/10</f>
        <v/>
      </c>
      <c r="D1125">
        <f>B1125=C1125</f>
        <v/>
      </c>
      <c r="E1125">
        <f>INT(B1125*10)=A1125</f>
        <v/>
      </c>
      <c r="F1125">
        <f>B1125&gt;=C1125</f>
        <v/>
      </c>
      <c r="G1125">
        <f>ROUND(G1124+0.1,1)</f>
        <v/>
      </c>
      <c r="H1125">
        <f>G1125=C1125</f>
        <v/>
      </c>
      <c r="I1125">
        <f>TEXT(B1125,"0.00000000000000")</f>
        <v/>
      </c>
    </row>
    <row r="1126">
      <c r="A1126" t="n">
        <v>1119</v>
      </c>
      <c r="B1126">
        <f>B1125+0.1</f>
        <v/>
      </c>
      <c r="C1126">
        <f>A1126/10</f>
        <v/>
      </c>
      <c r="D1126">
        <f>B1126=C1126</f>
        <v/>
      </c>
      <c r="E1126">
        <f>INT(B1126*10)=A1126</f>
        <v/>
      </c>
      <c r="F1126">
        <f>B1126&gt;=C1126</f>
        <v/>
      </c>
      <c r="G1126">
        <f>ROUND(G1125+0.1,1)</f>
        <v/>
      </c>
      <c r="H1126">
        <f>G1126=C1126</f>
        <v/>
      </c>
      <c r="I1126">
        <f>TEXT(B1126,"0.00000000000000")</f>
        <v/>
      </c>
    </row>
    <row r="1127">
      <c r="A1127" t="n">
        <v>1120</v>
      </c>
      <c r="B1127">
        <f>B1126+0.1</f>
        <v/>
      </c>
      <c r="C1127">
        <f>A1127/10</f>
        <v/>
      </c>
      <c r="D1127">
        <f>B1127=C1127</f>
        <v/>
      </c>
      <c r="E1127">
        <f>INT(B1127*10)=A1127</f>
        <v/>
      </c>
      <c r="F1127">
        <f>B1127&gt;=C1127</f>
        <v/>
      </c>
      <c r="G1127">
        <f>ROUND(G1126+0.1,1)</f>
        <v/>
      </c>
      <c r="H1127">
        <f>G1127=C1127</f>
        <v/>
      </c>
      <c r="I1127">
        <f>TEXT(B1127,"0.00000000000000")</f>
        <v/>
      </c>
    </row>
    <row r="1128">
      <c r="A1128" t="n">
        <v>1121</v>
      </c>
      <c r="B1128">
        <f>B1127+0.1</f>
        <v/>
      </c>
      <c r="C1128">
        <f>A1128/10</f>
        <v/>
      </c>
      <c r="D1128">
        <f>B1128=C1128</f>
        <v/>
      </c>
      <c r="E1128">
        <f>INT(B1128*10)=A1128</f>
        <v/>
      </c>
      <c r="F1128">
        <f>B1128&gt;=C1128</f>
        <v/>
      </c>
      <c r="G1128">
        <f>ROUND(G1127+0.1,1)</f>
        <v/>
      </c>
      <c r="H1128">
        <f>G1128=C1128</f>
        <v/>
      </c>
      <c r="I1128">
        <f>TEXT(B1128,"0.00000000000000")</f>
        <v/>
      </c>
    </row>
    <row r="1129">
      <c r="A1129" t="n">
        <v>1122</v>
      </c>
      <c r="B1129">
        <f>B1128+0.1</f>
        <v/>
      </c>
      <c r="C1129">
        <f>A1129/10</f>
        <v/>
      </c>
      <c r="D1129">
        <f>B1129=C1129</f>
        <v/>
      </c>
      <c r="E1129">
        <f>INT(B1129*10)=A1129</f>
        <v/>
      </c>
      <c r="F1129">
        <f>B1129&gt;=C1129</f>
        <v/>
      </c>
      <c r="G1129">
        <f>ROUND(G1128+0.1,1)</f>
        <v/>
      </c>
      <c r="H1129">
        <f>G1129=C1129</f>
        <v/>
      </c>
      <c r="I1129">
        <f>TEXT(B1129,"0.00000000000000")</f>
        <v/>
      </c>
    </row>
    <row r="1130">
      <c r="A1130" t="n">
        <v>1123</v>
      </c>
      <c r="B1130">
        <f>B1129+0.1</f>
        <v/>
      </c>
      <c r="C1130">
        <f>A1130/10</f>
        <v/>
      </c>
      <c r="D1130">
        <f>B1130=C1130</f>
        <v/>
      </c>
      <c r="E1130">
        <f>INT(B1130*10)=A1130</f>
        <v/>
      </c>
      <c r="F1130">
        <f>B1130&gt;=C1130</f>
        <v/>
      </c>
      <c r="G1130">
        <f>ROUND(G1129+0.1,1)</f>
        <v/>
      </c>
      <c r="H1130">
        <f>G1130=C1130</f>
        <v/>
      </c>
      <c r="I1130">
        <f>TEXT(B1130,"0.00000000000000")</f>
        <v/>
      </c>
    </row>
    <row r="1131">
      <c r="A1131" t="n">
        <v>1124</v>
      </c>
      <c r="B1131">
        <f>B1130+0.1</f>
        <v/>
      </c>
      <c r="C1131">
        <f>A1131/10</f>
        <v/>
      </c>
      <c r="D1131">
        <f>B1131=C1131</f>
        <v/>
      </c>
      <c r="E1131">
        <f>INT(B1131*10)=A1131</f>
        <v/>
      </c>
      <c r="F1131">
        <f>B1131&gt;=C1131</f>
        <v/>
      </c>
      <c r="G1131">
        <f>ROUND(G1130+0.1,1)</f>
        <v/>
      </c>
      <c r="H1131">
        <f>G1131=C1131</f>
        <v/>
      </c>
      <c r="I1131">
        <f>TEXT(B1131,"0.00000000000000")</f>
        <v/>
      </c>
    </row>
    <row r="1132">
      <c r="A1132" t="n">
        <v>1125</v>
      </c>
      <c r="B1132">
        <f>B1131+0.1</f>
        <v/>
      </c>
      <c r="C1132">
        <f>A1132/10</f>
        <v/>
      </c>
      <c r="D1132">
        <f>B1132=C1132</f>
        <v/>
      </c>
      <c r="E1132">
        <f>INT(B1132*10)=A1132</f>
        <v/>
      </c>
      <c r="F1132">
        <f>B1132&gt;=C1132</f>
        <v/>
      </c>
      <c r="G1132">
        <f>ROUND(G1131+0.1,1)</f>
        <v/>
      </c>
      <c r="H1132">
        <f>G1132=C1132</f>
        <v/>
      </c>
      <c r="I1132">
        <f>TEXT(B1132,"0.00000000000000")</f>
        <v/>
      </c>
    </row>
    <row r="1133">
      <c r="A1133" t="n">
        <v>1126</v>
      </c>
      <c r="B1133">
        <f>B1132+0.1</f>
        <v/>
      </c>
      <c r="C1133">
        <f>A1133/10</f>
        <v/>
      </c>
      <c r="D1133">
        <f>B1133=C1133</f>
        <v/>
      </c>
      <c r="E1133">
        <f>INT(B1133*10)=A1133</f>
        <v/>
      </c>
      <c r="F1133">
        <f>B1133&gt;=C1133</f>
        <v/>
      </c>
      <c r="G1133">
        <f>ROUND(G1132+0.1,1)</f>
        <v/>
      </c>
      <c r="H1133">
        <f>G1133=C1133</f>
        <v/>
      </c>
      <c r="I1133">
        <f>TEXT(B1133,"0.00000000000000")</f>
        <v/>
      </c>
    </row>
    <row r="1134">
      <c r="A1134" t="n">
        <v>1127</v>
      </c>
      <c r="B1134">
        <f>B1133+0.1</f>
        <v/>
      </c>
      <c r="C1134">
        <f>A1134/10</f>
        <v/>
      </c>
      <c r="D1134">
        <f>B1134=C1134</f>
        <v/>
      </c>
      <c r="E1134">
        <f>INT(B1134*10)=A1134</f>
        <v/>
      </c>
      <c r="F1134">
        <f>B1134&gt;=C1134</f>
        <v/>
      </c>
      <c r="G1134">
        <f>ROUND(G1133+0.1,1)</f>
        <v/>
      </c>
      <c r="H1134">
        <f>G1134=C1134</f>
        <v/>
      </c>
      <c r="I1134">
        <f>TEXT(B1134,"0.00000000000000")</f>
        <v/>
      </c>
    </row>
    <row r="1135">
      <c r="A1135" t="n">
        <v>1128</v>
      </c>
      <c r="B1135">
        <f>B1134+0.1</f>
        <v/>
      </c>
      <c r="C1135">
        <f>A1135/10</f>
        <v/>
      </c>
      <c r="D1135">
        <f>B1135=C1135</f>
        <v/>
      </c>
      <c r="E1135">
        <f>INT(B1135*10)=A1135</f>
        <v/>
      </c>
      <c r="F1135">
        <f>B1135&gt;=C1135</f>
        <v/>
      </c>
      <c r="G1135">
        <f>ROUND(G1134+0.1,1)</f>
        <v/>
      </c>
      <c r="H1135">
        <f>G1135=C1135</f>
        <v/>
      </c>
      <c r="I1135">
        <f>TEXT(B1135,"0.00000000000000")</f>
        <v/>
      </c>
    </row>
    <row r="1136">
      <c r="A1136" t="n">
        <v>1129</v>
      </c>
      <c r="B1136">
        <f>B1135+0.1</f>
        <v/>
      </c>
      <c r="C1136">
        <f>A1136/10</f>
        <v/>
      </c>
      <c r="D1136">
        <f>B1136=C1136</f>
        <v/>
      </c>
      <c r="E1136">
        <f>INT(B1136*10)=A1136</f>
        <v/>
      </c>
      <c r="F1136">
        <f>B1136&gt;=C1136</f>
        <v/>
      </c>
      <c r="G1136">
        <f>ROUND(G1135+0.1,1)</f>
        <v/>
      </c>
      <c r="H1136">
        <f>G1136=C1136</f>
        <v/>
      </c>
      <c r="I1136">
        <f>TEXT(B1136,"0.00000000000000")</f>
        <v/>
      </c>
    </row>
    <row r="1137">
      <c r="A1137" t="n">
        <v>1130</v>
      </c>
      <c r="B1137">
        <f>B1136+0.1</f>
        <v/>
      </c>
      <c r="C1137">
        <f>A1137/10</f>
        <v/>
      </c>
      <c r="D1137">
        <f>B1137=C1137</f>
        <v/>
      </c>
      <c r="E1137">
        <f>INT(B1137*10)=A1137</f>
        <v/>
      </c>
      <c r="F1137">
        <f>B1137&gt;=C1137</f>
        <v/>
      </c>
      <c r="G1137">
        <f>ROUND(G1136+0.1,1)</f>
        <v/>
      </c>
      <c r="H1137">
        <f>G1137=C1137</f>
        <v/>
      </c>
      <c r="I1137">
        <f>TEXT(B1137,"0.00000000000000")</f>
        <v/>
      </c>
    </row>
    <row r="1138">
      <c r="A1138" t="n">
        <v>1131</v>
      </c>
      <c r="B1138">
        <f>B1137+0.1</f>
        <v/>
      </c>
      <c r="C1138">
        <f>A1138/10</f>
        <v/>
      </c>
      <c r="D1138">
        <f>B1138=C1138</f>
        <v/>
      </c>
      <c r="E1138">
        <f>INT(B1138*10)=A1138</f>
        <v/>
      </c>
      <c r="F1138">
        <f>B1138&gt;=C1138</f>
        <v/>
      </c>
      <c r="G1138">
        <f>ROUND(G1137+0.1,1)</f>
        <v/>
      </c>
      <c r="H1138">
        <f>G1138=C1138</f>
        <v/>
      </c>
      <c r="I1138">
        <f>TEXT(B1138,"0.00000000000000")</f>
        <v/>
      </c>
    </row>
    <row r="1139">
      <c r="A1139" t="n">
        <v>1132</v>
      </c>
      <c r="B1139">
        <f>B1138+0.1</f>
        <v/>
      </c>
      <c r="C1139">
        <f>A1139/10</f>
        <v/>
      </c>
      <c r="D1139">
        <f>B1139=C1139</f>
        <v/>
      </c>
      <c r="E1139">
        <f>INT(B1139*10)=A1139</f>
        <v/>
      </c>
      <c r="F1139">
        <f>B1139&gt;=C1139</f>
        <v/>
      </c>
      <c r="G1139">
        <f>ROUND(G1138+0.1,1)</f>
        <v/>
      </c>
      <c r="H1139">
        <f>G1139=C1139</f>
        <v/>
      </c>
      <c r="I1139">
        <f>TEXT(B1139,"0.00000000000000")</f>
        <v/>
      </c>
    </row>
    <row r="1140">
      <c r="A1140" t="n">
        <v>1133</v>
      </c>
      <c r="B1140">
        <f>B1139+0.1</f>
        <v/>
      </c>
      <c r="C1140">
        <f>A1140/10</f>
        <v/>
      </c>
      <c r="D1140">
        <f>B1140=C1140</f>
        <v/>
      </c>
      <c r="E1140">
        <f>INT(B1140*10)=A1140</f>
        <v/>
      </c>
      <c r="F1140">
        <f>B1140&gt;=C1140</f>
        <v/>
      </c>
      <c r="G1140">
        <f>ROUND(G1139+0.1,1)</f>
        <v/>
      </c>
      <c r="H1140">
        <f>G1140=C1140</f>
        <v/>
      </c>
      <c r="I1140">
        <f>TEXT(B1140,"0.00000000000000")</f>
        <v/>
      </c>
    </row>
    <row r="1141">
      <c r="A1141" t="n">
        <v>1134</v>
      </c>
      <c r="B1141">
        <f>B1140+0.1</f>
        <v/>
      </c>
      <c r="C1141">
        <f>A1141/10</f>
        <v/>
      </c>
      <c r="D1141">
        <f>B1141=C1141</f>
        <v/>
      </c>
      <c r="E1141">
        <f>INT(B1141*10)=A1141</f>
        <v/>
      </c>
      <c r="F1141">
        <f>B1141&gt;=C1141</f>
        <v/>
      </c>
      <c r="G1141">
        <f>ROUND(G1140+0.1,1)</f>
        <v/>
      </c>
      <c r="H1141">
        <f>G1141=C1141</f>
        <v/>
      </c>
      <c r="I1141">
        <f>TEXT(B1141,"0.00000000000000")</f>
        <v/>
      </c>
    </row>
    <row r="1142">
      <c r="A1142" t="n">
        <v>1135</v>
      </c>
      <c r="B1142">
        <f>B1141+0.1</f>
        <v/>
      </c>
      <c r="C1142">
        <f>A1142/10</f>
        <v/>
      </c>
      <c r="D1142">
        <f>B1142=C1142</f>
        <v/>
      </c>
      <c r="E1142">
        <f>INT(B1142*10)=A1142</f>
        <v/>
      </c>
      <c r="F1142">
        <f>B1142&gt;=C1142</f>
        <v/>
      </c>
      <c r="G1142">
        <f>ROUND(G1141+0.1,1)</f>
        <v/>
      </c>
      <c r="H1142">
        <f>G1142=C1142</f>
        <v/>
      </c>
      <c r="I1142">
        <f>TEXT(B1142,"0.00000000000000")</f>
        <v/>
      </c>
    </row>
    <row r="1143">
      <c r="A1143" t="n">
        <v>1136</v>
      </c>
      <c r="B1143">
        <f>B1142+0.1</f>
        <v/>
      </c>
      <c r="C1143">
        <f>A1143/10</f>
        <v/>
      </c>
      <c r="D1143">
        <f>B1143=C1143</f>
        <v/>
      </c>
      <c r="E1143">
        <f>INT(B1143*10)=A1143</f>
        <v/>
      </c>
      <c r="F1143">
        <f>B1143&gt;=C1143</f>
        <v/>
      </c>
      <c r="G1143">
        <f>ROUND(G1142+0.1,1)</f>
        <v/>
      </c>
      <c r="H1143">
        <f>G1143=C1143</f>
        <v/>
      </c>
      <c r="I1143">
        <f>TEXT(B1143,"0.00000000000000")</f>
        <v/>
      </c>
    </row>
    <row r="1144">
      <c r="A1144" t="n">
        <v>1137</v>
      </c>
      <c r="B1144">
        <f>B1143+0.1</f>
        <v/>
      </c>
      <c r="C1144">
        <f>A1144/10</f>
        <v/>
      </c>
      <c r="D1144">
        <f>B1144=C1144</f>
        <v/>
      </c>
      <c r="E1144">
        <f>INT(B1144*10)=A1144</f>
        <v/>
      </c>
      <c r="F1144">
        <f>B1144&gt;=C1144</f>
        <v/>
      </c>
      <c r="G1144">
        <f>ROUND(G1143+0.1,1)</f>
        <v/>
      </c>
      <c r="H1144">
        <f>G1144=C1144</f>
        <v/>
      </c>
      <c r="I1144">
        <f>TEXT(B1144,"0.00000000000000")</f>
        <v/>
      </c>
    </row>
    <row r="1145">
      <c r="A1145" t="n">
        <v>1138</v>
      </c>
      <c r="B1145">
        <f>B1144+0.1</f>
        <v/>
      </c>
      <c r="C1145">
        <f>A1145/10</f>
        <v/>
      </c>
      <c r="D1145">
        <f>B1145=C1145</f>
        <v/>
      </c>
      <c r="E1145">
        <f>INT(B1145*10)=A1145</f>
        <v/>
      </c>
      <c r="F1145">
        <f>B1145&gt;=C1145</f>
        <v/>
      </c>
      <c r="G1145">
        <f>ROUND(G1144+0.1,1)</f>
        <v/>
      </c>
      <c r="H1145">
        <f>G1145=C1145</f>
        <v/>
      </c>
      <c r="I1145">
        <f>TEXT(B1145,"0.00000000000000")</f>
        <v/>
      </c>
    </row>
    <row r="1146">
      <c r="A1146" t="n">
        <v>1139</v>
      </c>
      <c r="B1146">
        <f>B1145+0.1</f>
        <v/>
      </c>
      <c r="C1146">
        <f>A1146/10</f>
        <v/>
      </c>
      <c r="D1146">
        <f>B1146=C1146</f>
        <v/>
      </c>
      <c r="E1146">
        <f>INT(B1146*10)=A1146</f>
        <v/>
      </c>
      <c r="F1146">
        <f>B1146&gt;=C1146</f>
        <v/>
      </c>
      <c r="G1146">
        <f>ROUND(G1145+0.1,1)</f>
        <v/>
      </c>
      <c r="H1146">
        <f>G1146=C1146</f>
        <v/>
      </c>
      <c r="I1146">
        <f>TEXT(B1146,"0.00000000000000")</f>
        <v/>
      </c>
    </row>
    <row r="1147">
      <c r="A1147" t="n">
        <v>1140</v>
      </c>
      <c r="B1147">
        <f>B1146+0.1</f>
        <v/>
      </c>
      <c r="C1147">
        <f>A1147/10</f>
        <v/>
      </c>
      <c r="D1147">
        <f>B1147=C1147</f>
        <v/>
      </c>
      <c r="E1147">
        <f>INT(B1147*10)=A1147</f>
        <v/>
      </c>
      <c r="F1147">
        <f>B1147&gt;=C1147</f>
        <v/>
      </c>
      <c r="G1147">
        <f>ROUND(G1146+0.1,1)</f>
        <v/>
      </c>
      <c r="H1147">
        <f>G1147=C1147</f>
        <v/>
      </c>
      <c r="I1147">
        <f>TEXT(B1147,"0.00000000000000")</f>
        <v/>
      </c>
    </row>
    <row r="1148">
      <c r="A1148" t="n">
        <v>1141</v>
      </c>
      <c r="B1148">
        <f>B1147+0.1</f>
        <v/>
      </c>
      <c r="C1148">
        <f>A1148/10</f>
        <v/>
      </c>
      <c r="D1148">
        <f>B1148=C1148</f>
        <v/>
      </c>
      <c r="E1148">
        <f>INT(B1148*10)=A1148</f>
        <v/>
      </c>
      <c r="F1148">
        <f>B1148&gt;=C1148</f>
        <v/>
      </c>
      <c r="G1148">
        <f>ROUND(G1147+0.1,1)</f>
        <v/>
      </c>
      <c r="H1148">
        <f>G1148=C1148</f>
        <v/>
      </c>
      <c r="I1148">
        <f>TEXT(B1148,"0.00000000000000")</f>
        <v/>
      </c>
    </row>
    <row r="1149">
      <c r="A1149" t="n">
        <v>1142</v>
      </c>
      <c r="B1149">
        <f>B1148+0.1</f>
        <v/>
      </c>
      <c r="C1149">
        <f>A1149/10</f>
        <v/>
      </c>
      <c r="D1149">
        <f>B1149=C1149</f>
        <v/>
      </c>
      <c r="E1149">
        <f>INT(B1149*10)=A1149</f>
        <v/>
      </c>
      <c r="F1149">
        <f>B1149&gt;=C1149</f>
        <v/>
      </c>
      <c r="G1149">
        <f>ROUND(G1148+0.1,1)</f>
        <v/>
      </c>
      <c r="H1149">
        <f>G1149=C1149</f>
        <v/>
      </c>
      <c r="I1149">
        <f>TEXT(B1149,"0.00000000000000")</f>
        <v/>
      </c>
    </row>
    <row r="1150">
      <c r="A1150" t="n">
        <v>1143</v>
      </c>
      <c r="B1150">
        <f>B1149+0.1</f>
        <v/>
      </c>
      <c r="C1150">
        <f>A1150/10</f>
        <v/>
      </c>
      <c r="D1150">
        <f>B1150=C1150</f>
        <v/>
      </c>
      <c r="E1150">
        <f>INT(B1150*10)=A1150</f>
        <v/>
      </c>
      <c r="F1150">
        <f>B1150&gt;=C1150</f>
        <v/>
      </c>
      <c r="G1150">
        <f>ROUND(G1149+0.1,1)</f>
        <v/>
      </c>
      <c r="H1150">
        <f>G1150=C1150</f>
        <v/>
      </c>
      <c r="I1150">
        <f>TEXT(B1150,"0.00000000000000")</f>
        <v/>
      </c>
    </row>
    <row r="1151">
      <c r="A1151" t="n">
        <v>1144</v>
      </c>
      <c r="B1151">
        <f>B1150+0.1</f>
        <v/>
      </c>
      <c r="C1151">
        <f>A1151/10</f>
        <v/>
      </c>
      <c r="D1151">
        <f>B1151=C1151</f>
        <v/>
      </c>
      <c r="E1151">
        <f>INT(B1151*10)=A1151</f>
        <v/>
      </c>
      <c r="F1151">
        <f>B1151&gt;=C1151</f>
        <v/>
      </c>
      <c r="G1151">
        <f>ROUND(G1150+0.1,1)</f>
        <v/>
      </c>
      <c r="H1151">
        <f>G1151=C1151</f>
        <v/>
      </c>
      <c r="I1151">
        <f>TEXT(B1151,"0.00000000000000")</f>
        <v/>
      </c>
    </row>
    <row r="1152">
      <c r="A1152" t="n">
        <v>1145</v>
      </c>
      <c r="B1152">
        <f>B1151+0.1</f>
        <v/>
      </c>
      <c r="C1152">
        <f>A1152/10</f>
        <v/>
      </c>
      <c r="D1152">
        <f>B1152=C1152</f>
        <v/>
      </c>
      <c r="E1152">
        <f>INT(B1152*10)=A1152</f>
        <v/>
      </c>
      <c r="F1152">
        <f>B1152&gt;=C1152</f>
        <v/>
      </c>
      <c r="G1152">
        <f>ROUND(G1151+0.1,1)</f>
        <v/>
      </c>
      <c r="H1152">
        <f>G1152=C1152</f>
        <v/>
      </c>
      <c r="I1152">
        <f>TEXT(B1152,"0.00000000000000")</f>
        <v/>
      </c>
    </row>
    <row r="1153">
      <c r="A1153" t="n">
        <v>1146</v>
      </c>
      <c r="B1153">
        <f>B1152+0.1</f>
        <v/>
      </c>
      <c r="C1153">
        <f>A1153/10</f>
        <v/>
      </c>
      <c r="D1153">
        <f>B1153=C1153</f>
        <v/>
      </c>
      <c r="E1153">
        <f>INT(B1153*10)=A1153</f>
        <v/>
      </c>
      <c r="F1153">
        <f>B1153&gt;=C1153</f>
        <v/>
      </c>
      <c r="G1153">
        <f>ROUND(G1152+0.1,1)</f>
        <v/>
      </c>
      <c r="H1153">
        <f>G1153=C1153</f>
        <v/>
      </c>
      <c r="I1153">
        <f>TEXT(B1153,"0.00000000000000")</f>
        <v/>
      </c>
    </row>
    <row r="1154">
      <c r="A1154" t="n">
        <v>1147</v>
      </c>
      <c r="B1154">
        <f>B1153+0.1</f>
        <v/>
      </c>
      <c r="C1154">
        <f>A1154/10</f>
        <v/>
      </c>
      <c r="D1154">
        <f>B1154=C1154</f>
        <v/>
      </c>
      <c r="E1154">
        <f>INT(B1154*10)=A1154</f>
        <v/>
      </c>
      <c r="F1154">
        <f>B1154&gt;=C1154</f>
        <v/>
      </c>
      <c r="G1154">
        <f>ROUND(G1153+0.1,1)</f>
        <v/>
      </c>
      <c r="H1154">
        <f>G1154=C1154</f>
        <v/>
      </c>
      <c r="I1154">
        <f>TEXT(B1154,"0.00000000000000")</f>
        <v/>
      </c>
    </row>
    <row r="1155">
      <c r="A1155" t="n">
        <v>1148</v>
      </c>
      <c r="B1155">
        <f>B1154+0.1</f>
        <v/>
      </c>
      <c r="C1155">
        <f>A1155/10</f>
        <v/>
      </c>
      <c r="D1155">
        <f>B1155=C1155</f>
        <v/>
      </c>
      <c r="E1155">
        <f>INT(B1155*10)=A1155</f>
        <v/>
      </c>
      <c r="F1155">
        <f>B1155&gt;=C1155</f>
        <v/>
      </c>
      <c r="G1155">
        <f>ROUND(G1154+0.1,1)</f>
        <v/>
      </c>
      <c r="H1155">
        <f>G1155=C1155</f>
        <v/>
      </c>
      <c r="I1155">
        <f>TEXT(B1155,"0.00000000000000")</f>
        <v/>
      </c>
    </row>
    <row r="1156">
      <c r="A1156" t="n">
        <v>1149</v>
      </c>
      <c r="B1156">
        <f>B1155+0.1</f>
        <v/>
      </c>
      <c r="C1156">
        <f>A1156/10</f>
        <v/>
      </c>
      <c r="D1156">
        <f>B1156=C1156</f>
        <v/>
      </c>
      <c r="E1156">
        <f>INT(B1156*10)=A1156</f>
        <v/>
      </c>
      <c r="F1156">
        <f>B1156&gt;=C1156</f>
        <v/>
      </c>
      <c r="G1156">
        <f>ROUND(G1155+0.1,1)</f>
        <v/>
      </c>
      <c r="H1156">
        <f>G1156=C1156</f>
        <v/>
      </c>
      <c r="I1156">
        <f>TEXT(B1156,"0.00000000000000")</f>
        <v/>
      </c>
    </row>
    <row r="1157">
      <c r="A1157" t="n">
        <v>1150</v>
      </c>
      <c r="B1157">
        <f>B1156+0.1</f>
        <v/>
      </c>
      <c r="C1157">
        <f>A1157/10</f>
        <v/>
      </c>
      <c r="D1157">
        <f>B1157=C1157</f>
        <v/>
      </c>
      <c r="E1157">
        <f>INT(B1157*10)=A1157</f>
        <v/>
      </c>
      <c r="F1157">
        <f>B1157&gt;=C1157</f>
        <v/>
      </c>
      <c r="G1157">
        <f>ROUND(G1156+0.1,1)</f>
        <v/>
      </c>
      <c r="H1157">
        <f>G1157=C1157</f>
        <v/>
      </c>
      <c r="I1157">
        <f>TEXT(B1157,"0.00000000000000")</f>
        <v/>
      </c>
    </row>
    <row r="1158">
      <c r="A1158" t="n">
        <v>1151</v>
      </c>
      <c r="B1158">
        <f>B1157+0.1</f>
        <v/>
      </c>
      <c r="C1158">
        <f>A1158/10</f>
        <v/>
      </c>
      <c r="D1158">
        <f>B1158=C1158</f>
        <v/>
      </c>
      <c r="E1158">
        <f>INT(B1158*10)=A1158</f>
        <v/>
      </c>
      <c r="F1158">
        <f>B1158&gt;=C1158</f>
        <v/>
      </c>
      <c r="G1158">
        <f>ROUND(G1157+0.1,1)</f>
        <v/>
      </c>
      <c r="H1158">
        <f>G1158=C1158</f>
        <v/>
      </c>
      <c r="I1158">
        <f>TEXT(B1158,"0.00000000000000")</f>
        <v/>
      </c>
    </row>
    <row r="1159">
      <c r="A1159" t="n">
        <v>1152</v>
      </c>
      <c r="B1159">
        <f>B1158+0.1</f>
        <v/>
      </c>
      <c r="C1159">
        <f>A1159/10</f>
        <v/>
      </c>
      <c r="D1159">
        <f>B1159=C1159</f>
        <v/>
      </c>
      <c r="E1159">
        <f>INT(B1159*10)=A1159</f>
        <v/>
      </c>
      <c r="F1159">
        <f>B1159&gt;=C1159</f>
        <v/>
      </c>
      <c r="G1159">
        <f>ROUND(G1158+0.1,1)</f>
        <v/>
      </c>
      <c r="H1159">
        <f>G1159=C1159</f>
        <v/>
      </c>
      <c r="I1159">
        <f>TEXT(B1159,"0.00000000000000")</f>
        <v/>
      </c>
    </row>
    <row r="1160">
      <c r="A1160" t="n">
        <v>1153</v>
      </c>
      <c r="B1160">
        <f>B1159+0.1</f>
        <v/>
      </c>
      <c r="C1160">
        <f>A1160/10</f>
        <v/>
      </c>
      <c r="D1160">
        <f>B1160=C1160</f>
        <v/>
      </c>
      <c r="E1160">
        <f>INT(B1160*10)=A1160</f>
        <v/>
      </c>
      <c r="F1160">
        <f>B1160&gt;=C1160</f>
        <v/>
      </c>
      <c r="G1160">
        <f>ROUND(G1159+0.1,1)</f>
        <v/>
      </c>
      <c r="H1160">
        <f>G1160=C1160</f>
        <v/>
      </c>
      <c r="I1160">
        <f>TEXT(B1160,"0.00000000000000")</f>
        <v/>
      </c>
    </row>
    <row r="1161">
      <c r="A1161" t="n">
        <v>1154</v>
      </c>
      <c r="B1161">
        <f>B1160+0.1</f>
        <v/>
      </c>
      <c r="C1161">
        <f>A1161/10</f>
        <v/>
      </c>
      <c r="D1161">
        <f>B1161=C1161</f>
        <v/>
      </c>
      <c r="E1161">
        <f>INT(B1161*10)=A1161</f>
        <v/>
      </c>
      <c r="F1161">
        <f>B1161&gt;=C1161</f>
        <v/>
      </c>
      <c r="G1161">
        <f>ROUND(G1160+0.1,1)</f>
        <v/>
      </c>
      <c r="H1161">
        <f>G1161=C1161</f>
        <v/>
      </c>
      <c r="I1161">
        <f>TEXT(B1161,"0.00000000000000")</f>
        <v/>
      </c>
    </row>
    <row r="1162">
      <c r="A1162" t="n">
        <v>1155</v>
      </c>
      <c r="B1162">
        <f>B1161+0.1</f>
        <v/>
      </c>
      <c r="C1162">
        <f>A1162/10</f>
        <v/>
      </c>
      <c r="D1162">
        <f>B1162=C1162</f>
        <v/>
      </c>
      <c r="E1162">
        <f>INT(B1162*10)=A1162</f>
        <v/>
      </c>
      <c r="F1162">
        <f>B1162&gt;=C1162</f>
        <v/>
      </c>
      <c r="G1162">
        <f>ROUND(G1161+0.1,1)</f>
        <v/>
      </c>
      <c r="H1162">
        <f>G1162=C1162</f>
        <v/>
      </c>
      <c r="I1162">
        <f>TEXT(B1162,"0.00000000000000")</f>
        <v/>
      </c>
    </row>
    <row r="1163">
      <c r="A1163" t="n">
        <v>1156</v>
      </c>
      <c r="B1163">
        <f>B1162+0.1</f>
        <v/>
      </c>
      <c r="C1163">
        <f>A1163/10</f>
        <v/>
      </c>
      <c r="D1163">
        <f>B1163=C1163</f>
        <v/>
      </c>
      <c r="E1163">
        <f>INT(B1163*10)=A1163</f>
        <v/>
      </c>
      <c r="F1163">
        <f>B1163&gt;=C1163</f>
        <v/>
      </c>
      <c r="G1163">
        <f>ROUND(G1162+0.1,1)</f>
        <v/>
      </c>
      <c r="H1163">
        <f>G1163=C1163</f>
        <v/>
      </c>
      <c r="I1163">
        <f>TEXT(B1163,"0.00000000000000")</f>
        <v/>
      </c>
    </row>
    <row r="1164">
      <c r="A1164" t="n">
        <v>1157</v>
      </c>
      <c r="B1164">
        <f>B1163+0.1</f>
        <v/>
      </c>
      <c r="C1164">
        <f>A1164/10</f>
        <v/>
      </c>
      <c r="D1164">
        <f>B1164=C1164</f>
        <v/>
      </c>
      <c r="E1164">
        <f>INT(B1164*10)=A1164</f>
        <v/>
      </c>
      <c r="F1164">
        <f>B1164&gt;=C1164</f>
        <v/>
      </c>
      <c r="G1164">
        <f>ROUND(G1163+0.1,1)</f>
        <v/>
      </c>
      <c r="H1164">
        <f>G1164=C1164</f>
        <v/>
      </c>
      <c r="I1164">
        <f>TEXT(B1164,"0.00000000000000")</f>
        <v/>
      </c>
    </row>
    <row r="1165">
      <c r="A1165" t="n">
        <v>1158</v>
      </c>
      <c r="B1165">
        <f>B1164+0.1</f>
        <v/>
      </c>
      <c r="C1165">
        <f>A1165/10</f>
        <v/>
      </c>
      <c r="D1165">
        <f>B1165=C1165</f>
        <v/>
      </c>
      <c r="E1165">
        <f>INT(B1165*10)=A1165</f>
        <v/>
      </c>
      <c r="F1165">
        <f>B1165&gt;=C1165</f>
        <v/>
      </c>
      <c r="G1165">
        <f>ROUND(G1164+0.1,1)</f>
        <v/>
      </c>
      <c r="H1165">
        <f>G1165=C1165</f>
        <v/>
      </c>
      <c r="I1165">
        <f>TEXT(B1165,"0.00000000000000")</f>
        <v/>
      </c>
    </row>
    <row r="1166">
      <c r="A1166" t="n">
        <v>1159</v>
      </c>
      <c r="B1166">
        <f>B1165+0.1</f>
        <v/>
      </c>
      <c r="C1166">
        <f>A1166/10</f>
        <v/>
      </c>
      <c r="D1166">
        <f>B1166=C1166</f>
        <v/>
      </c>
      <c r="E1166">
        <f>INT(B1166*10)=A1166</f>
        <v/>
      </c>
      <c r="F1166">
        <f>B1166&gt;=C1166</f>
        <v/>
      </c>
      <c r="G1166">
        <f>ROUND(G1165+0.1,1)</f>
        <v/>
      </c>
      <c r="H1166">
        <f>G1166=C1166</f>
        <v/>
      </c>
      <c r="I1166">
        <f>TEXT(B1166,"0.00000000000000")</f>
        <v/>
      </c>
    </row>
    <row r="1167">
      <c r="A1167" t="n">
        <v>1160</v>
      </c>
      <c r="B1167">
        <f>B1166+0.1</f>
        <v/>
      </c>
      <c r="C1167">
        <f>A1167/10</f>
        <v/>
      </c>
      <c r="D1167">
        <f>B1167=C1167</f>
        <v/>
      </c>
      <c r="E1167">
        <f>INT(B1167*10)=A1167</f>
        <v/>
      </c>
      <c r="F1167">
        <f>B1167&gt;=C1167</f>
        <v/>
      </c>
      <c r="G1167">
        <f>ROUND(G1166+0.1,1)</f>
        <v/>
      </c>
      <c r="H1167">
        <f>G1167=C1167</f>
        <v/>
      </c>
      <c r="I1167">
        <f>TEXT(B1167,"0.00000000000000")</f>
        <v/>
      </c>
    </row>
    <row r="1168">
      <c r="A1168" t="n">
        <v>1161</v>
      </c>
      <c r="B1168">
        <f>B1167+0.1</f>
        <v/>
      </c>
      <c r="C1168">
        <f>A1168/10</f>
        <v/>
      </c>
      <c r="D1168">
        <f>B1168=C1168</f>
        <v/>
      </c>
      <c r="E1168">
        <f>INT(B1168*10)=A1168</f>
        <v/>
      </c>
      <c r="F1168">
        <f>B1168&gt;=C1168</f>
        <v/>
      </c>
      <c r="G1168">
        <f>ROUND(G1167+0.1,1)</f>
        <v/>
      </c>
      <c r="H1168">
        <f>G1168=C1168</f>
        <v/>
      </c>
      <c r="I1168">
        <f>TEXT(B1168,"0.00000000000000")</f>
        <v/>
      </c>
    </row>
    <row r="1169">
      <c r="A1169" t="n">
        <v>1162</v>
      </c>
      <c r="B1169">
        <f>B1168+0.1</f>
        <v/>
      </c>
      <c r="C1169">
        <f>A1169/10</f>
        <v/>
      </c>
      <c r="D1169">
        <f>B1169=C1169</f>
        <v/>
      </c>
      <c r="E1169">
        <f>INT(B1169*10)=A1169</f>
        <v/>
      </c>
      <c r="F1169">
        <f>B1169&gt;=C1169</f>
        <v/>
      </c>
      <c r="G1169">
        <f>ROUND(G1168+0.1,1)</f>
        <v/>
      </c>
      <c r="H1169">
        <f>G1169=C1169</f>
        <v/>
      </c>
      <c r="I1169">
        <f>TEXT(B1169,"0.00000000000000")</f>
        <v/>
      </c>
    </row>
    <row r="1170">
      <c r="A1170" t="n">
        <v>1163</v>
      </c>
      <c r="B1170">
        <f>B1169+0.1</f>
        <v/>
      </c>
      <c r="C1170">
        <f>A1170/10</f>
        <v/>
      </c>
      <c r="D1170">
        <f>B1170=C1170</f>
        <v/>
      </c>
      <c r="E1170">
        <f>INT(B1170*10)=A1170</f>
        <v/>
      </c>
      <c r="F1170">
        <f>B1170&gt;=C1170</f>
        <v/>
      </c>
      <c r="G1170">
        <f>ROUND(G1169+0.1,1)</f>
        <v/>
      </c>
      <c r="H1170">
        <f>G1170=C1170</f>
        <v/>
      </c>
      <c r="I1170">
        <f>TEXT(B1170,"0.00000000000000")</f>
        <v/>
      </c>
    </row>
    <row r="1171">
      <c r="A1171" t="n">
        <v>1164</v>
      </c>
      <c r="B1171">
        <f>B1170+0.1</f>
        <v/>
      </c>
      <c r="C1171">
        <f>A1171/10</f>
        <v/>
      </c>
      <c r="D1171">
        <f>B1171=C1171</f>
        <v/>
      </c>
      <c r="E1171">
        <f>INT(B1171*10)=A1171</f>
        <v/>
      </c>
      <c r="F1171">
        <f>B1171&gt;=C1171</f>
        <v/>
      </c>
      <c r="G1171">
        <f>ROUND(G1170+0.1,1)</f>
        <v/>
      </c>
      <c r="H1171">
        <f>G1171=C1171</f>
        <v/>
      </c>
      <c r="I1171">
        <f>TEXT(B1171,"0.00000000000000")</f>
        <v/>
      </c>
    </row>
    <row r="1172">
      <c r="A1172" t="n">
        <v>1165</v>
      </c>
      <c r="B1172">
        <f>B1171+0.1</f>
        <v/>
      </c>
      <c r="C1172">
        <f>A1172/10</f>
        <v/>
      </c>
      <c r="D1172">
        <f>B1172=C1172</f>
        <v/>
      </c>
      <c r="E1172">
        <f>INT(B1172*10)=A1172</f>
        <v/>
      </c>
      <c r="F1172">
        <f>B1172&gt;=C1172</f>
        <v/>
      </c>
      <c r="G1172">
        <f>ROUND(G1171+0.1,1)</f>
        <v/>
      </c>
      <c r="H1172">
        <f>G1172=C1172</f>
        <v/>
      </c>
      <c r="I1172">
        <f>TEXT(B1172,"0.00000000000000")</f>
        <v/>
      </c>
    </row>
    <row r="1173">
      <c r="A1173" t="n">
        <v>1166</v>
      </c>
      <c r="B1173">
        <f>B1172+0.1</f>
        <v/>
      </c>
      <c r="C1173">
        <f>A1173/10</f>
        <v/>
      </c>
      <c r="D1173">
        <f>B1173=C1173</f>
        <v/>
      </c>
      <c r="E1173">
        <f>INT(B1173*10)=A1173</f>
        <v/>
      </c>
      <c r="F1173">
        <f>B1173&gt;=C1173</f>
        <v/>
      </c>
      <c r="G1173">
        <f>ROUND(G1172+0.1,1)</f>
        <v/>
      </c>
      <c r="H1173">
        <f>G1173=C1173</f>
        <v/>
      </c>
      <c r="I1173">
        <f>TEXT(B1173,"0.00000000000000")</f>
        <v/>
      </c>
    </row>
    <row r="1174">
      <c r="A1174" t="n">
        <v>1167</v>
      </c>
      <c r="B1174">
        <f>B1173+0.1</f>
        <v/>
      </c>
      <c r="C1174">
        <f>A1174/10</f>
        <v/>
      </c>
      <c r="D1174">
        <f>B1174=C1174</f>
        <v/>
      </c>
      <c r="E1174">
        <f>INT(B1174*10)=A1174</f>
        <v/>
      </c>
      <c r="F1174">
        <f>B1174&gt;=C1174</f>
        <v/>
      </c>
      <c r="G1174">
        <f>ROUND(G1173+0.1,1)</f>
        <v/>
      </c>
      <c r="H1174">
        <f>G1174=C1174</f>
        <v/>
      </c>
      <c r="I1174">
        <f>TEXT(B1174,"0.00000000000000")</f>
        <v/>
      </c>
    </row>
    <row r="1175">
      <c r="A1175" t="n">
        <v>1168</v>
      </c>
      <c r="B1175">
        <f>B1174+0.1</f>
        <v/>
      </c>
      <c r="C1175">
        <f>A1175/10</f>
        <v/>
      </c>
      <c r="D1175">
        <f>B1175=C1175</f>
        <v/>
      </c>
      <c r="E1175">
        <f>INT(B1175*10)=A1175</f>
        <v/>
      </c>
      <c r="F1175">
        <f>B1175&gt;=C1175</f>
        <v/>
      </c>
      <c r="G1175">
        <f>ROUND(G1174+0.1,1)</f>
        <v/>
      </c>
      <c r="H1175">
        <f>G1175=C1175</f>
        <v/>
      </c>
      <c r="I1175">
        <f>TEXT(B1175,"0.00000000000000")</f>
        <v/>
      </c>
    </row>
    <row r="1176">
      <c r="A1176" t="n">
        <v>1169</v>
      </c>
      <c r="B1176">
        <f>B1175+0.1</f>
        <v/>
      </c>
      <c r="C1176">
        <f>A1176/10</f>
        <v/>
      </c>
      <c r="D1176">
        <f>B1176=C1176</f>
        <v/>
      </c>
      <c r="E1176">
        <f>INT(B1176*10)=A1176</f>
        <v/>
      </c>
      <c r="F1176">
        <f>B1176&gt;=C1176</f>
        <v/>
      </c>
      <c r="G1176">
        <f>ROUND(G1175+0.1,1)</f>
        <v/>
      </c>
      <c r="H1176">
        <f>G1176=C1176</f>
        <v/>
      </c>
      <c r="I1176">
        <f>TEXT(B1176,"0.00000000000000")</f>
        <v/>
      </c>
    </row>
    <row r="1177">
      <c r="A1177" t="n">
        <v>1170</v>
      </c>
      <c r="B1177">
        <f>B1176+0.1</f>
        <v/>
      </c>
      <c r="C1177">
        <f>A1177/10</f>
        <v/>
      </c>
      <c r="D1177">
        <f>B1177=C1177</f>
        <v/>
      </c>
      <c r="E1177">
        <f>INT(B1177*10)=A1177</f>
        <v/>
      </c>
      <c r="F1177">
        <f>B1177&gt;=C1177</f>
        <v/>
      </c>
      <c r="G1177">
        <f>ROUND(G1176+0.1,1)</f>
        <v/>
      </c>
      <c r="H1177">
        <f>G1177=C1177</f>
        <v/>
      </c>
      <c r="I1177">
        <f>TEXT(B1177,"0.00000000000000")</f>
        <v/>
      </c>
    </row>
    <row r="1178">
      <c r="A1178" t="n">
        <v>1171</v>
      </c>
      <c r="B1178">
        <f>B1177+0.1</f>
        <v/>
      </c>
      <c r="C1178">
        <f>A1178/10</f>
        <v/>
      </c>
      <c r="D1178">
        <f>B1178=C1178</f>
        <v/>
      </c>
      <c r="E1178">
        <f>INT(B1178*10)=A1178</f>
        <v/>
      </c>
      <c r="F1178">
        <f>B1178&gt;=C1178</f>
        <v/>
      </c>
      <c r="G1178">
        <f>ROUND(G1177+0.1,1)</f>
        <v/>
      </c>
      <c r="H1178">
        <f>G1178=C1178</f>
        <v/>
      </c>
      <c r="I1178">
        <f>TEXT(B1178,"0.00000000000000")</f>
        <v/>
      </c>
    </row>
    <row r="1179">
      <c r="A1179" t="n">
        <v>1172</v>
      </c>
      <c r="B1179">
        <f>B1178+0.1</f>
        <v/>
      </c>
      <c r="C1179">
        <f>A1179/10</f>
        <v/>
      </c>
      <c r="D1179">
        <f>B1179=C1179</f>
        <v/>
      </c>
      <c r="E1179">
        <f>INT(B1179*10)=A1179</f>
        <v/>
      </c>
      <c r="F1179">
        <f>B1179&gt;=C1179</f>
        <v/>
      </c>
      <c r="G1179">
        <f>ROUND(G1178+0.1,1)</f>
        <v/>
      </c>
      <c r="H1179">
        <f>G1179=C1179</f>
        <v/>
      </c>
      <c r="I1179">
        <f>TEXT(B1179,"0.00000000000000")</f>
        <v/>
      </c>
    </row>
    <row r="1180">
      <c r="A1180" t="n">
        <v>1173</v>
      </c>
      <c r="B1180">
        <f>B1179+0.1</f>
        <v/>
      </c>
      <c r="C1180">
        <f>A1180/10</f>
        <v/>
      </c>
      <c r="D1180">
        <f>B1180=C1180</f>
        <v/>
      </c>
      <c r="E1180">
        <f>INT(B1180*10)=A1180</f>
        <v/>
      </c>
      <c r="F1180">
        <f>B1180&gt;=C1180</f>
        <v/>
      </c>
      <c r="G1180">
        <f>ROUND(G1179+0.1,1)</f>
        <v/>
      </c>
      <c r="H1180">
        <f>G1180=C1180</f>
        <v/>
      </c>
      <c r="I1180">
        <f>TEXT(B1180,"0.00000000000000")</f>
        <v/>
      </c>
    </row>
    <row r="1181">
      <c r="A1181" t="n">
        <v>1174</v>
      </c>
      <c r="B1181">
        <f>B1180+0.1</f>
        <v/>
      </c>
      <c r="C1181">
        <f>A1181/10</f>
        <v/>
      </c>
      <c r="D1181">
        <f>B1181=C1181</f>
        <v/>
      </c>
      <c r="E1181">
        <f>INT(B1181*10)=A1181</f>
        <v/>
      </c>
      <c r="F1181">
        <f>B1181&gt;=C1181</f>
        <v/>
      </c>
      <c r="G1181">
        <f>ROUND(G1180+0.1,1)</f>
        <v/>
      </c>
      <c r="H1181">
        <f>G1181=C1181</f>
        <v/>
      </c>
      <c r="I1181">
        <f>TEXT(B1181,"0.00000000000000")</f>
        <v/>
      </c>
    </row>
    <row r="1182">
      <c r="A1182" t="n">
        <v>1175</v>
      </c>
      <c r="B1182">
        <f>B1181+0.1</f>
        <v/>
      </c>
      <c r="C1182">
        <f>A1182/10</f>
        <v/>
      </c>
      <c r="D1182">
        <f>B1182=C1182</f>
        <v/>
      </c>
      <c r="E1182">
        <f>INT(B1182*10)=A1182</f>
        <v/>
      </c>
      <c r="F1182">
        <f>B1182&gt;=C1182</f>
        <v/>
      </c>
      <c r="G1182">
        <f>ROUND(G1181+0.1,1)</f>
        <v/>
      </c>
      <c r="H1182">
        <f>G1182=C1182</f>
        <v/>
      </c>
      <c r="I1182">
        <f>TEXT(B1182,"0.00000000000000")</f>
        <v/>
      </c>
    </row>
    <row r="1183">
      <c r="A1183" t="n">
        <v>1176</v>
      </c>
      <c r="B1183">
        <f>B1182+0.1</f>
        <v/>
      </c>
      <c r="C1183">
        <f>A1183/10</f>
        <v/>
      </c>
      <c r="D1183">
        <f>B1183=C1183</f>
        <v/>
      </c>
      <c r="E1183">
        <f>INT(B1183*10)=A1183</f>
        <v/>
      </c>
      <c r="F1183">
        <f>B1183&gt;=C1183</f>
        <v/>
      </c>
      <c r="G1183">
        <f>ROUND(G1182+0.1,1)</f>
        <v/>
      </c>
      <c r="H1183">
        <f>G1183=C1183</f>
        <v/>
      </c>
      <c r="I1183">
        <f>TEXT(B1183,"0.00000000000000")</f>
        <v/>
      </c>
    </row>
    <row r="1184">
      <c r="A1184" t="n">
        <v>1177</v>
      </c>
      <c r="B1184">
        <f>B1183+0.1</f>
        <v/>
      </c>
      <c r="C1184">
        <f>A1184/10</f>
        <v/>
      </c>
      <c r="D1184">
        <f>B1184=C1184</f>
        <v/>
      </c>
      <c r="E1184">
        <f>INT(B1184*10)=A1184</f>
        <v/>
      </c>
      <c r="F1184">
        <f>B1184&gt;=C1184</f>
        <v/>
      </c>
      <c r="G1184">
        <f>ROUND(G1183+0.1,1)</f>
        <v/>
      </c>
      <c r="H1184">
        <f>G1184=C1184</f>
        <v/>
      </c>
      <c r="I1184">
        <f>TEXT(B1184,"0.00000000000000")</f>
        <v/>
      </c>
    </row>
    <row r="1185">
      <c r="A1185" t="n">
        <v>1178</v>
      </c>
      <c r="B1185">
        <f>B1184+0.1</f>
        <v/>
      </c>
      <c r="C1185">
        <f>A1185/10</f>
        <v/>
      </c>
      <c r="D1185">
        <f>B1185=C1185</f>
        <v/>
      </c>
      <c r="E1185">
        <f>INT(B1185*10)=A1185</f>
        <v/>
      </c>
      <c r="F1185">
        <f>B1185&gt;=C1185</f>
        <v/>
      </c>
      <c r="G1185">
        <f>ROUND(G1184+0.1,1)</f>
        <v/>
      </c>
      <c r="H1185">
        <f>G1185=C1185</f>
        <v/>
      </c>
      <c r="I1185">
        <f>TEXT(B1185,"0.00000000000000")</f>
        <v/>
      </c>
    </row>
    <row r="1186">
      <c r="A1186" t="n">
        <v>1179</v>
      </c>
      <c r="B1186">
        <f>B1185+0.1</f>
        <v/>
      </c>
      <c r="C1186">
        <f>A1186/10</f>
        <v/>
      </c>
      <c r="D1186">
        <f>B1186=C1186</f>
        <v/>
      </c>
      <c r="E1186">
        <f>INT(B1186*10)=A1186</f>
        <v/>
      </c>
      <c r="F1186">
        <f>B1186&gt;=C1186</f>
        <v/>
      </c>
      <c r="G1186">
        <f>ROUND(G1185+0.1,1)</f>
        <v/>
      </c>
      <c r="H1186">
        <f>G1186=C1186</f>
        <v/>
      </c>
      <c r="I1186">
        <f>TEXT(B1186,"0.00000000000000")</f>
        <v/>
      </c>
    </row>
    <row r="1187">
      <c r="A1187" t="n">
        <v>1180</v>
      </c>
      <c r="B1187">
        <f>B1186+0.1</f>
        <v/>
      </c>
      <c r="C1187">
        <f>A1187/10</f>
        <v/>
      </c>
      <c r="D1187">
        <f>B1187=C1187</f>
        <v/>
      </c>
      <c r="E1187">
        <f>INT(B1187*10)=A1187</f>
        <v/>
      </c>
      <c r="F1187">
        <f>B1187&gt;=C1187</f>
        <v/>
      </c>
      <c r="G1187">
        <f>ROUND(G1186+0.1,1)</f>
        <v/>
      </c>
      <c r="H1187">
        <f>G1187=C1187</f>
        <v/>
      </c>
      <c r="I1187">
        <f>TEXT(B1187,"0.00000000000000")</f>
        <v/>
      </c>
    </row>
    <row r="1188">
      <c r="A1188" t="n">
        <v>1181</v>
      </c>
      <c r="B1188">
        <f>B1187+0.1</f>
        <v/>
      </c>
      <c r="C1188">
        <f>A1188/10</f>
        <v/>
      </c>
      <c r="D1188">
        <f>B1188=C1188</f>
        <v/>
      </c>
      <c r="E1188">
        <f>INT(B1188*10)=A1188</f>
        <v/>
      </c>
      <c r="F1188">
        <f>B1188&gt;=C1188</f>
        <v/>
      </c>
      <c r="G1188">
        <f>ROUND(G1187+0.1,1)</f>
        <v/>
      </c>
      <c r="H1188">
        <f>G1188=C1188</f>
        <v/>
      </c>
      <c r="I1188">
        <f>TEXT(B1188,"0.00000000000000")</f>
        <v/>
      </c>
    </row>
    <row r="1189">
      <c r="A1189" t="n">
        <v>1182</v>
      </c>
      <c r="B1189">
        <f>B1188+0.1</f>
        <v/>
      </c>
      <c r="C1189">
        <f>A1189/10</f>
        <v/>
      </c>
      <c r="D1189">
        <f>B1189=C1189</f>
        <v/>
      </c>
      <c r="E1189">
        <f>INT(B1189*10)=A1189</f>
        <v/>
      </c>
      <c r="F1189">
        <f>B1189&gt;=C1189</f>
        <v/>
      </c>
      <c r="G1189">
        <f>ROUND(G1188+0.1,1)</f>
        <v/>
      </c>
      <c r="H1189">
        <f>G1189=C1189</f>
        <v/>
      </c>
      <c r="I1189">
        <f>TEXT(B1189,"0.00000000000000")</f>
        <v/>
      </c>
    </row>
    <row r="1190">
      <c r="A1190" t="n">
        <v>1183</v>
      </c>
      <c r="B1190">
        <f>B1189+0.1</f>
        <v/>
      </c>
      <c r="C1190">
        <f>A1190/10</f>
        <v/>
      </c>
      <c r="D1190">
        <f>B1190=C1190</f>
        <v/>
      </c>
      <c r="E1190">
        <f>INT(B1190*10)=A1190</f>
        <v/>
      </c>
      <c r="F1190">
        <f>B1190&gt;=C1190</f>
        <v/>
      </c>
      <c r="G1190">
        <f>ROUND(G1189+0.1,1)</f>
        <v/>
      </c>
      <c r="H1190">
        <f>G1190=C1190</f>
        <v/>
      </c>
      <c r="I1190">
        <f>TEXT(B1190,"0.00000000000000")</f>
        <v/>
      </c>
    </row>
    <row r="1191">
      <c r="A1191" t="n">
        <v>1184</v>
      </c>
      <c r="B1191">
        <f>B1190+0.1</f>
        <v/>
      </c>
      <c r="C1191">
        <f>A1191/10</f>
        <v/>
      </c>
      <c r="D1191">
        <f>B1191=C1191</f>
        <v/>
      </c>
      <c r="E1191">
        <f>INT(B1191*10)=A1191</f>
        <v/>
      </c>
      <c r="F1191">
        <f>B1191&gt;=C1191</f>
        <v/>
      </c>
      <c r="G1191">
        <f>ROUND(G1190+0.1,1)</f>
        <v/>
      </c>
      <c r="H1191">
        <f>G1191=C1191</f>
        <v/>
      </c>
      <c r="I1191">
        <f>TEXT(B1191,"0.00000000000000")</f>
        <v/>
      </c>
    </row>
    <row r="1192">
      <c r="A1192" t="n">
        <v>1185</v>
      </c>
      <c r="B1192">
        <f>B1191+0.1</f>
        <v/>
      </c>
      <c r="C1192">
        <f>A1192/10</f>
        <v/>
      </c>
      <c r="D1192">
        <f>B1192=C1192</f>
        <v/>
      </c>
      <c r="E1192">
        <f>INT(B1192*10)=A1192</f>
        <v/>
      </c>
      <c r="F1192">
        <f>B1192&gt;=C1192</f>
        <v/>
      </c>
      <c r="G1192">
        <f>ROUND(G1191+0.1,1)</f>
        <v/>
      </c>
      <c r="H1192">
        <f>G1192=C1192</f>
        <v/>
      </c>
      <c r="I1192">
        <f>TEXT(B1192,"0.00000000000000")</f>
        <v/>
      </c>
    </row>
    <row r="1193">
      <c r="A1193" t="n">
        <v>1186</v>
      </c>
      <c r="B1193">
        <f>B1192+0.1</f>
        <v/>
      </c>
      <c r="C1193">
        <f>A1193/10</f>
        <v/>
      </c>
      <c r="D1193">
        <f>B1193=C1193</f>
        <v/>
      </c>
      <c r="E1193">
        <f>INT(B1193*10)=A1193</f>
        <v/>
      </c>
      <c r="F1193">
        <f>B1193&gt;=C1193</f>
        <v/>
      </c>
      <c r="G1193">
        <f>ROUND(G1192+0.1,1)</f>
        <v/>
      </c>
      <c r="H1193">
        <f>G1193=C1193</f>
        <v/>
      </c>
      <c r="I1193">
        <f>TEXT(B1193,"0.00000000000000")</f>
        <v/>
      </c>
    </row>
    <row r="1194">
      <c r="A1194" t="n">
        <v>1187</v>
      </c>
      <c r="B1194">
        <f>B1193+0.1</f>
        <v/>
      </c>
      <c r="C1194">
        <f>A1194/10</f>
        <v/>
      </c>
      <c r="D1194">
        <f>B1194=C1194</f>
        <v/>
      </c>
      <c r="E1194">
        <f>INT(B1194*10)=A1194</f>
        <v/>
      </c>
      <c r="F1194">
        <f>B1194&gt;=C1194</f>
        <v/>
      </c>
      <c r="G1194">
        <f>ROUND(G1193+0.1,1)</f>
        <v/>
      </c>
      <c r="H1194">
        <f>G1194=C1194</f>
        <v/>
      </c>
      <c r="I1194">
        <f>TEXT(B1194,"0.00000000000000")</f>
        <v/>
      </c>
    </row>
    <row r="1195">
      <c r="A1195" t="n">
        <v>1188</v>
      </c>
      <c r="B1195">
        <f>B1194+0.1</f>
        <v/>
      </c>
      <c r="C1195">
        <f>A1195/10</f>
        <v/>
      </c>
      <c r="D1195">
        <f>B1195=C1195</f>
        <v/>
      </c>
      <c r="E1195">
        <f>INT(B1195*10)=A1195</f>
        <v/>
      </c>
      <c r="F1195">
        <f>B1195&gt;=C1195</f>
        <v/>
      </c>
      <c r="G1195">
        <f>ROUND(G1194+0.1,1)</f>
        <v/>
      </c>
      <c r="H1195">
        <f>G1195=C1195</f>
        <v/>
      </c>
      <c r="I1195">
        <f>TEXT(B1195,"0.00000000000000")</f>
        <v/>
      </c>
    </row>
    <row r="1196">
      <c r="A1196" t="n">
        <v>1189</v>
      </c>
      <c r="B1196">
        <f>B1195+0.1</f>
        <v/>
      </c>
      <c r="C1196">
        <f>A1196/10</f>
        <v/>
      </c>
      <c r="D1196">
        <f>B1196=C1196</f>
        <v/>
      </c>
      <c r="E1196">
        <f>INT(B1196*10)=A1196</f>
        <v/>
      </c>
      <c r="F1196">
        <f>B1196&gt;=C1196</f>
        <v/>
      </c>
      <c r="G1196">
        <f>ROUND(G1195+0.1,1)</f>
        <v/>
      </c>
      <c r="H1196">
        <f>G1196=C1196</f>
        <v/>
      </c>
      <c r="I1196">
        <f>TEXT(B1196,"0.00000000000000")</f>
        <v/>
      </c>
    </row>
    <row r="1197">
      <c r="A1197" t="n">
        <v>1190</v>
      </c>
      <c r="B1197">
        <f>B1196+0.1</f>
        <v/>
      </c>
      <c r="C1197">
        <f>A1197/10</f>
        <v/>
      </c>
      <c r="D1197">
        <f>B1197=C1197</f>
        <v/>
      </c>
      <c r="E1197">
        <f>INT(B1197*10)=A1197</f>
        <v/>
      </c>
      <c r="F1197">
        <f>B1197&gt;=C1197</f>
        <v/>
      </c>
      <c r="G1197">
        <f>ROUND(G1196+0.1,1)</f>
        <v/>
      </c>
      <c r="H1197">
        <f>G1197=C1197</f>
        <v/>
      </c>
      <c r="I1197">
        <f>TEXT(B1197,"0.00000000000000")</f>
        <v/>
      </c>
    </row>
    <row r="1198">
      <c r="A1198" t="n">
        <v>1191</v>
      </c>
      <c r="B1198">
        <f>B1197+0.1</f>
        <v/>
      </c>
      <c r="C1198">
        <f>A1198/10</f>
        <v/>
      </c>
      <c r="D1198">
        <f>B1198=C1198</f>
        <v/>
      </c>
      <c r="E1198">
        <f>INT(B1198*10)=A1198</f>
        <v/>
      </c>
      <c r="F1198">
        <f>B1198&gt;=C1198</f>
        <v/>
      </c>
      <c r="G1198">
        <f>ROUND(G1197+0.1,1)</f>
        <v/>
      </c>
      <c r="H1198">
        <f>G1198=C1198</f>
        <v/>
      </c>
      <c r="I1198">
        <f>TEXT(B1198,"0.00000000000000")</f>
        <v/>
      </c>
    </row>
    <row r="1199">
      <c r="A1199" t="n">
        <v>1192</v>
      </c>
      <c r="B1199">
        <f>B1198+0.1</f>
        <v/>
      </c>
      <c r="C1199">
        <f>A1199/10</f>
        <v/>
      </c>
      <c r="D1199">
        <f>B1199=C1199</f>
        <v/>
      </c>
      <c r="E1199">
        <f>INT(B1199*10)=A1199</f>
        <v/>
      </c>
      <c r="F1199">
        <f>B1199&gt;=C1199</f>
        <v/>
      </c>
      <c r="G1199">
        <f>ROUND(G1198+0.1,1)</f>
        <v/>
      </c>
      <c r="H1199">
        <f>G1199=C1199</f>
        <v/>
      </c>
      <c r="I1199">
        <f>TEXT(B1199,"0.00000000000000")</f>
        <v/>
      </c>
    </row>
    <row r="1200">
      <c r="A1200" t="n">
        <v>1193</v>
      </c>
      <c r="B1200">
        <f>B1199+0.1</f>
        <v/>
      </c>
      <c r="C1200">
        <f>A1200/10</f>
        <v/>
      </c>
      <c r="D1200">
        <f>B1200=C1200</f>
        <v/>
      </c>
      <c r="E1200">
        <f>INT(B1200*10)=A1200</f>
        <v/>
      </c>
      <c r="F1200">
        <f>B1200&gt;=C1200</f>
        <v/>
      </c>
      <c r="G1200">
        <f>ROUND(G1199+0.1,1)</f>
        <v/>
      </c>
      <c r="H1200">
        <f>G1200=C1200</f>
        <v/>
      </c>
      <c r="I1200">
        <f>TEXT(B1200,"0.00000000000000")</f>
        <v/>
      </c>
    </row>
    <row r="1201">
      <c r="A1201" t="n">
        <v>1194</v>
      </c>
      <c r="B1201">
        <f>B1200+0.1</f>
        <v/>
      </c>
      <c r="C1201">
        <f>A1201/10</f>
        <v/>
      </c>
      <c r="D1201">
        <f>B1201=C1201</f>
        <v/>
      </c>
      <c r="E1201">
        <f>INT(B1201*10)=A1201</f>
        <v/>
      </c>
      <c r="F1201">
        <f>B1201&gt;=C1201</f>
        <v/>
      </c>
      <c r="G1201">
        <f>ROUND(G1200+0.1,1)</f>
        <v/>
      </c>
      <c r="H1201">
        <f>G1201=C1201</f>
        <v/>
      </c>
      <c r="I1201">
        <f>TEXT(B1201,"0.00000000000000")</f>
        <v/>
      </c>
    </row>
    <row r="1202">
      <c r="A1202" t="n">
        <v>1195</v>
      </c>
      <c r="B1202">
        <f>B1201+0.1</f>
        <v/>
      </c>
      <c r="C1202">
        <f>A1202/10</f>
        <v/>
      </c>
      <c r="D1202">
        <f>B1202=C1202</f>
        <v/>
      </c>
      <c r="E1202">
        <f>INT(B1202*10)=A1202</f>
        <v/>
      </c>
      <c r="F1202">
        <f>B1202&gt;=C1202</f>
        <v/>
      </c>
      <c r="G1202">
        <f>ROUND(G1201+0.1,1)</f>
        <v/>
      </c>
      <c r="H1202">
        <f>G1202=C1202</f>
        <v/>
      </c>
      <c r="I1202">
        <f>TEXT(B1202,"0.00000000000000")</f>
        <v/>
      </c>
    </row>
    <row r="1203">
      <c r="A1203" t="n">
        <v>1196</v>
      </c>
      <c r="B1203">
        <f>B1202+0.1</f>
        <v/>
      </c>
      <c r="C1203">
        <f>A1203/10</f>
        <v/>
      </c>
      <c r="D1203">
        <f>B1203=C1203</f>
        <v/>
      </c>
      <c r="E1203">
        <f>INT(B1203*10)=A1203</f>
        <v/>
      </c>
      <c r="F1203">
        <f>B1203&gt;=C1203</f>
        <v/>
      </c>
      <c r="G1203">
        <f>ROUND(G1202+0.1,1)</f>
        <v/>
      </c>
      <c r="H1203">
        <f>G1203=C1203</f>
        <v/>
      </c>
      <c r="I1203">
        <f>TEXT(B1203,"0.00000000000000")</f>
        <v/>
      </c>
    </row>
    <row r="1204">
      <c r="A1204" t="n">
        <v>1197</v>
      </c>
      <c r="B1204">
        <f>B1203+0.1</f>
        <v/>
      </c>
      <c r="C1204">
        <f>A1204/10</f>
        <v/>
      </c>
      <c r="D1204">
        <f>B1204=C1204</f>
        <v/>
      </c>
      <c r="E1204">
        <f>INT(B1204*10)=A1204</f>
        <v/>
      </c>
      <c r="F1204">
        <f>B1204&gt;=C1204</f>
        <v/>
      </c>
      <c r="G1204">
        <f>ROUND(G1203+0.1,1)</f>
        <v/>
      </c>
      <c r="H1204">
        <f>G1204=C1204</f>
        <v/>
      </c>
      <c r="I1204">
        <f>TEXT(B1204,"0.00000000000000")</f>
        <v/>
      </c>
    </row>
    <row r="1205">
      <c r="A1205" t="n">
        <v>1198</v>
      </c>
      <c r="B1205">
        <f>B1204+0.1</f>
        <v/>
      </c>
      <c r="C1205">
        <f>A1205/10</f>
        <v/>
      </c>
      <c r="D1205">
        <f>B1205=C1205</f>
        <v/>
      </c>
      <c r="E1205">
        <f>INT(B1205*10)=A1205</f>
        <v/>
      </c>
      <c r="F1205">
        <f>B1205&gt;=C1205</f>
        <v/>
      </c>
      <c r="G1205">
        <f>ROUND(G1204+0.1,1)</f>
        <v/>
      </c>
      <c r="H1205">
        <f>G1205=C1205</f>
        <v/>
      </c>
      <c r="I1205">
        <f>TEXT(B1205,"0.00000000000000")</f>
        <v/>
      </c>
    </row>
    <row r="1206">
      <c r="A1206" t="n">
        <v>1199</v>
      </c>
      <c r="B1206">
        <f>B1205+0.1</f>
        <v/>
      </c>
      <c r="C1206">
        <f>A1206/10</f>
        <v/>
      </c>
      <c r="D1206">
        <f>B1206=C1206</f>
        <v/>
      </c>
      <c r="E1206">
        <f>INT(B1206*10)=A1206</f>
        <v/>
      </c>
      <c r="F1206">
        <f>B1206&gt;=C1206</f>
        <v/>
      </c>
      <c r="G1206">
        <f>ROUND(G1205+0.1,1)</f>
        <v/>
      </c>
      <c r="H1206">
        <f>G1206=C1206</f>
        <v/>
      </c>
      <c r="I1206">
        <f>TEXT(B1206,"0.00000000000000")</f>
        <v/>
      </c>
    </row>
    <row r="1207">
      <c r="A1207" t="n">
        <v>1200</v>
      </c>
      <c r="B1207">
        <f>B1206+0.1</f>
        <v/>
      </c>
      <c r="C1207">
        <f>A1207/10</f>
        <v/>
      </c>
      <c r="D1207">
        <f>B1207=C1207</f>
        <v/>
      </c>
      <c r="E1207">
        <f>INT(B1207*10)=A1207</f>
        <v/>
      </c>
      <c r="F1207">
        <f>B1207&gt;=C1207</f>
        <v/>
      </c>
      <c r="G1207">
        <f>ROUND(G1206+0.1,1)</f>
        <v/>
      </c>
      <c r="H1207">
        <f>G1207=C1207</f>
        <v/>
      </c>
      <c r="I1207">
        <f>TEXT(B1207,"0.00000000000000")</f>
        <v/>
      </c>
    </row>
    <row r="1208">
      <c r="A1208" t="n">
        <v>1201</v>
      </c>
      <c r="B1208">
        <f>B1207+0.1</f>
        <v/>
      </c>
      <c r="C1208">
        <f>A1208/10</f>
        <v/>
      </c>
      <c r="D1208">
        <f>B1208=C1208</f>
        <v/>
      </c>
      <c r="E1208">
        <f>INT(B1208*10)=A1208</f>
        <v/>
      </c>
      <c r="F1208">
        <f>B1208&gt;=C1208</f>
        <v/>
      </c>
      <c r="G1208">
        <f>ROUND(G1207+0.1,1)</f>
        <v/>
      </c>
      <c r="H1208">
        <f>G1208=C1208</f>
        <v/>
      </c>
      <c r="I1208">
        <f>TEXT(B1208,"0.00000000000000")</f>
        <v/>
      </c>
    </row>
    <row r="1209">
      <c r="A1209" t="n">
        <v>1202</v>
      </c>
      <c r="B1209">
        <f>B1208+0.1</f>
        <v/>
      </c>
      <c r="C1209">
        <f>A1209/10</f>
        <v/>
      </c>
      <c r="D1209">
        <f>B1209=C1209</f>
        <v/>
      </c>
      <c r="E1209">
        <f>INT(B1209*10)=A1209</f>
        <v/>
      </c>
      <c r="F1209">
        <f>B1209&gt;=C1209</f>
        <v/>
      </c>
      <c r="G1209">
        <f>ROUND(G1208+0.1,1)</f>
        <v/>
      </c>
      <c r="H1209">
        <f>G1209=C1209</f>
        <v/>
      </c>
      <c r="I1209">
        <f>TEXT(B1209,"0.00000000000000")</f>
        <v/>
      </c>
    </row>
    <row r="1210">
      <c r="A1210" t="n">
        <v>1203</v>
      </c>
      <c r="B1210">
        <f>B1209+0.1</f>
        <v/>
      </c>
      <c r="C1210">
        <f>A1210/10</f>
        <v/>
      </c>
      <c r="D1210">
        <f>B1210=C1210</f>
        <v/>
      </c>
      <c r="E1210">
        <f>INT(B1210*10)=A1210</f>
        <v/>
      </c>
      <c r="F1210">
        <f>B1210&gt;=C1210</f>
        <v/>
      </c>
      <c r="G1210">
        <f>ROUND(G1209+0.1,1)</f>
        <v/>
      </c>
      <c r="H1210">
        <f>G1210=C1210</f>
        <v/>
      </c>
      <c r="I1210">
        <f>TEXT(B1210,"0.00000000000000")</f>
        <v/>
      </c>
    </row>
    <row r="1211">
      <c r="A1211" t="n">
        <v>1204</v>
      </c>
      <c r="B1211">
        <f>B1210+0.1</f>
        <v/>
      </c>
      <c r="C1211">
        <f>A1211/10</f>
        <v/>
      </c>
      <c r="D1211">
        <f>B1211=C1211</f>
        <v/>
      </c>
      <c r="E1211">
        <f>INT(B1211*10)=A1211</f>
        <v/>
      </c>
      <c r="F1211">
        <f>B1211&gt;=C1211</f>
        <v/>
      </c>
      <c r="G1211">
        <f>ROUND(G1210+0.1,1)</f>
        <v/>
      </c>
      <c r="H1211">
        <f>G1211=C1211</f>
        <v/>
      </c>
      <c r="I1211">
        <f>TEXT(B1211,"0.00000000000000")</f>
        <v/>
      </c>
    </row>
    <row r="1212">
      <c r="A1212" t="n">
        <v>1205</v>
      </c>
      <c r="B1212">
        <f>B1211+0.1</f>
        <v/>
      </c>
      <c r="C1212">
        <f>A1212/10</f>
        <v/>
      </c>
      <c r="D1212">
        <f>B1212=C1212</f>
        <v/>
      </c>
      <c r="E1212">
        <f>INT(B1212*10)=A1212</f>
        <v/>
      </c>
      <c r="F1212">
        <f>B1212&gt;=C1212</f>
        <v/>
      </c>
      <c r="G1212">
        <f>ROUND(G1211+0.1,1)</f>
        <v/>
      </c>
      <c r="H1212">
        <f>G1212=C1212</f>
        <v/>
      </c>
      <c r="I1212">
        <f>TEXT(B1212,"0.00000000000000")</f>
        <v/>
      </c>
    </row>
    <row r="1213">
      <c r="A1213" t="n">
        <v>1206</v>
      </c>
      <c r="B1213">
        <f>B1212+0.1</f>
        <v/>
      </c>
      <c r="C1213">
        <f>A1213/10</f>
        <v/>
      </c>
      <c r="D1213">
        <f>B1213=C1213</f>
        <v/>
      </c>
      <c r="E1213">
        <f>INT(B1213*10)=A1213</f>
        <v/>
      </c>
      <c r="F1213">
        <f>B1213&gt;=C1213</f>
        <v/>
      </c>
      <c r="G1213">
        <f>ROUND(G1212+0.1,1)</f>
        <v/>
      </c>
      <c r="H1213">
        <f>G1213=C1213</f>
        <v/>
      </c>
      <c r="I1213">
        <f>TEXT(B1213,"0.00000000000000")</f>
        <v/>
      </c>
    </row>
    <row r="1214">
      <c r="A1214" t="n">
        <v>1207</v>
      </c>
      <c r="B1214">
        <f>B1213+0.1</f>
        <v/>
      </c>
      <c r="C1214">
        <f>A1214/10</f>
        <v/>
      </c>
      <c r="D1214">
        <f>B1214=C1214</f>
        <v/>
      </c>
      <c r="E1214">
        <f>INT(B1214*10)=A1214</f>
        <v/>
      </c>
      <c r="F1214">
        <f>B1214&gt;=C1214</f>
        <v/>
      </c>
      <c r="G1214">
        <f>ROUND(G1213+0.1,1)</f>
        <v/>
      </c>
      <c r="H1214">
        <f>G1214=C1214</f>
        <v/>
      </c>
      <c r="I1214">
        <f>TEXT(B1214,"0.00000000000000")</f>
        <v/>
      </c>
    </row>
    <row r="1215">
      <c r="A1215" t="n">
        <v>1208</v>
      </c>
      <c r="B1215">
        <f>B1214+0.1</f>
        <v/>
      </c>
      <c r="C1215">
        <f>A1215/10</f>
        <v/>
      </c>
      <c r="D1215">
        <f>B1215=C1215</f>
        <v/>
      </c>
      <c r="E1215">
        <f>INT(B1215*10)=A1215</f>
        <v/>
      </c>
      <c r="F1215">
        <f>B1215&gt;=C1215</f>
        <v/>
      </c>
      <c r="G1215">
        <f>ROUND(G1214+0.1,1)</f>
        <v/>
      </c>
      <c r="H1215">
        <f>G1215=C1215</f>
        <v/>
      </c>
      <c r="I1215">
        <f>TEXT(B1215,"0.00000000000000")</f>
        <v/>
      </c>
    </row>
    <row r="1216">
      <c r="A1216" t="n">
        <v>1209</v>
      </c>
      <c r="B1216">
        <f>B1215+0.1</f>
        <v/>
      </c>
      <c r="C1216">
        <f>A1216/10</f>
        <v/>
      </c>
      <c r="D1216">
        <f>B1216=C1216</f>
        <v/>
      </c>
      <c r="E1216">
        <f>INT(B1216*10)=A1216</f>
        <v/>
      </c>
      <c r="F1216">
        <f>B1216&gt;=C1216</f>
        <v/>
      </c>
      <c r="G1216">
        <f>ROUND(G1215+0.1,1)</f>
        <v/>
      </c>
      <c r="H1216">
        <f>G1216=C1216</f>
        <v/>
      </c>
      <c r="I1216">
        <f>TEXT(B1216,"0.00000000000000")</f>
        <v/>
      </c>
    </row>
    <row r="1217">
      <c r="A1217" t="n">
        <v>1210</v>
      </c>
      <c r="B1217">
        <f>B1216+0.1</f>
        <v/>
      </c>
      <c r="C1217">
        <f>A1217/10</f>
        <v/>
      </c>
      <c r="D1217">
        <f>B1217=C1217</f>
        <v/>
      </c>
      <c r="E1217">
        <f>INT(B1217*10)=A1217</f>
        <v/>
      </c>
      <c r="F1217">
        <f>B1217&gt;=C1217</f>
        <v/>
      </c>
      <c r="G1217">
        <f>ROUND(G1216+0.1,1)</f>
        <v/>
      </c>
      <c r="H1217">
        <f>G1217=C1217</f>
        <v/>
      </c>
      <c r="I1217">
        <f>TEXT(B1217,"0.00000000000000")</f>
        <v/>
      </c>
    </row>
    <row r="1218">
      <c r="A1218" t="n">
        <v>1211</v>
      </c>
      <c r="B1218">
        <f>B1217+0.1</f>
        <v/>
      </c>
      <c r="C1218">
        <f>A1218/10</f>
        <v/>
      </c>
      <c r="D1218">
        <f>B1218=C1218</f>
        <v/>
      </c>
      <c r="E1218">
        <f>INT(B1218*10)=A1218</f>
        <v/>
      </c>
      <c r="F1218">
        <f>B1218&gt;=C1218</f>
        <v/>
      </c>
      <c r="G1218">
        <f>ROUND(G1217+0.1,1)</f>
        <v/>
      </c>
      <c r="H1218">
        <f>G1218=C1218</f>
        <v/>
      </c>
      <c r="I1218">
        <f>TEXT(B1218,"0.00000000000000")</f>
        <v/>
      </c>
    </row>
    <row r="1219">
      <c r="A1219" t="n">
        <v>1212</v>
      </c>
      <c r="B1219">
        <f>B1218+0.1</f>
        <v/>
      </c>
      <c r="C1219">
        <f>A1219/10</f>
        <v/>
      </c>
      <c r="D1219">
        <f>B1219=C1219</f>
        <v/>
      </c>
      <c r="E1219">
        <f>INT(B1219*10)=A1219</f>
        <v/>
      </c>
      <c r="F1219">
        <f>B1219&gt;=C1219</f>
        <v/>
      </c>
      <c r="G1219">
        <f>ROUND(G1218+0.1,1)</f>
        <v/>
      </c>
      <c r="H1219">
        <f>G1219=C1219</f>
        <v/>
      </c>
      <c r="I1219">
        <f>TEXT(B1219,"0.00000000000000")</f>
        <v/>
      </c>
    </row>
    <row r="1220">
      <c r="A1220" t="n">
        <v>1213</v>
      </c>
      <c r="B1220">
        <f>B1219+0.1</f>
        <v/>
      </c>
      <c r="C1220">
        <f>A1220/10</f>
        <v/>
      </c>
      <c r="D1220">
        <f>B1220=C1220</f>
        <v/>
      </c>
      <c r="E1220">
        <f>INT(B1220*10)=A1220</f>
        <v/>
      </c>
      <c r="F1220">
        <f>B1220&gt;=C1220</f>
        <v/>
      </c>
      <c r="G1220">
        <f>ROUND(G1219+0.1,1)</f>
        <v/>
      </c>
      <c r="H1220">
        <f>G1220=C1220</f>
        <v/>
      </c>
      <c r="I1220">
        <f>TEXT(B1220,"0.00000000000000")</f>
        <v/>
      </c>
    </row>
    <row r="1221">
      <c r="A1221" t="n">
        <v>1214</v>
      </c>
      <c r="B1221">
        <f>B1220+0.1</f>
        <v/>
      </c>
      <c r="C1221">
        <f>A1221/10</f>
        <v/>
      </c>
      <c r="D1221">
        <f>B1221=C1221</f>
        <v/>
      </c>
      <c r="E1221">
        <f>INT(B1221*10)=A1221</f>
        <v/>
      </c>
      <c r="F1221">
        <f>B1221&gt;=C1221</f>
        <v/>
      </c>
      <c r="G1221">
        <f>ROUND(G1220+0.1,1)</f>
        <v/>
      </c>
      <c r="H1221">
        <f>G1221=C1221</f>
        <v/>
      </c>
      <c r="I1221">
        <f>TEXT(B1221,"0.00000000000000")</f>
        <v/>
      </c>
    </row>
    <row r="1222">
      <c r="A1222" t="n">
        <v>1215</v>
      </c>
      <c r="B1222">
        <f>B1221+0.1</f>
        <v/>
      </c>
      <c r="C1222">
        <f>A1222/10</f>
        <v/>
      </c>
      <c r="D1222">
        <f>B1222=C1222</f>
        <v/>
      </c>
      <c r="E1222">
        <f>INT(B1222*10)=A1222</f>
        <v/>
      </c>
      <c r="F1222">
        <f>B1222&gt;=C1222</f>
        <v/>
      </c>
      <c r="G1222">
        <f>ROUND(G1221+0.1,1)</f>
        <v/>
      </c>
      <c r="H1222">
        <f>G1222=C1222</f>
        <v/>
      </c>
      <c r="I1222">
        <f>TEXT(B1222,"0.00000000000000")</f>
        <v/>
      </c>
    </row>
    <row r="1223">
      <c r="A1223" t="n">
        <v>1216</v>
      </c>
      <c r="B1223">
        <f>B1222+0.1</f>
        <v/>
      </c>
      <c r="C1223">
        <f>A1223/10</f>
        <v/>
      </c>
      <c r="D1223">
        <f>B1223=C1223</f>
        <v/>
      </c>
      <c r="E1223">
        <f>INT(B1223*10)=A1223</f>
        <v/>
      </c>
      <c r="F1223">
        <f>B1223&gt;=C1223</f>
        <v/>
      </c>
      <c r="G1223">
        <f>ROUND(G1222+0.1,1)</f>
        <v/>
      </c>
      <c r="H1223">
        <f>G1223=C1223</f>
        <v/>
      </c>
      <c r="I1223">
        <f>TEXT(B1223,"0.00000000000000")</f>
        <v/>
      </c>
    </row>
    <row r="1224">
      <c r="A1224" t="n">
        <v>1217</v>
      </c>
      <c r="B1224">
        <f>B1223+0.1</f>
        <v/>
      </c>
      <c r="C1224">
        <f>A1224/10</f>
        <v/>
      </c>
      <c r="D1224">
        <f>B1224=C1224</f>
        <v/>
      </c>
      <c r="E1224">
        <f>INT(B1224*10)=A1224</f>
        <v/>
      </c>
      <c r="F1224">
        <f>B1224&gt;=C1224</f>
        <v/>
      </c>
      <c r="G1224">
        <f>ROUND(G1223+0.1,1)</f>
        <v/>
      </c>
      <c r="H1224">
        <f>G1224=C1224</f>
        <v/>
      </c>
      <c r="I1224">
        <f>TEXT(B1224,"0.00000000000000")</f>
        <v/>
      </c>
    </row>
    <row r="1225">
      <c r="A1225" t="n">
        <v>1218</v>
      </c>
      <c r="B1225">
        <f>B1224+0.1</f>
        <v/>
      </c>
      <c r="C1225">
        <f>A1225/10</f>
        <v/>
      </c>
      <c r="D1225">
        <f>B1225=C1225</f>
        <v/>
      </c>
      <c r="E1225">
        <f>INT(B1225*10)=A1225</f>
        <v/>
      </c>
      <c r="F1225">
        <f>B1225&gt;=C1225</f>
        <v/>
      </c>
      <c r="G1225">
        <f>ROUND(G1224+0.1,1)</f>
        <v/>
      </c>
      <c r="H1225">
        <f>G1225=C1225</f>
        <v/>
      </c>
      <c r="I1225">
        <f>TEXT(B1225,"0.00000000000000")</f>
        <v/>
      </c>
    </row>
    <row r="1226">
      <c r="A1226" t="n">
        <v>1219</v>
      </c>
      <c r="B1226">
        <f>B1225+0.1</f>
        <v/>
      </c>
      <c r="C1226">
        <f>A1226/10</f>
        <v/>
      </c>
      <c r="D1226">
        <f>B1226=C1226</f>
        <v/>
      </c>
      <c r="E1226">
        <f>INT(B1226*10)=A1226</f>
        <v/>
      </c>
      <c r="F1226">
        <f>B1226&gt;=C1226</f>
        <v/>
      </c>
      <c r="G1226">
        <f>ROUND(G1225+0.1,1)</f>
        <v/>
      </c>
      <c r="H1226">
        <f>G1226=C1226</f>
        <v/>
      </c>
      <c r="I1226">
        <f>TEXT(B1226,"0.00000000000000")</f>
        <v/>
      </c>
    </row>
    <row r="1227">
      <c r="A1227" t="n">
        <v>1220</v>
      </c>
      <c r="B1227">
        <f>B1226+0.1</f>
        <v/>
      </c>
      <c r="C1227">
        <f>A1227/10</f>
        <v/>
      </c>
      <c r="D1227">
        <f>B1227=C1227</f>
        <v/>
      </c>
      <c r="E1227">
        <f>INT(B1227*10)=A1227</f>
        <v/>
      </c>
      <c r="F1227">
        <f>B1227&gt;=C1227</f>
        <v/>
      </c>
      <c r="G1227">
        <f>ROUND(G1226+0.1,1)</f>
        <v/>
      </c>
      <c r="H1227">
        <f>G1227=C1227</f>
        <v/>
      </c>
      <c r="I1227">
        <f>TEXT(B1227,"0.00000000000000")</f>
        <v/>
      </c>
    </row>
    <row r="1228">
      <c r="A1228" t="n">
        <v>1221</v>
      </c>
      <c r="B1228">
        <f>B1227+0.1</f>
        <v/>
      </c>
      <c r="C1228">
        <f>A1228/10</f>
        <v/>
      </c>
      <c r="D1228">
        <f>B1228=C1228</f>
        <v/>
      </c>
      <c r="E1228">
        <f>INT(B1228*10)=A1228</f>
        <v/>
      </c>
      <c r="F1228">
        <f>B1228&gt;=C1228</f>
        <v/>
      </c>
      <c r="G1228">
        <f>ROUND(G1227+0.1,1)</f>
        <v/>
      </c>
      <c r="H1228">
        <f>G1228=C1228</f>
        <v/>
      </c>
      <c r="I1228">
        <f>TEXT(B1228,"0.00000000000000")</f>
        <v/>
      </c>
    </row>
    <row r="1229">
      <c r="A1229" t="n">
        <v>1222</v>
      </c>
      <c r="B1229">
        <f>B1228+0.1</f>
        <v/>
      </c>
      <c r="C1229">
        <f>A1229/10</f>
        <v/>
      </c>
      <c r="D1229">
        <f>B1229=C1229</f>
        <v/>
      </c>
      <c r="E1229">
        <f>INT(B1229*10)=A1229</f>
        <v/>
      </c>
      <c r="F1229">
        <f>B1229&gt;=C1229</f>
        <v/>
      </c>
      <c r="G1229">
        <f>ROUND(G1228+0.1,1)</f>
        <v/>
      </c>
      <c r="H1229">
        <f>G1229=C1229</f>
        <v/>
      </c>
      <c r="I1229">
        <f>TEXT(B1229,"0.00000000000000")</f>
        <v/>
      </c>
    </row>
    <row r="1230">
      <c r="A1230" t="n">
        <v>1223</v>
      </c>
      <c r="B1230">
        <f>B1229+0.1</f>
        <v/>
      </c>
      <c r="C1230">
        <f>A1230/10</f>
        <v/>
      </c>
      <c r="D1230">
        <f>B1230=C1230</f>
        <v/>
      </c>
      <c r="E1230">
        <f>INT(B1230*10)=A1230</f>
        <v/>
      </c>
      <c r="F1230">
        <f>B1230&gt;=C1230</f>
        <v/>
      </c>
      <c r="G1230">
        <f>ROUND(G1229+0.1,1)</f>
        <v/>
      </c>
      <c r="H1230">
        <f>G1230=C1230</f>
        <v/>
      </c>
      <c r="I1230">
        <f>TEXT(B1230,"0.00000000000000")</f>
        <v/>
      </c>
    </row>
    <row r="1231">
      <c r="A1231" t="n">
        <v>1224</v>
      </c>
      <c r="B1231">
        <f>B1230+0.1</f>
        <v/>
      </c>
      <c r="C1231">
        <f>A1231/10</f>
        <v/>
      </c>
      <c r="D1231">
        <f>B1231=C1231</f>
        <v/>
      </c>
      <c r="E1231">
        <f>INT(B1231*10)=A1231</f>
        <v/>
      </c>
      <c r="F1231">
        <f>B1231&gt;=C1231</f>
        <v/>
      </c>
      <c r="G1231">
        <f>ROUND(G1230+0.1,1)</f>
        <v/>
      </c>
      <c r="H1231">
        <f>G1231=C1231</f>
        <v/>
      </c>
      <c r="I1231">
        <f>TEXT(B1231,"0.00000000000000")</f>
        <v/>
      </c>
    </row>
    <row r="1232">
      <c r="A1232" t="n">
        <v>1225</v>
      </c>
      <c r="B1232">
        <f>B1231+0.1</f>
        <v/>
      </c>
      <c r="C1232">
        <f>A1232/10</f>
        <v/>
      </c>
      <c r="D1232">
        <f>B1232=C1232</f>
        <v/>
      </c>
      <c r="E1232">
        <f>INT(B1232*10)=A1232</f>
        <v/>
      </c>
      <c r="F1232">
        <f>B1232&gt;=C1232</f>
        <v/>
      </c>
      <c r="G1232">
        <f>ROUND(G1231+0.1,1)</f>
        <v/>
      </c>
      <c r="H1232">
        <f>G1232=C1232</f>
        <v/>
      </c>
      <c r="I1232">
        <f>TEXT(B1232,"0.00000000000000")</f>
        <v/>
      </c>
    </row>
    <row r="1233">
      <c r="A1233" t="n">
        <v>1226</v>
      </c>
      <c r="B1233">
        <f>B1232+0.1</f>
        <v/>
      </c>
      <c r="C1233">
        <f>A1233/10</f>
        <v/>
      </c>
      <c r="D1233">
        <f>B1233=C1233</f>
        <v/>
      </c>
      <c r="E1233">
        <f>INT(B1233*10)=A1233</f>
        <v/>
      </c>
      <c r="F1233">
        <f>B1233&gt;=C1233</f>
        <v/>
      </c>
      <c r="G1233">
        <f>ROUND(G1232+0.1,1)</f>
        <v/>
      </c>
      <c r="H1233">
        <f>G1233=C1233</f>
        <v/>
      </c>
      <c r="I1233">
        <f>TEXT(B1233,"0.00000000000000")</f>
        <v/>
      </c>
    </row>
    <row r="1234">
      <c r="A1234" t="n">
        <v>1227</v>
      </c>
      <c r="B1234">
        <f>B1233+0.1</f>
        <v/>
      </c>
      <c r="C1234">
        <f>A1234/10</f>
        <v/>
      </c>
      <c r="D1234">
        <f>B1234=C1234</f>
        <v/>
      </c>
      <c r="E1234">
        <f>INT(B1234*10)=A1234</f>
        <v/>
      </c>
      <c r="F1234">
        <f>B1234&gt;=C1234</f>
        <v/>
      </c>
      <c r="G1234">
        <f>ROUND(G1233+0.1,1)</f>
        <v/>
      </c>
      <c r="H1234">
        <f>G1234=C1234</f>
        <v/>
      </c>
      <c r="I1234">
        <f>TEXT(B1234,"0.00000000000000")</f>
        <v/>
      </c>
    </row>
    <row r="1235">
      <c r="A1235" t="n">
        <v>1228</v>
      </c>
      <c r="B1235">
        <f>B1234+0.1</f>
        <v/>
      </c>
      <c r="C1235">
        <f>A1235/10</f>
        <v/>
      </c>
      <c r="D1235">
        <f>B1235=C1235</f>
        <v/>
      </c>
      <c r="E1235">
        <f>INT(B1235*10)=A1235</f>
        <v/>
      </c>
      <c r="F1235">
        <f>B1235&gt;=C1235</f>
        <v/>
      </c>
      <c r="G1235">
        <f>ROUND(G1234+0.1,1)</f>
        <v/>
      </c>
      <c r="H1235">
        <f>G1235=C1235</f>
        <v/>
      </c>
      <c r="I1235">
        <f>TEXT(B1235,"0.00000000000000")</f>
        <v/>
      </c>
    </row>
    <row r="1236">
      <c r="A1236" t="n">
        <v>1229</v>
      </c>
      <c r="B1236">
        <f>B1235+0.1</f>
        <v/>
      </c>
      <c r="C1236">
        <f>A1236/10</f>
        <v/>
      </c>
      <c r="D1236">
        <f>B1236=C1236</f>
        <v/>
      </c>
      <c r="E1236">
        <f>INT(B1236*10)=A1236</f>
        <v/>
      </c>
      <c r="F1236">
        <f>B1236&gt;=C1236</f>
        <v/>
      </c>
      <c r="G1236">
        <f>ROUND(G1235+0.1,1)</f>
        <v/>
      </c>
      <c r="H1236">
        <f>G1236=C1236</f>
        <v/>
      </c>
      <c r="I1236">
        <f>TEXT(B1236,"0.00000000000000")</f>
        <v/>
      </c>
    </row>
    <row r="1237">
      <c r="A1237" t="n">
        <v>1230</v>
      </c>
      <c r="B1237">
        <f>B1236+0.1</f>
        <v/>
      </c>
      <c r="C1237">
        <f>A1237/10</f>
        <v/>
      </c>
      <c r="D1237">
        <f>B1237=C1237</f>
        <v/>
      </c>
      <c r="E1237">
        <f>INT(B1237*10)=A1237</f>
        <v/>
      </c>
      <c r="F1237">
        <f>B1237&gt;=C1237</f>
        <v/>
      </c>
      <c r="G1237">
        <f>ROUND(G1236+0.1,1)</f>
        <v/>
      </c>
      <c r="H1237">
        <f>G1237=C1237</f>
        <v/>
      </c>
      <c r="I1237">
        <f>TEXT(B1237,"0.00000000000000")</f>
        <v/>
      </c>
    </row>
    <row r="1238">
      <c r="A1238" t="n">
        <v>1231</v>
      </c>
      <c r="B1238">
        <f>B1237+0.1</f>
        <v/>
      </c>
      <c r="C1238">
        <f>A1238/10</f>
        <v/>
      </c>
      <c r="D1238">
        <f>B1238=C1238</f>
        <v/>
      </c>
      <c r="E1238">
        <f>INT(B1238*10)=A1238</f>
        <v/>
      </c>
      <c r="F1238">
        <f>B1238&gt;=C1238</f>
        <v/>
      </c>
      <c r="G1238">
        <f>ROUND(G1237+0.1,1)</f>
        <v/>
      </c>
      <c r="H1238">
        <f>G1238=C1238</f>
        <v/>
      </c>
      <c r="I1238">
        <f>TEXT(B1238,"0.00000000000000")</f>
        <v/>
      </c>
    </row>
    <row r="1239">
      <c r="A1239" t="n">
        <v>1232</v>
      </c>
      <c r="B1239">
        <f>B1238+0.1</f>
        <v/>
      </c>
      <c r="C1239">
        <f>A1239/10</f>
        <v/>
      </c>
      <c r="D1239">
        <f>B1239=C1239</f>
        <v/>
      </c>
      <c r="E1239">
        <f>INT(B1239*10)=A1239</f>
        <v/>
      </c>
      <c r="F1239">
        <f>B1239&gt;=C1239</f>
        <v/>
      </c>
      <c r="G1239">
        <f>ROUND(G1238+0.1,1)</f>
        <v/>
      </c>
      <c r="H1239">
        <f>G1239=C1239</f>
        <v/>
      </c>
      <c r="I1239">
        <f>TEXT(B1239,"0.00000000000000")</f>
        <v/>
      </c>
    </row>
    <row r="1240">
      <c r="A1240" t="n">
        <v>1233</v>
      </c>
      <c r="B1240">
        <f>B1239+0.1</f>
        <v/>
      </c>
      <c r="C1240">
        <f>A1240/10</f>
        <v/>
      </c>
      <c r="D1240">
        <f>B1240=C1240</f>
        <v/>
      </c>
      <c r="E1240">
        <f>INT(B1240*10)=A1240</f>
        <v/>
      </c>
      <c r="F1240">
        <f>B1240&gt;=C1240</f>
        <v/>
      </c>
      <c r="G1240">
        <f>ROUND(G1239+0.1,1)</f>
        <v/>
      </c>
      <c r="H1240">
        <f>G1240=C1240</f>
        <v/>
      </c>
      <c r="I1240">
        <f>TEXT(B1240,"0.00000000000000")</f>
        <v/>
      </c>
    </row>
    <row r="1241">
      <c r="A1241" t="n">
        <v>1234</v>
      </c>
      <c r="B1241">
        <f>B1240+0.1</f>
        <v/>
      </c>
      <c r="C1241">
        <f>A1241/10</f>
        <v/>
      </c>
      <c r="D1241">
        <f>B1241=C1241</f>
        <v/>
      </c>
      <c r="E1241">
        <f>INT(B1241*10)=A1241</f>
        <v/>
      </c>
      <c r="F1241">
        <f>B1241&gt;=C1241</f>
        <v/>
      </c>
      <c r="G1241">
        <f>ROUND(G1240+0.1,1)</f>
        <v/>
      </c>
      <c r="H1241">
        <f>G1241=C1241</f>
        <v/>
      </c>
      <c r="I1241">
        <f>TEXT(B1241,"0.00000000000000")</f>
        <v/>
      </c>
    </row>
    <row r="1242">
      <c r="A1242" t="n">
        <v>1235</v>
      </c>
      <c r="B1242">
        <f>B1241+0.1</f>
        <v/>
      </c>
      <c r="C1242">
        <f>A1242/10</f>
        <v/>
      </c>
      <c r="D1242">
        <f>B1242=C1242</f>
        <v/>
      </c>
      <c r="E1242">
        <f>INT(B1242*10)=A1242</f>
        <v/>
      </c>
      <c r="F1242">
        <f>B1242&gt;=C1242</f>
        <v/>
      </c>
      <c r="G1242">
        <f>ROUND(G1241+0.1,1)</f>
        <v/>
      </c>
      <c r="H1242">
        <f>G1242=C1242</f>
        <v/>
      </c>
      <c r="I1242">
        <f>TEXT(B1242,"0.00000000000000")</f>
        <v/>
      </c>
    </row>
    <row r="1243">
      <c r="A1243" t="n">
        <v>1236</v>
      </c>
      <c r="B1243">
        <f>B1242+0.1</f>
        <v/>
      </c>
      <c r="C1243">
        <f>A1243/10</f>
        <v/>
      </c>
      <c r="D1243">
        <f>B1243=C1243</f>
        <v/>
      </c>
      <c r="E1243">
        <f>INT(B1243*10)=A1243</f>
        <v/>
      </c>
      <c r="F1243">
        <f>B1243&gt;=C1243</f>
        <v/>
      </c>
      <c r="G1243">
        <f>ROUND(G1242+0.1,1)</f>
        <v/>
      </c>
      <c r="H1243">
        <f>G1243=C1243</f>
        <v/>
      </c>
      <c r="I1243">
        <f>TEXT(B1243,"0.00000000000000")</f>
        <v/>
      </c>
    </row>
    <row r="1244">
      <c r="A1244" t="n">
        <v>1237</v>
      </c>
      <c r="B1244">
        <f>B1243+0.1</f>
        <v/>
      </c>
      <c r="C1244">
        <f>A1244/10</f>
        <v/>
      </c>
      <c r="D1244">
        <f>B1244=C1244</f>
        <v/>
      </c>
      <c r="E1244">
        <f>INT(B1244*10)=A1244</f>
        <v/>
      </c>
      <c r="F1244">
        <f>B1244&gt;=C1244</f>
        <v/>
      </c>
      <c r="G1244">
        <f>ROUND(G1243+0.1,1)</f>
        <v/>
      </c>
      <c r="H1244">
        <f>G1244=C1244</f>
        <v/>
      </c>
      <c r="I1244">
        <f>TEXT(B1244,"0.00000000000000")</f>
        <v/>
      </c>
    </row>
    <row r="1245">
      <c r="A1245" t="n">
        <v>1238</v>
      </c>
      <c r="B1245">
        <f>B1244+0.1</f>
        <v/>
      </c>
      <c r="C1245">
        <f>A1245/10</f>
        <v/>
      </c>
      <c r="D1245">
        <f>B1245=C1245</f>
        <v/>
      </c>
      <c r="E1245">
        <f>INT(B1245*10)=A1245</f>
        <v/>
      </c>
      <c r="F1245">
        <f>B1245&gt;=C1245</f>
        <v/>
      </c>
      <c r="G1245">
        <f>ROUND(G1244+0.1,1)</f>
        <v/>
      </c>
      <c r="H1245">
        <f>G1245=C1245</f>
        <v/>
      </c>
      <c r="I1245">
        <f>TEXT(B1245,"0.00000000000000")</f>
        <v/>
      </c>
    </row>
    <row r="1246">
      <c r="A1246" t="n">
        <v>1239</v>
      </c>
      <c r="B1246">
        <f>B1245+0.1</f>
        <v/>
      </c>
      <c r="C1246">
        <f>A1246/10</f>
        <v/>
      </c>
      <c r="D1246">
        <f>B1246=C1246</f>
        <v/>
      </c>
      <c r="E1246">
        <f>INT(B1246*10)=A1246</f>
        <v/>
      </c>
      <c r="F1246">
        <f>B1246&gt;=C1246</f>
        <v/>
      </c>
      <c r="G1246">
        <f>ROUND(G1245+0.1,1)</f>
        <v/>
      </c>
      <c r="H1246">
        <f>G1246=C1246</f>
        <v/>
      </c>
      <c r="I1246">
        <f>TEXT(B1246,"0.00000000000000")</f>
        <v/>
      </c>
    </row>
    <row r="1247">
      <c r="A1247" t="n">
        <v>1240</v>
      </c>
      <c r="B1247">
        <f>B1246+0.1</f>
        <v/>
      </c>
      <c r="C1247">
        <f>A1247/10</f>
        <v/>
      </c>
      <c r="D1247">
        <f>B1247=C1247</f>
        <v/>
      </c>
      <c r="E1247">
        <f>INT(B1247*10)=A1247</f>
        <v/>
      </c>
      <c r="F1247">
        <f>B1247&gt;=C1247</f>
        <v/>
      </c>
      <c r="G1247">
        <f>ROUND(G1246+0.1,1)</f>
        <v/>
      </c>
      <c r="H1247">
        <f>G1247=C1247</f>
        <v/>
      </c>
      <c r="I1247">
        <f>TEXT(B1247,"0.00000000000000")</f>
        <v/>
      </c>
    </row>
    <row r="1248">
      <c r="A1248" t="n">
        <v>1241</v>
      </c>
      <c r="B1248">
        <f>B1247+0.1</f>
        <v/>
      </c>
      <c r="C1248">
        <f>A1248/10</f>
        <v/>
      </c>
      <c r="D1248">
        <f>B1248=C1248</f>
        <v/>
      </c>
      <c r="E1248">
        <f>INT(B1248*10)=A1248</f>
        <v/>
      </c>
      <c r="F1248">
        <f>B1248&gt;=C1248</f>
        <v/>
      </c>
      <c r="G1248">
        <f>ROUND(G1247+0.1,1)</f>
        <v/>
      </c>
      <c r="H1248">
        <f>G1248=C1248</f>
        <v/>
      </c>
      <c r="I1248">
        <f>TEXT(B1248,"0.00000000000000")</f>
        <v/>
      </c>
    </row>
    <row r="1249">
      <c r="A1249" t="n">
        <v>1242</v>
      </c>
      <c r="B1249">
        <f>B1248+0.1</f>
        <v/>
      </c>
      <c r="C1249">
        <f>A1249/10</f>
        <v/>
      </c>
      <c r="D1249">
        <f>B1249=C1249</f>
        <v/>
      </c>
      <c r="E1249">
        <f>INT(B1249*10)=A1249</f>
        <v/>
      </c>
      <c r="F1249">
        <f>B1249&gt;=C1249</f>
        <v/>
      </c>
      <c r="G1249">
        <f>ROUND(G1248+0.1,1)</f>
        <v/>
      </c>
      <c r="H1249">
        <f>G1249=C1249</f>
        <v/>
      </c>
      <c r="I1249">
        <f>TEXT(B1249,"0.00000000000000")</f>
        <v/>
      </c>
    </row>
    <row r="1250">
      <c r="A1250" t="n">
        <v>1243</v>
      </c>
      <c r="B1250">
        <f>B1249+0.1</f>
        <v/>
      </c>
      <c r="C1250">
        <f>A1250/10</f>
        <v/>
      </c>
      <c r="D1250">
        <f>B1250=C1250</f>
        <v/>
      </c>
      <c r="E1250">
        <f>INT(B1250*10)=A1250</f>
        <v/>
      </c>
      <c r="F1250">
        <f>B1250&gt;=C1250</f>
        <v/>
      </c>
      <c r="G1250">
        <f>ROUND(G1249+0.1,1)</f>
        <v/>
      </c>
      <c r="H1250">
        <f>G1250=C1250</f>
        <v/>
      </c>
      <c r="I1250">
        <f>TEXT(B1250,"0.00000000000000")</f>
        <v/>
      </c>
    </row>
    <row r="1251">
      <c r="A1251" t="n">
        <v>1244</v>
      </c>
      <c r="B1251">
        <f>B1250+0.1</f>
        <v/>
      </c>
      <c r="C1251">
        <f>A1251/10</f>
        <v/>
      </c>
      <c r="D1251">
        <f>B1251=C1251</f>
        <v/>
      </c>
      <c r="E1251">
        <f>INT(B1251*10)=A1251</f>
        <v/>
      </c>
      <c r="F1251">
        <f>B1251&gt;=C1251</f>
        <v/>
      </c>
      <c r="G1251">
        <f>ROUND(G1250+0.1,1)</f>
        <v/>
      </c>
      <c r="H1251">
        <f>G1251=C1251</f>
        <v/>
      </c>
      <c r="I1251">
        <f>TEXT(B1251,"0.00000000000000")</f>
        <v/>
      </c>
    </row>
    <row r="1252">
      <c r="A1252" t="n">
        <v>1245</v>
      </c>
      <c r="B1252">
        <f>B1251+0.1</f>
        <v/>
      </c>
      <c r="C1252">
        <f>A1252/10</f>
        <v/>
      </c>
      <c r="D1252">
        <f>B1252=C1252</f>
        <v/>
      </c>
      <c r="E1252">
        <f>INT(B1252*10)=A1252</f>
        <v/>
      </c>
      <c r="F1252">
        <f>B1252&gt;=C1252</f>
        <v/>
      </c>
      <c r="G1252">
        <f>ROUND(G1251+0.1,1)</f>
        <v/>
      </c>
      <c r="H1252">
        <f>G1252=C1252</f>
        <v/>
      </c>
      <c r="I1252">
        <f>TEXT(B1252,"0.00000000000000")</f>
        <v/>
      </c>
    </row>
    <row r="1253">
      <c r="A1253" t="n">
        <v>1246</v>
      </c>
      <c r="B1253">
        <f>B1252+0.1</f>
        <v/>
      </c>
      <c r="C1253">
        <f>A1253/10</f>
        <v/>
      </c>
      <c r="D1253">
        <f>B1253=C1253</f>
        <v/>
      </c>
      <c r="E1253">
        <f>INT(B1253*10)=A1253</f>
        <v/>
      </c>
      <c r="F1253">
        <f>B1253&gt;=C1253</f>
        <v/>
      </c>
      <c r="G1253">
        <f>ROUND(G1252+0.1,1)</f>
        <v/>
      </c>
      <c r="H1253">
        <f>G1253=C1253</f>
        <v/>
      </c>
      <c r="I1253">
        <f>TEXT(B1253,"0.00000000000000")</f>
        <v/>
      </c>
    </row>
    <row r="1254">
      <c r="A1254" t="n">
        <v>1247</v>
      </c>
      <c r="B1254">
        <f>B1253+0.1</f>
        <v/>
      </c>
      <c r="C1254">
        <f>A1254/10</f>
        <v/>
      </c>
      <c r="D1254">
        <f>B1254=C1254</f>
        <v/>
      </c>
      <c r="E1254">
        <f>INT(B1254*10)=A1254</f>
        <v/>
      </c>
      <c r="F1254">
        <f>B1254&gt;=C1254</f>
        <v/>
      </c>
      <c r="G1254">
        <f>ROUND(G1253+0.1,1)</f>
        <v/>
      </c>
      <c r="H1254">
        <f>G1254=C1254</f>
        <v/>
      </c>
      <c r="I1254">
        <f>TEXT(B1254,"0.00000000000000")</f>
        <v/>
      </c>
    </row>
    <row r="1255">
      <c r="A1255" t="n">
        <v>1248</v>
      </c>
      <c r="B1255">
        <f>B1254+0.1</f>
        <v/>
      </c>
      <c r="C1255">
        <f>A1255/10</f>
        <v/>
      </c>
      <c r="D1255">
        <f>B1255=C1255</f>
        <v/>
      </c>
      <c r="E1255">
        <f>INT(B1255*10)=A1255</f>
        <v/>
      </c>
      <c r="F1255">
        <f>B1255&gt;=C1255</f>
        <v/>
      </c>
      <c r="G1255">
        <f>ROUND(G1254+0.1,1)</f>
        <v/>
      </c>
      <c r="H1255">
        <f>G1255=C1255</f>
        <v/>
      </c>
      <c r="I1255">
        <f>TEXT(B1255,"0.00000000000000")</f>
        <v/>
      </c>
    </row>
    <row r="1256">
      <c r="A1256" t="n">
        <v>1249</v>
      </c>
      <c r="B1256">
        <f>B1255+0.1</f>
        <v/>
      </c>
      <c r="C1256">
        <f>A1256/10</f>
        <v/>
      </c>
      <c r="D1256">
        <f>B1256=C1256</f>
        <v/>
      </c>
      <c r="E1256">
        <f>INT(B1256*10)=A1256</f>
        <v/>
      </c>
      <c r="F1256">
        <f>B1256&gt;=C1256</f>
        <v/>
      </c>
      <c r="G1256">
        <f>ROUND(G1255+0.1,1)</f>
        <v/>
      </c>
      <c r="H1256">
        <f>G1256=C1256</f>
        <v/>
      </c>
      <c r="I1256">
        <f>TEXT(B1256,"0.00000000000000")</f>
        <v/>
      </c>
    </row>
    <row r="1257">
      <c r="A1257" t="n">
        <v>1250</v>
      </c>
      <c r="B1257">
        <f>B1256+0.1</f>
        <v/>
      </c>
      <c r="C1257">
        <f>A1257/10</f>
        <v/>
      </c>
      <c r="D1257">
        <f>B1257=C1257</f>
        <v/>
      </c>
      <c r="E1257">
        <f>INT(B1257*10)=A1257</f>
        <v/>
      </c>
      <c r="F1257">
        <f>B1257&gt;=C1257</f>
        <v/>
      </c>
      <c r="G1257">
        <f>ROUND(G1256+0.1,1)</f>
        <v/>
      </c>
      <c r="H1257">
        <f>G1257=C1257</f>
        <v/>
      </c>
      <c r="I1257">
        <f>TEXT(B1257,"0.00000000000000")</f>
        <v/>
      </c>
    </row>
    <row r="1258">
      <c r="A1258" t="n">
        <v>1251</v>
      </c>
      <c r="B1258">
        <f>B1257+0.1</f>
        <v/>
      </c>
      <c r="C1258">
        <f>A1258/10</f>
        <v/>
      </c>
      <c r="D1258">
        <f>B1258=C1258</f>
        <v/>
      </c>
      <c r="E1258">
        <f>INT(B1258*10)=A1258</f>
        <v/>
      </c>
      <c r="F1258">
        <f>B1258&gt;=C1258</f>
        <v/>
      </c>
      <c r="G1258">
        <f>ROUND(G1257+0.1,1)</f>
        <v/>
      </c>
      <c r="H1258">
        <f>G1258=C1258</f>
        <v/>
      </c>
      <c r="I1258">
        <f>TEXT(B1258,"0.00000000000000")</f>
        <v/>
      </c>
    </row>
    <row r="1259">
      <c r="A1259" t="n">
        <v>1252</v>
      </c>
      <c r="B1259">
        <f>B1258+0.1</f>
        <v/>
      </c>
      <c r="C1259">
        <f>A1259/10</f>
        <v/>
      </c>
      <c r="D1259">
        <f>B1259=C1259</f>
        <v/>
      </c>
      <c r="E1259">
        <f>INT(B1259*10)=A1259</f>
        <v/>
      </c>
      <c r="F1259">
        <f>B1259&gt;=C1259</f>
        <v/>
      </c>
      <c r="G1259">
        <f>ROUND(G1258+0.1,1)</f>
        <v/>
      </c>
      <c r="H1259">
        <f>G1259=C1259</f>
        <v/>
      </c>
      <c r="I1259">
        <f>TEXT(B1259,"0.00000000000000")</f>
        <v/>
      </c>
    </row>
    <row r="1260">
      <c r="A1260" t="n">
        <v>1253</v>
      </c>
      <c r="B1260">
        <f>B1259+0.1</f>
        <v/>
      </c>
      <c r="C1260">
        <f>A1260/10</f>
        <v/>
      </c>
      <c r="D1260">
        <f>B1260=C1260</f>
        <v/>
      </c>
      <c r="E1260">
        <f>INT(B1260*10)=A1260</f>
        <v/>
      </c>
      <c r="F1260">
        <f>B1260&gt;=C1260</f>
        <v/>
      </c>
      <c r="G1260">
        <f>ROUND(G1259+0.1,1)</f>
        <v/>
      </c>
      <c r="H1260">
        <f>G1260=C1260</f>
        <v/>
      </c>
      <c r="I1260">
        <f>TEXT(B1260,"0.00000000000000")</f>
        <v/>
      </c>
    </row>
    <row r="1261">
      <c r="A1261" t="n">
        <v>1254</v>
      </c>
      <c r="B1261">
        <f>B1260+0.1</f>
        <v/>
      </c>
      <c r="C1261">
        <f>A1261/10</f>
        <v/>
      </c>
      <c r="D1261">
        <f>B1261=C1261</f>
        <v/>
      </c>
      <c r="E1261">
        <f>INT(B1261*10)=A1261</f>
        <v/>
      </c>
      <c r="F1261">
        <f>B1261&gt;=C1261</f>
        <v/>
      </c>
      <c r="G1261">
        <f>ROUND(G1260+0.1,1)</f>
        <v/>
      </c>
      <c r="H1261">
        <f>G1261=C1261</f>
        <v/>
      </c>
      <c r="I1261">
        <f>TEXT(B1261,"0.00000000000000")</f>
        <v/>
      </c>
    </row>
    <row r="1262">
      <c r="A1262" t="n">
        <v>1255</v>
      </c>
      <c r="B1262">
        <f>B1261+0.1</f>
        <v/>
      </c>
      <c r="C1262">
        <f>A1262/10</f>
        <v/>
      </c>
      <c r="D1262">
        <f>B1262=C1262</f>
        <v/>
      </c>
      <c r="E1262">
        <f>INT(B1262*10)=A1262</f>
        <v/>
      </c>
      <c r="F1262">
        <f>B1262&gt;=C1262</f>
        <v/>
      </c>
      <c r="G1262">
        <f>ROUND(G1261+0.1,1)</f>
        <v/>
      </c>
      <c r="H1262">
        <f>G1262=C1262</f>
        <v/>
      </c>
      <c r="I1262">
        <f>TEXT(B1262,"0.00000000000000")</f>
        <v/>
      </c>
    </row>
    <row r="1263">
      <c r="A1263" t="n">
        <v>1256</v>
      </c>
      <c r="B1263">
        <f>B1262+0.1</f>
        <v/>
      </c>
      <c r="C1263">
        <f>A1263/10</f>
        <v/>
      </c>
      <c r="D1263">
        <f>B1263=C1263</f>
        <v/>
      </c>
      <c r="E1263">
        <f>INT(B1263*10)=A1263</f>
        <v/>
      </c>
      <c r="F1263">
        <f>B1263&gt;=C1263</f>
        <v/>
      </c>
      <c r="G1263">
        <f>ROUND(G1262+0.1,1)</f>
        <v/>
      </c>
      <c r="H1263">
        <f>G1263=C1263</f>
        <v/>
      </c>
      <c r="I1263">
        <f>TEXT(B1263,"0.00000000000000")</f>
        <v/>
      </c>
    </row>
    <row r="1264">
      <c r="A1264" t="n">
        <v>1257</v>
      </c>
      <c r="B1264">
        <f>B1263+0.1</f>
        <v/>
      </c>
      <c r="C1264">
        <f>A1264/10</f>
        <v/>
      </c>
      <c r="D1264">
        <f>B1264=C1264</f>
        <v/>
      </c>
      <c r="E1264">
        <f>INT(B1264*10)=A1264</f>
        <v/>
      </c>
      <c r="F1264">
        <f>B1264&gt;=C1264</f>
        <v/>
      </c>
      <c r="G1264">
        <f>ROUND(G1263+0.1,1)</f>
        <v/>
      </c>
      <c r="H1264">
        <f>G1264=C1264</f>
        <v/>
      </c>
      <c r="I1264">
        <f>TEXT(B1264,"0.00000000000000")</f>
        <v/>
      </c>
    </row>
    <row r="1265">
      <c r="A1265" t="n">
        <v>1258</v>
      </c>
      <c r="B1265">
        <f>B1264+0.1</f>
        <v/>
      </c>
      <c r="C1265">
        <f>A1265/10</f>
        <v/>
      </c>
      <c r="D1265">
        <f>B1265=C1265</f>
        <v/>
      </c>
      <c r="E1265">
        <f>INT(B1265*10)=A1265</f>
        <v/>
      </c>
      <c r="F1265">
        <f>B1265&gt;=C1265</f>
        <v/>
      </c>
      <c r="G1265">
        <f>ROUND(G1264+0.1,1)</f>
        <v/>
      </c>
      <c r="H1265">
        <f>G1265=C1265</f>
        <v/>
      </c>
      <c r="I1265">
        <f>TEXT(B1265,"0.00000000000000")</f>
        <v/>
      </c>
    </row>
    <row r="1266">
      <c r="A1266" t="n">
        <v>1259</v>
      </c>
      <c r="B1266">
        <f>B1265+0.1</f>
        <v/>
      </c>
      <c r="C1266">
        <f>A1266/10</f>
        <v/>
      </c>
      <c r="D1266">
        <f>B1266=C1266</f>
        <v/>
      </c>
      <c r="E1266">
        <f>INT(B1266*10)=A1266</f>
        <v/>
      </c>
      <c r="F1266">
        <f>B1266&gt;=C1266</f>
        <v/>
      </c>
      <c r="G1266">
        <f>ROUND(G1265+0.1,1)</f>
        <v/>
      </c>
      <c r="H1266">
        <f>G1266=C1266</f>
        <v/>
      </c>
      <c r="I1266">
        <f>TEXT(B1266,"0.00000000000000")</f>
        <v/>
      </c>
    </row>
    <row r="1267">
      <c r="A1267" t="n">
        <v>1260</v>
      </c>
      <c r="B1267">
        <f>B1266+0.1</f>
        <v/>
      </c>
      <c r="C1267">
        <f>A1267/10</f>
        <v/>
      </c>
      <c r="D1267">
        <f>B1267=C1267</f>
        <v/>
      </c>
      <c r="E1267">
        <f>INT(B1267*10)=A1267</f>
        <v/>
      </c>
      <c r="F1267">
        <f>B1267&gt;=C1267</f>
        <v/>
      </c>
      <c r="G1267">
        <f>ROUND(G1266+0.1,1)</f>
        <v/>
      </c>
      <c r="H1267">
        <f>G1267=C1267</f>
        <v/>
      </c>
      <c r="I1267">
        <f>TEXT(B1267,"0.00000000000000")</f>
        <v/>
      </c>
    </row>
    <row r="1268">
      <c r="A1268" t="n">
        <v>1261</v>
      </c>
      <c r="B1268">
        <f>B1267+0.1</f>
        <v/>
      </c>
      <c r="C1268">
        <f>A1268/10</f>
        <v/>
      </c>
      <c r="D1268">
        <f>B1268=C1268</f>
        <v/>
      </c>
      <c r="E1268">
        <f>INT(B1268*10)=A1268</f>
        <v/>
      </c>
      <c r="F1268">
        <f>B1268&gt;=C1268</f>
        <v/>
      </c>
      <c r="G1268">
        <f>ROUND(G1267+0.1,1)</f>
        <v/>
      </c>
      <c r="H1268">
        <f>G1268=C1268</f>
        <v/>
      </c>
      <c r="I1268">
        <f>TEXT(B1268,"0.00000000000000")</f>
        <v/>
      </c>
    </row>
    <row r="1269">
      <c r="A1269" t="n">
        <v>1262</v>
      </c>
      <c r="B1269">
        <f>B1268+0.1</f>
        <v/>
      </c>
      <c r="C1269">
        <f>A1269/10</f>
        <v/>
      </c>
      <c r="D1269">
        <f>B1269=C1269</f>
        <v/>
      </c>
      <c r="E1269">
        <f>INT(B1269*10)=A1269</f>
        <v/>
      </c>
      <c r="F1269">
        <f>B1269&gt;=C1269</f>
        <v/>
      </c>
      <c r="G1269">
        <f>ROUND(G1268+0.1,1)</f>
        <v/>
      </c>
      <c r="H1269">
        <f>G1269=C1269</f>
        <v/>
      </c>
      <c r="I1269">
        <f>TEXT(B1269,"0.00000000000000")</f>
        <v/>
      </c>
    </row>
    <row r="1270">
      <c r="A1270" t="n">
        <v>1263</v>
      </c>
      <c r="B1270">
        <f>B1269+0.1</f>
        <v/>
      </c>
      <c r="C1270">
        <f>A1270/10</f>
        <v/>
      </c>
      <c r="D1270">
        <f>B1270=C1270</f>
        <v/>
      </c>
      <c r="E1270">
        <f>INT(B1270*10)=A1270</f>
        <v/>
      </c>
      <c r="F1270">
        <f>B1270&gt;=C1270</f>
        <v/>
      </c>
      <c r="G1270">
        <f>ROUND(G1269+0.1,1)</f>
        <v/>
      </c>
      <c r="H1270">
        <f>G1270=C1270</f>
        <v/>
      </c>
      <c r="I1270">
        <f>TEXT(B1270,"0.00000000000000")</f>
        <v/>
      </c>
    </row>
    <row r="1271">
      <c r="A1271" t="n">
        <v>1264</v>
      </c>
      <c r="B1271">
        <f>B1270+0.1</f>
        <v/>
      </c>
      <c r="C1271">
        <f>A1271/10</f>
        <v/>
      </c>
      <c r="D1271">
        <f>B1271=C1271</f>
        <v/>
      </c>
      <c r="E1271">
        <f>INT(B1271*10)=A1271</f>
        <v/>
      </c>
      <c r="F1271">
        <f>B1271&gt;=C1271</f>
        <v/>
      </c>
      <c r="G1271">
        <f>ROUND(G1270+0.1,1)</f>
        <v/>
      </c>
      <c r="H1271">
        <f>G1271=C1271</f>
        <v/>
      </c>
      <c r="I1271">
        <f>TEXT(B1271,"0.00000000000000")</f>
        <v/>
      </c>
    </row>
    <row r="1272">
      <c r="A1272" t="n">
        <v>1265</v>
      </c>
      <c r="B1272">
        <f>B1271+0.1</f>
        <v/>
      </c>
      <c r="C1272">
        <f>A1272/10</f>
        <v/>
      </c>
      <c r="D1272">
        <f>B1272=C1272</f>
        <v/>
      </c>
      <c r="E1272">
        <f>INT(B1272*10)=A1272</f>
        <v/>
      </c>
      <c r="F1272">
        <f>B1272&gt;=C1272</f>
        <v/>
      </c>
      <c r="G1272">
        <f>ROUND(G1271+0.1,1)</f>
        <v/>
      </c>
      <c r="H1272">
        <f>G1272=C1272</f>
        <v/>
      </c>
      <c r="I1272">
        <f>TEXT(B1272,"0.00000000000000")</f>
        <v/>
      </c>
    </row>
    <row r="1273">
      <c r="A1273" t="n">
        <v>1266</v>
      </c>
      <c r="B1273">
        <f>B1272+0.1</f>
        <v/>
      </c>
      <c r="C1273">
        <f>A1273/10</f>
        <v/>
      </c>
      <c r="D1273">
        <f>B1273=C1273</f>
        <v/>
      </c>
      <c r="E1273">
        <f>INT(B1273*10)=A1273</f>
        <v/>
      </c>
      <c r="F1273">
        <f>B1273&gt;=C1273</f>
        <v/>
      </c>
      <c r="G1273">
        <f>ROUND(G1272+0.1,1)</f>
        <v/>
      </c>
      <c r="H1273">
        <f>G1273=C1273</f>
        <v/>
      </c>
      <c r="I1273">
        <f>TEXT(B1273,"0.00000000000000")</f>
        <v/>
      </c>
    </row>
    <row r="1274">
      <c r="A1274" t="n">
        <v>1267</v>
      </c>
      <c r="B1274">
        <f>B1273+0.1</f>
        <v/>
      </c>
      <c r="C1274">
        <f>A1274/10</f>
        <v/>
      </c>
      <c r="D1274">
        <f>B1274=C1274</f>
        <v/>
      </c>
      <c r="E1274">
        <f>INT(B1274*10)=A1274</f>
        <v/>
      </c>
      <c r="F1274">
        <f>B1274&gt;=C1274</f>
        <v/>
      </c>
      <c r="G1274">
        <f>ROUND(G1273+0.1,1)</f>
        <v/>
      </c>
      <c r="H1274">
        <f>G1274=C1274</f>
        <v/>
      </c>
      <c r="I1274">
        <f>TEXT(B1274,"0.00000000000000")</f>
        <v/>
      </c>
    </row>
    <row r="1275">
      <c r="A1275" t="n">
        <v>1268</v>
      </c>
      <c r="B1275">
        <f>B1274+0.1</f>
        <v/>
      </c>
      <c r="C1275">
        <f>A1275/10</f>
        <v/>
      </c>
      <c r="D1275">
        <f>B1275=C1275</f>
        <v/>
      </c>
      <c r="E1275">
        <f>INT(B1275*10)=A1275</f>
        <v/>
      </c>
      <c r="F1275">
        <f>B1275&gt;=C1275</f>
        <v/>
      </c>
      <c r="G1275">
        <f>ROUND(G1274+0.1,1)</f>
        <v/>
      </c>
      <c r="H1275">
        <f>G1275=C1275</f>
        <v/>
      </c>
      <c r="I1275">
        <f>TEXT(B1275,"0.00000000000000")</f>
        <v/>
      </c>
    </row>
    <row r="1276">
      <c r="A1276" t="n">
        <v>1269</v>
      </c>
      <c r="B1276">
        <f>B1275+0.1</f>
        <v/>
      </c>
      <c r="C1276">
        <f>A1276/10</f>
        <v/>
      </c>
      <c r="D1276">
        <f>B1276=C1276</f>
        <v/>
      </c>
      <c r="E1276">
        <f>INT(B1276*10)=A1276</f>
        <v/>
      </c>
      <c r="F1276">
        <f>B1276&gt;=C1276</f>
        <v/>
      </c>
      <c r="G1276">
        <f>ROUND(G1275+0.1,1)</f>
        <v/>
      </c>
      <c r="H1276">
        <f>G1276=C1276</f>
        <v/>
      </c>
      <c r="I1276">
        <f>TEXT(B1276,"0.00000000000000")</f>
        <v/>
      </c>
    </row>
    <row r="1277">
      <c r="A1277" t="n">
        <v>1270</v>
      </c>
      <c r="B1277">
        <f>B1276+0.1</f>
        <v/>
      </c>
      <c r="C1277">
        <f>A1277/10</f>
        <v/>
      </c>
      <c r="D1277">
        <f>B1277=C1277</f>
        <v/>
      </c>
      <c r="E1277">
        <f>INT(B1277*10)=A1277</f>
        <v/>
      </c>
      <c r="F1277">
        <f>B1277&gt;=C1277</f>
        <v/>
      </c>
      <c r="G1277">
        <f>ROUND(G1276+0.1,1)</f>
        <v/>
      </c>
      <c r="H1277">
        <f>G1277=C1277</f>
        <v/>
      </c>
      <c r="I1277">
        <f>TEXT(B1277,"0.00000000000000")</f>
        <v/>
      </c>
    </row>
    <row r="1278">
      <c r="A1278" t="n">
        <v>1271</v>
      </c>
      <c r="B1278">
        <f>B1277+0.1</f>
        <v/>
      </c>
      <c r="C1278">
        <f>A1278/10</f>
        <v/>
      </c>
      <c r="D1278">
        <f>B1278=C1278</f>
        <v/>
      </c>
      <c r="E1278">
        <f>INT(B1278*10)=A1278</f>
        <v/>
      </c>
      <c r="F1278">
        <f>B1278&gt;=C1278</f>
        <v/>
      </c>
      <c r="G1278">
        <f>ROUND(G1277+0.1,1)</f>
        <v/>
      </c>
      <c r="H1278">
        <f>G1278=C1278</f>
        <v/>
      </c>
      <c r="I1278">
        <f>TEXT(B1278,"0.00000000000000")</f>
        <v/>
      </c>
    </row>
    <row r="1279">
      <c r="A1279" t="n">
        <v>1272</v>
      </c>
      <c r="B1279">
        <f>B1278+0.1</f>
        <v/>
      </c>
      <c r="C1279">
        <f>A1279/10</f>
        <v/>
      </c>
      <c r="D1279">
        <f>B1279=C1279</f>
        <v/>
      </c>
      <c r="E1279">
        <f>INT(B1279*10)=A1279</f>
        <v/>
      </c>
      <c r="F1279">
        <f>B1279&gt;=C1279</f>
        <v/>
      </c>
      <c r="G1279">
        <f>ROUND(G1278+0.1,1)</f>
        <v/>
      </c>
      <c r="H1279">
        <f>G1279=C1279</f>
        <v/>
      </c>
      <c r="I1279">
        <f>TEXT(B1279,"0.00000000000000")</f>
        <v/>
      </c>
    </row>
    <row r="1280">
      <c r="A1280" t="n">
        <v>1273</v>
      </c>
      <c r="B1280">
        <f>B1279+0.1</f>
        <v/>
      </c>
      <c r="C1280">
        <f>A1280/10</f>
        <v/>
      </c>
      <c r="D1280">
        <f>B1280=C1280</f>
        <v/>
      </c>
      <c r="E1280">
        <f>INT(B1280*10)=A1280</f>
        <v/>
      </c>
      <c r="F1280">
        <f>B1280&gt;=C1280</f>
        <v/>
      </c>
      <c r="G1280">
        <f>ROUND(G1279+0.1,1)</f>
        <v/>
      </c>
      <c r="H1280">
        <f>G1280=C1280</f>
        <v/>
      </c>
      <c r="I1280">
        <f>TEXT(B1280,"0.00000000000000")</f>
        <v/>
      </c>
    </row>
    <row r="1281">
      <c r="A1281" t="n">
        <v>1274</v>
      </c>
      <c r="B1281">
        <f>B1280+0.1</f>
        <v/>
      </c>
      <c r="C1281">
        <f>A1281/10</f>
        <v/>
      </c>
      <c r="D1281">
        <f>B1281=C1281</f>
        <v/>
      </c>
      <c r="E1281">
        <f>INT(B1281*10)=A1281</f>
        <v/>
      </c>
      <c r="F1281">
        <f>B1281&gt;=C1281</f>
        <v/>
      </c>
      <c r="G1281">
        <f>ROUND(G1280+0.1,1)</f>
        <v/>
      </c>
      <c r="H1281">
        <f>G1281=C1281</f>
        <v/>
      </c>
      <c r="I1281">
        <f>TEXT(B1281,"0.00000000000000")</f>
        <v/>
      </c>
    </row>
    <row r="1282">
      <c r="A1282" t="n">
        <v>1275</v>
      </c>
      <c r="B1282">
        <f>B1281+0.1</f>
        <v/>
      </c>
      <c r="C1282">
        <f>A1282/10</f>
        <v/>
      </c>
      <c r="D1282">
        <f>B1282=C1282</f>
        <v/>
      </c>
      <c r="E1282">
        <f>INT(B1282*10)=A1282</f>
        <v/>
      </c>
      <c r="F1282">
        <f>B1282&gt;=C1282</f>
        <v/>
      </c>
      <c r="G1282">
        <f>ROUND(G1281+0.1,1)</f>
        <v/>
      </c>
      <c r="H1282">
        <f>G1282=C1282</f>
        <v/>
      </c>
      <c r="I1282">
        <f>TEXT(B1282,"0.00000000000000")</f>
        <v/>
      </c>
    </row>
    <row r="1283">
      <c r="A1283" t="n">
        <v>1276</v>
      </c>
      <c r="B1283">
        <f>B1282+0.1</f>
        <v/>
      </c>
      <c r="C1283">
        <f>A1283/10</f>
        <v/>
      </c>
      <c r="D1283">
        <f>B1283=C1283</f>
        <v/>
      </c>
      <c r="E1283">
        <f>INT(B1283*10)=A1283</f>
        <v/>
      </c>
      <c r="F1283">
        <f>B1283&gt;=C1283</f>
        <v/>
      </c>
      <c r="G1283">
        <f>ROUND(G1282+0.1,1)</f>
        <v/>
      </c>
      <c r="H1283">
        <f>G1283=C1283</f>
        <v/>
      </c>
      <c r="I1283">
        <f>TEXT(B1283,"0.00000000000000")</f>
        <v/>
      </c>
    </row>
    <row r="1284">
      <c r="A1284" t="n">
        <v>1277</v>
      </c>
      <c r="B1284">
        <f>B1283+0.1</f>
        <v/>
      </c>
      <c r="C1284">
        <f>A1284/10</f>
        <v/>
      </c>
      <c r="D1284">
        <f>B1284=C1284</f>
        <v/>
      </c>
      <c r="E1284">
        <f>INT(B1284*10)=A1284</f>
        <v/>
      </c>
      <c r="F1284">
        <f>B1284&gt;=C1284</f>
        <v/>
      </c>
      <c r="G1284">
        <f>ROUND(G1283+0.1,1)</f>
        <v/>
      </c>
      <c r="H1284">
        <f>G1284=C1284</f>
        <v/>
      </c>
      <c r="I1284">
        <f>TEXT(B1284,"0.00000000000000")</f>
        <v/>
      </c>
    </row>
    <row r="1285">
      <c r="A1285" t="n">
        <v>1278</v>
      </c>
      <c r="B1285">
        <f>B1284+0.1</f>
        <v/>
      </c>
      <c r="C1285">
        <f>A1285/10</f>
        <v/>
      </c>
      <c r="D1285">
        <f>B1285=C1285</f>
        <v/>
      </c>
      <c r="E1285">
        <f>INT(B1285*10)=A1285</f>
        <v/>
      </c>
      <c r="F1285">
        <f>B1285&gt;=C1285</f>
        <v/>
      </c>
      <c r="G1285">
        <f>ROUND(G1284+0.1,1)</f>
        <v/>
      </c>
      <c r="H1285">
        <f>G1285=C1285</f>
        <v/>
      </c>
      <c r="I1285">
        <f>TEXT(B1285,"0.00000000000000")</f>
        <v/>
      </c>
    </row>
    <row r="1286">
      <c r="A1286" t="n">
        <v>1279</v>
      </c>
      <c r="B1286">
        <f>B1285+0.1</f>
        <v/>
      </c>
      <c r="C1286">
        <f>A1286/10</f>
        <v/>
      </c>
      <c r="D1286">
        <f>B1286=C1286</f>
        <v/>
      </c>
      <c r="E1286">
        <f>INT(B1286*10)=A1286</f>
        <v/>
      </c>
      <c r="F1286">
        <f>B1286&gt;=C1286</f>
        <v/>
      </c>
      <c r="G1286">
        <f>ROUND(G1285+0.1,1)</f>
        <v/>
      </c>
      <c r="H1286">
        <f>G1286=C1286</f>
        <v/>
      </c>
      <c r="I1286">
        <f>TEXT(B1286,"0.00000000000000")</f>
        <v/>
      </c>
    </row>
    <row r="1287">
      <c r="A1287" t="n">
        <v>1280</v>
      </c>
      <c r="B1287">
        <f>B1286+0.1</f>
        <v/>
      </c>
      <c r="C1287">
        <f>A1287/10</f>
        <v/>
      </c>
      <c r="D1287">
        <f>B1287=C1287</f>
        <v/>
      </c>
      <c r="E1287">
        <f>INT(B1287*10)=A1287</f>
        <v/>
      </c>
      <c r="F1287">
        <f>B1287&gt;=C1287</f>
        <v/>
      </c>
      <c r="G1287">
        <f>ROUND(G1286+0.1,1)</f>
        <v/>
      </c>
      <c r="H1287">
        <f>G1287=C1287</f>
        <v/>
      </c>
      <c r="I1287">
        <f>TEXT(B1287,"0.00000000000000")</f>
        <v/>
      </c>
    </row>
    <row r="1288">
      <c r="A1288" t="n">
        <v>1281</v>
      </c>
      <c r="B1288">
        <f>B1287+0.1</f>
        <v/>
      </c>
      <c r="C1288">
        <f>A1288/10</f>
        <v/>
      </c>
      <c r="D1288">
        <f>B1288=C1288</f>
        <v/>
      </c>
      <c r="E1288">
        <f>INT(B1288*10)=A1288</f>
        <v/>
      </c>
      <c r="F1288">
        <f>B1288&gt;=C1288</f>
        <v/>
      </c>
      <c r="G1288">
        <f>ROUND(G1287+0.1,1)</f>
        <v/>
      </c>
      <c r="H1288">
        <f>G1288=C1288</f>
        <v/>
      </c>
      <c r="I1288">
        <f>TEXT(B1288,"0.00000000000000")</f>
        <v/>
      </c>
    </row>
    <row r="1289">
      <c r="A1289" t="n">
        <v>1282</v>
      </c>
      <c r="B1289">
        <f>B1288+0.1</f>
        <v/>
      </c>
      <c r="C1289">
        <f>A1289/10</f>
        <v/>
      </c>
      <c r="D1289">
        <f>B1289=C1289</f>
        <v/>
      </c>
      <c r="E1289">
        <f>INT(B1289*10)=A1289</f>
        <v/>
      </c>
      <c r="F1289">
        <f>B1289&gt;=C1289</f>
        <v/>
      </c>
      <c r="G1289">
        <f>ROUND(G1288+0.1,1)</f>
        <v/>
      </c>
      <c r="H1289">
        <f>G1289=C1289</f>
        <v/>
      </c>
      <c r="I1289">
        <f>TEXT(B1289,"0.00000000000000")</f>
        <v/>
      </c>
    </row>
    <row r="1290">
      <c r="A1290" t="n">
        <v>1283</v>
      </c>
      <c r="B1290">
        <f>B1289+0.1</f>
        <v/>
      </c>
      <c r="C1290">
        <f>A1290/10</f>
        <v/>
      </c>
      <c r="D1290">
        <f>B1290=C1290</f>
        <v/>
      </c>
      <c r="E1290">
        <f>INT(B1290*10)=A1290</f>
        <v/>
      </c>
      <c r="F1290">
        <f>B1290&gt;=C1290</f>
        <v/>
      </c>
      <c r="G1290">
        <f>ROUND(G1289+0.1,1)</f>
        <v/>
      </c>
      <c r="H1290">
        <f>G1290=C1290</f>
        <v/>
      </c>
      <c r="I1290">
        <f>TEXT(B1290,"0.00000000000000")</f>
        <v/>
      </c>
    </row>
    <row r="1291">
      <c r="A1291" t="n">
        <v>1284</v>
      </c>
      <c r="B1291">
        <f>B1290+0.1</f>
        <v/>
      </c>
      <c r="C1291">
        <f>A1291/10</f>
        <v/>
      </c>
      <c r="D1291">
        <f>B1291=C1291</f>
        <v/>
      </c>
      <c r="E1291">
        <f>INT(B1291*10)=A1291</f>
        <v/>
      </c>
      <c r="F1291">
        <f>B1291&gt;=C1291</f>
        <v/>
      </c>
      <c r="G1291">
        <f>ROUND(G1290+0.1,1)</f>
        <v/>
      </c>
      <c r="H1291">
        <f>G1291=C1291</f>
        <v/>
      </c>
      <c r="I1291">
        <f>TEXT(B1291,"0.00000000000000")</f>
        <v/>
      </c>
    </row>
    <row r="1292">
      <c r="A1292" t="n">
        <v>1285</v>
      </c>
      <c r="B1292">
        <f>B1291+0.1</f>
        <v/>
      </c>
      <c r="C1292">
        <f>A1292/10</f>
        <v/>
      </c>
      <c r="D1292">
        <f>B1292=C1292</f>
        <v/>
      </c>
      <c r="E1292">
        <f>INT(B1292*10)=A1292</f>
        <v/>
      </c>
      <c r="F1292">
        <f>B1292&gt;=C1292</f>
        <v/>
      </c>
      <c r="G1292">
        <f>ROUND(G1291+0.1,1)</f>
        <v/>
      </c>
      <c r="H1292">
        <f>G1292=C1292</f>
        <v/>
      </c>
      <c r="I1292">
        <f>TEXT(B1292,"0.00000000000000")</f>
        <v/>
      </c>
    </row>
    <row r="1293">
      <c r="A1293" t="n">
        <v>1286</v>
      </c>
      <c r="B1293">
        <f>B1292+0.1</f>
        <v/>
      </c>
      <c r="C1293">
        <f>A1293/10</f>
        <v/>
      </c>
      <c r="D1293">
        <f>B1293=C1293</f>
        <v/>
      </c>
      <c r="E1293">
        <f>INT(B1293*10)=A1293</f>
        <v/>
      </c>
      <c r="F1293">
        <f>B1293&gt;=C1293</f>
        <v/>
      </c>
      <c r="G1293">
        <f>ROUND(G1292+0.1,1)</f>
        <v/>
      </c>
      <c r="H1293">
        <f>G1293=C1293</f>
        <v/>
      </c>
      <c r="I1293">
        <f>TEXT(B1293,"0.00000000000000")</f>
        <v/>
      </c>
    </row>
    <row r="1294">
      <c r="A1294" t="n">
        <v>1287</v>
      </c>
      <c r="B1294">
        <f>B1293+0.1</f>
        <v/>
      </c>
      <c r="C1294">
        <f>A1294/10</f>
        <v/>
      </c>
      <c r="D1294">
        <f>B1294=C1294</f>
        <v/>
      </c>
      <c r="E1294">
        <f>INT(B1294*10)=A1294</f>
        <v/>
      </c>
      <c r="F1294">
        <f>B1294&gt;=C1294</f>
        <v/>
      </c>
      <c r="G1294">
        <f>ROUND(G1293+0.1,1)</f>
        <v/>
      </c>
      <c r="H1294">
        <f>G1294=C1294</f>
        <v/>
      </c>
      <c r="I1294">
        <f>TEXT(B1294,"0.00000000000000")</f>
        <v/>
      </c>
    </row>
    <row r="1295">
      <c r="A1295" t="n">
        <v>1288</v>
      </c>
      <c r="B1295">
        <f>B1294+0.1</f>
        <v/>
      </c>
      <c r="C1295">
        <f>A1295/10</f>
        <v/>
      </c>
      <c r="D1295">
        <f>B1295=C1295</f>
        <v/>
      </c>
      <c r="E1295">
        <f>INT(B1295*10)=A1295</f>
        <v/>
      </c>
      <c r="F1295">
        <f>B1295&gt;=C1295</f>
        <v/>
      </c>
      <c r="G1295">
        <f>ROUND(G1294+0.1,1)</f>
        <v/>
      </c>
      <c r="H1295">
        <f>G1295=C1295</f>
        <v/>
      </c>
      <c r="I1295">
        <f>TEXT(B1295,"0.00000000000000")</f>
        <v/>
      </c>
    </row>
    <row r="1296">
      <c r="A1296" t="n">
        <v>1289</v>
      </c>
      <c r="B1296">
        <f>B1295+0.1</f>
        <v/>
      </c>
      <c r="C1296">
        <f>A1296/10</f>
        <v/>
      </c>
      <c r="D1296">
        <f>B1296=C1296</f>
        <v/>
      </c>
      <c r="E1296">
        <f>INT(B1296*10)=A1296</f>
        <v/>
      </c>
      <c r="F1296">
        <f>B1296&gt;=C1296</f>
        <v/>
      </c>
      <c r="G1296">
        <f>ROUND(G1295+0.1,1)</f>
        <v/>
      </c>
      <c r="H1296">
        <f>G1296=C1296</f>
        <v/>
      </c>
      <c r="I1296">
        <f>TEXT(B1296,"0.00000000000000")</f>
        <v/>
      </c>
    </row>
    <row r="1297">
      <c r="A1297" t="n">
        <v>1290</v>
      </c>
      <c r="B1297">
        <f>B1296+0.1</f>
        <v/>
      </c>
      <c r="C1297">
        <f>A1297/10</f>
        <v/>
      </c>
      <c r="D1297">
        <f>B1297=C1297</f>
        <v/>
      </c>
      <c r="E1297">
        <f>INT(B1297*10)=A1297</f>
        <v/>
      </c>
      <c r="F1297">
        <f>B1297&gt;=C1297</f>
        <v/>
      </c>
      <c r="G1297">
        <f>ROUND(G1296+0.1,1)</f>
        <v/>
      </c>
      <c r="H1297">
        <f>G1297=C1297</f>
        <v/>
      </c>
      <c r="I1297">
        <f>TEXT(B1297,"0.00000000000000")</f>
        <v/>
      </c>
    </row>
    <row r="1298">
      <c r="A1298" t="n">
        <v>1291</v>
      </c>
      <c r="B1298">
        <f>B1297+0.1</f>
        <v/>
      </c>
      <c r="C1298">
        <f>A1298/10</f>
        <v/>
      </c>
      <c r="D1298">
        <f>B1298=C1298</f>
        <v/>
      </c>
      <c r="E1298">
        <f>INT(B1298*10)=A1298</f>
        <v/>
      </c>
      <c r="F1298">
        <f>B1298&gt;=C1298</f>
        <v/>
      </c>
      <c r="G1298">
        <f>ROUND(G1297+0.1,1)</f>
        <v/>
      </c>
      <c r="H1298">
        <f>G1298=C1298</f>
        <v/>
      </c>
      <c r="I1298">
        <f>TEXT(B1298,"0.00000000000000")</f>
        <v/>
      </c>
    </row>
    <row r="1299">
      <c r="A1299" t="n">
        <v>1292</v>
      </c>
      <c r="B1299">
        <f>B1298+0.1</f>
        <v/>
      </c>
      <c r="C1299">
        <f>A1299/10</f>
        <v/>
      </c>
      <c r="D1299">
        <f>B1299=C1299</f>
        <v/>
      </c>
      <c r="E1299">
        <f>INT(B1299*10)=A1299</f>
        <v/>
      </c>
      <c r="F1299">
        <f>B1299&gt;=C1299</f>
        <v/>
      </c>
      <c r="G1299">
        <f>ROUND(G1298+0.1,1)</f>
        <v/>
      </c>
      <c r="H1299">
        <f>G1299=C1299</f>
        <v/>
      </c>
      <c r="I1299">
        <f>TEXT(B1299,"0.00000000000000")</f>
        <v/>
      </c>
    </row>
    <row r="1300">
      <c r="A1300" t="n">
        <v>1293</v>
      </c>
      <c r="B1300">
        <f>B1299+0.1</f>
        <v/>
      </c>
      <c r="C1300">
        <f>A1300/10</f>
        <v/>
      </c>
      <c r="D1300">
        <f>B1300=C1300</f>
        <v/>
      </c>
      <c r="E1300">
        <f>INT(B1300*10)=A1300</f>
        <v/>
      </c>
      <c r="F1300">
        <f>B1300&gt;=C1300</f>
        <v/>
      </c>
      <c r="G1300">
        <f>ROUND(G1299+0.1,1)</f>
        <v/>
      </c>
      <c r="H1300">
        <f>G1300=C1300</f>
        <v/>
      </c>
      <c r="I1300">
        <f>TEXT(B1300,"0.00000000000000")</f>
        <v/>
      </c>
    </row>
    <row r="1301">
      <c r="A1301" t="n">
        <v>1294</v>
      </c>
      <c r="B1301">
        <f>B1300+0.1</f>
        <v/>
      </c>
      <c r="C1301">
        <f>A1301/10</f>
        <v/>
      </c>
      <c r="D1301">
        <f>B1301=C1301</f>
        <v/>
      </c>
      <c r="E1301">
        <f>INT(B1301*10)=A1301</f>
        <v/>
      </c>
      <c r="F1301">
        <f>B1301&gt;=C1301</f>
        <v/>
      </c>
      <c r="G1301">
        <f>ROUND(G1300+0.1,1)</f>
        <v/>
      </c>
      <c r="H1301">
        <f>G1301=C1301</f>
        <v/>
      </c>
      <c r="I1301">
        <f>TEXT(B1301,"0.00000000000000")</f>
        <v/>
      </c>
    </row>
    <row r="1302">
      <c r="A1302" t="n">
        <v>1295</v>
      </c>
      <c r="B1302">
        <f>B1301+0.1</f>
        <v/>
      </c>
      <c r="C1302">
        <f>A1302/10</f>
        <v/>
      </c>
      <c r="D1302">
        <f>B1302=C1302</f>
        <v/>
      </c>
      <c r="E1302">
        <f>INT(B1302*10)=A1302</f>
        <v/>
      </c>
      <c r="F1302">
        <f>B1302&gt;=C1302</f>
        <v/>
      </c>
      <c r="G1302">
        <f>ROUND(G1301+0.1,1)</f>
        <v/>
      </c>
      <c r="H1302">
        <f>G1302=C1302</f>
        <v/>
      </c>
      <c r="I1302">
        <f>TEXT(B1302,"0.00000000000000")</f>
        <v/>
      </c>
    </row>
    <row r="1303">
      <c r="A1303" t="n">
        <v>1296</v>
      </c>
      <c r="B1303">
        <f>B1302+0.1</f>
        <v/>
      </c>
      <c r="C1303">
        <f>A1303/10</f>
        <v/>
      </c>
      <c r="D1303">
        <f>B1303=C1303</f>
        <v/>
      </c>
      <c r="E1303">
        <f>INT(B1303*10)=A1303</f>
        <v/>
      </c>
      <c r="F1303">
        <f>B1303&gt;=C1303</f>
        <v/>
      </c>
      <c r="G1303">
        <f>ROUND(G1302+0.1,1)</f>
        <v/>
      </c>
      <c r="H1303">
        <f>G1303=C1303</f>
        <v/>
      </c>
      <c r="I1303">
        <f>TEXT(B1303,"0.00000000000000")</f>
        <v/>
      </c>
    </row>
    <row r="1304">
      <c r="A1304" t="n">
        <v>1297</v>
      </c>
      <c r="B1304">
        <f>B1303+0.1</f>
        <v/>
      </c>
      <c r="C1304">
        <f>A1304/10</f>
        <v/>
      </c>
      <c r="D1304">
        <f>B1304=C1304</f>
        <v/>
      </c>
      <c r="E1304">
        <f>INT(B1304*10)=A1304</f>
        <v/>
      </c>
      <c r="F1304">
        <f>B1304&gt;=C1304</f>
        <v/>
      </c>
      <c r="G1304">
        <f>ROUND(G1303+0.1,1)</f>
        <v/>
      </c>
      <c r="H1304">
        <f>G1304=C1304</f>
        <v/>
      </c>
      <c r="I1304">
        <f>TEXT(B1304,"0.00000000000000")</f>
        <v/>
      </c>
    </row>
    <row r="1305">
      <c r="A1305" t="n">
        <v>1298</v>
      </c>
      <c r="B1305">
        <f>B1304+0.1</f>
        <v/>
      </c>
      <c r="C1305">
        <f>A1305/10</f>
        <v/>
      </c>
      <c r="D1305">
        <f>B1305=C1305</f>
        <v/>
      </c>
      <c r="E1305">
        <f>INT(B1305*10)=A1305</f>
        <v/>
      </c>
      <c r="F1305">
        <f>B1305&gt;=C1305</f>
        <v/>
      </c>
      <c r="G1305">
        <f>ROUND(G1304+0.1,1)</f>
        <v/>
      </c>
      <c r="H1305">
        <f>G1305=C1305</f>
        <v/>
      </c>
      <c r="I1305">
        <f>TEXT(B1305,"0.00000000000000")</f>
        <v/>
      </c>
    </row>
    <row r="1306">
      <c r="A1306" t="n">
        <v>1299</v>
      </c>
      <c r="B1306">
        <f>B1305+0.1</f>
        <v/>
      </c>
      <c r="C1306">
        <f>A1306/10</f>
        <v/>
      </c>
      <c r="D1306">
        <f>B1306=C1306</f>
        <v/>
      </c>
      <c r="E1306">
        <f>INT(B1306*10)=A1306</f>
        <v/>
      </c>
      <c r="F1306">
        <f>B1306&gt;=C1306</f>
        <v/>
      </c>
      <c r="G1306">
        <f>ROUND(G1305+0.1,1)</f>
        <v/>
      </c>
      <c r="H1306">
        <f>G1306=C1306</f>
        <v/>
      </c>
      <c r="I1306">
        <f>TEXT(B1306,"0.00000000000000")</f>
        <v/>
      </c>
    </row>
    <row r="1307">
      <c r="A1307" t="n">
        <v>1300</v>
      </c>
      <c r="B1307">
        <f>B1306+0.1</f>
        <v/>
      </c>
      <c r="C1307">
        <f>A1307/10</f>
        <v/>
      </c>
      <c r="D1307">
        <f>B1307=C1307</f>
        <v/>
      </c>
      <c r="E1307">
        <f>INT(B1307*10)=A1307</f>
        <v/>
      </c>
      <c r="F1307">
        <f>B1307&gt;=C1307</f>
        <v/>
      </c>
      <c r="G1307">
        <f>ROUND(G1306+0.1,1)</f>
        <v/>
      </c>
      <c r="H1307">
        <f>G1307=C1307</f>
        <v/>
      </c>
      <c r="I1307">
        <f>TEXT(B1307,"0.00000000000000")</f>
        <v/>
      </c>
    </row>
    <row r="1308">
      <c r="A1308" t="n">
        <v>1301</v>
      </c>
      <c r="B1308">
        <f>B1307+0.1</f>
        <v/>
      </c>
      <c r="C1308">
        <f>A1308/10</f>
        <v/>
      </c>
      <c r="D1308">
        <f>B1308=C1308</f>
        <v/>
      </c>
      <c r="E1308">
        <f>INT(B1308*10)=A1308</f>
        <v/>
      </c>
      <c r="F1308">
        <f>B1308&gt;=C1308</f>
        <v/>
      </c>
      <c r="G1308">
        <f>ROUND(G1307+0.1,1)</f>
        <v/>
      </c>
      <c r="H1308">
        <f>G1308=C1308</f>
        <v/>
      </c>
      <c r="I1308">
        <f>TEXT(B1308,"0.00000000000000")</f>
        <v/>
      </c>
    </row>
    <row r="1309">
      <c r="A1309" t="n">
        <v>1302</v>
      </c>
      <c r="B1309">
        <f>B1308+0.1</f>
        <v/>
      </c>
      <c r="C1309">
        <f>A1309/10</f>
        <v/>
      </c>
      <c r="D1309">
        <f>B1309=C1309</f>
        <v/>
      </c>
      <c r="E1309">
        <f>INT(B1309*10)=A1309</f>
        <v/>
      </c>
      <c r="F1309">
        <f>B1309&gt;=C1309</f>
        <v/>
      </c>
      <c r="G1309">
        <f>ROUND(G1308+0.1,1)</f>
        <v/>
      </c>
      <c r="H1309">
        <f>G1309=C1309</f>
        <v/>
      </c>
      <c r="I1309">
        <f>TEXT(B1309,"0.00000000000000")</f>
        <v/>
      </c>
    </row>
    <row r="1310">
      <c r="A1310" t="n">
        <v>1303</v>
      </c>
      <c r="B1310">
        <f>B1309+0.1</f>
        <v/>
      </c>
      <c r="C1310">
        <f>A1310/10</f>
        <v/>
      </c>
      <c r="D1310">
        <f>B1310=C1310</f>
        <v/>
      </c>
      <c r="E1310">
        <f>INT(B1310*10)=A1310</f>
        <v/>
      </c>
      <c r="F1310">
        <f>B1310&gt;=C1310</f>
        <v/>
      </c>
      <c r="G1310">
        <f>ROUND(G1309+0.1,1)</f>
        <v/>
      </c>
      <c r="H1310">
        <f>G1310=C1310</f>
        <v/>
      </c>
      <c r="I1310">
        <f>TEXT(B1310,"0.00000000000000")</f>
        <v/>
      </c>
    </row>
    <row r="1311">
      <c r="A1311" t="n">
        <v>1304</v>
      </c>
      <c r="B1311">
        <f>B1310+0.1</f>
        <v/>
      </c>
      <c r="C1311">
        <f>A1311/10</f>
        <v/>
      </c>
      <c r="D1311">
        <f>B1311=C1311</f>
        <v/>
      </c>
      <c r="E1311">
        <f>INT(B1311*10)=A1311</f>
        <v/>
      </c>
      <c r="F1311">
        <f>B1311&gt;=C1311</f>
        <v/>
      </c>
      <c r="G1311">
        <f>ROUND(G1310+0.1,1)</f>
        <v/>
      </c>
      <c r="H1311">
        <f>G1311=C1311</f>
        <v/>
      </c>
      <c r="I1311">
        <f>TEXT(B1311,"0.00000000000000")</f>
        <v/>
      </c>
    </row>
    <row r="1312">
      <c r="A1312" t="n">
        <v>1305</v>
      </c>
      <c r="B1312">
        <f>B1311+0.1</f>
        <v/>
      </c>
      <c r="C1312">
        <f>A1312/10</f>
        <v/>
      </c>
      <c r="D1312">
        <f>B1312=C1312</f>
        <v/>
      </c>
      <c r="E1312">
        <f>INT(B1312*10)=A1312</f>
        <v/>
      </c>
      <c r="F1312">
        <f>B1312&gt;=C1312</f>
        <v/>
      </c>
      <c r="G1312">
        <f>ROUND(G1311+0.1,1)</f>
        <v/>
      </c>
      <c r="H1312">
        <f>G1312=C1312</f>
        <v/>
      </c>
      <c r="I1312">
        <f>TEXT(B1312,"0.00000000000000")</f>
        <v/>
      </c>
    </row>
    <row r="1313">
      <c r="A1313" t="n">
        <v>1306</v>
      </c>
      <c r="B1313">
        <f>B1312+0.1</f>
        <v/>
      </c>
      <c r="C1313">
        <f>A1313/10</f>
        <v/>
      </c>
      <c r="D1313">
        <f>B1313=C1313</f>
        <v/>
      </c>
      <c r="E1313">
        <f>INT(B1313*10)=A1313</f>
        <v/>
      </c>
      <c r="F1313">
        <f>B1313&gt;=C1313</f>
        <v/>
      </c>
      <c r="G1313">
        <f>ROUND(G1312+0.1,1)</f>
        <v/>
      </c>
      <c r="H1313">
        <f>G1313=C1313</f>
        <v/>
      </c>
      <c r="I1313">
        <f>TEXT(B1313,"0.00000000000000")</f>
        <v/>
      </c>
    </row>
    <row r="1314">
      <c r="A1314" t="n">
        <v>1307</v>
      </c>
      <c r="B1314">
        <f>B1313+0.1</f>
        <v/>
      </c>
      <c r="C1314">
        <f>A1314/10</f>
        <v/>
      </c>
      <c r="D1314">
        <f>B1314=C1314</f>
        <v/>
      </c>
      <c r="E1314">
        <f>INT(B1314*10)=A1314</f>
        <v/>
      </c>
      <c r="F1314">
        <f>B1314&gt;=C1314</f>
        <v/>
      </c>
      <c r="G1314">
        <f>ROUND(G1313+0.1,1)</f>
        <v/>
      </c>
      <c r="H1314">
        <f>G1314=C1314</f>
        <v/>
      </c>
      <c r="I1314">
        <f>TEXT(B1314,"0.00000000000000")</f>
        <v/>
      </c>
    </row>
    <row r="1315">
      <c r="A1315" t="n">
        <v>1308</v>
      </c>
      <c r="B1315">
        <f>B1314+0.1</f>
        <v/>
      </c>
      <c r="C1315">
        <f>A1315/10</f>
        <v/>
      </c>
      <c r="D1315">
        <f>B1315=C1315</f>
        <v/>
      </c>
      <c r="E1315">
        <f>INT(B1315*10)=A1315</f>
        <v/>
      </c>
      <c r="F1315">
        <f>B1315&gt;=C1315</f>
        <v/>
      </c>
      <c r="G1315">
        <f>ROUND(G1314+0.1,1)</f>
        <v/>
      </c>
      <c r="H1315">
        <f>G1315=C1315</f>
        <v/>
      </c>
      <c r="I1315">
        <f>TEXT(B1315,"0.00000000000000")</f>
        <v/>
      </c>
    </row>
    <row r="1316">
      <c r="A1316" t="n">
        <v>1309</v>
      </c>
      <c r="B1316">
        <f>B1315+0.1</f>
        <v/>
      </c>
      <c r="C1316">
        <f>A1316/10</f>
        <v/>
      </c>
      <c r="D1316">
        <f>B1316=C1316</f>
        <v/>
      </c>
      <c r="E1316">
        <f>INT(B1316*10)=A1316</f>
        <v/>
      </c>
      <c r="F1316">
        <f>B1316&gt;=C1316</f>
        <v/>
      </c>
      <c r="G1316">
        <f>ROUND(G1315+0.1,1)</f>
        <v/>
      </c>
      <c r="H1316">
        <f>G1316=C1316</f>
        <v/>
      </c>
      <c r="I1316">
        <f>TEXT(B1316,"0.00000000000000")</f>
        <v/>
      </c>
    </row>
    <row r="1317">
      <c r="A1317" t="n">
        <v>1310</v>
      </c>
      <c r="B1317">
        <f>B1316+0.1</f>
        <v/>
      </c>
      <c r="C1317">
        <f>A1317/10</f>
        <v/>
      </c>
      <c r="D1317">
        <f>B1317=C1317</f>
        <v/>
      </c>
      <c r="E1317">
        <f>INT(B1317*10)=A1317</f>
        <v/>
      </c>
      <c r="F1317">
        <f>B1317&gt;=C1317</f>
        <v/>
      </c>
      <c r="G1317">
        <f>ROUND(G1316+0.1,1)</f>
        <v/>
      </c>
      <c r="H1317">
        <f>G1317=C1317</f>
        <v/>
      </c>
      <c r="I1317">
        <f>TEXT(B1317,"0.00000000000000")</f>
        <v/>
      </c>
    </row>
    <row r="1318">
      <c r="A1318" t="n">
        <v>1311</v>
      </c>
      <c r="B1318">
        <f>B1317+0.1</f>
        <v/>
      </c>
      <c r="C1318">
        <f>A1318/10</f>
        <v/>
      </c>
      <c r="D1318">
        <f>B1318=C1318</f>
        <v/>
      </c>
      <c r="E1318">
        <f>INT(B1318*10)=A1318</f>
        <v/>
      </c>
      <c r="F1318">
        <f>B1318&gt;=C1318</f>
        <v/>
      </c>
      <c r="G1318">
        <f>ROUND(G1317+0.1,1)</f>
        <v/>
      </c>
      <c r="H1318">
        <f>G1318=C1318</f>
        <v/>
      </c>
      <c r="I1318">
        <f>TEXT(B1318,"0.00000000000000")</f>
        <v/>
      </c>
    </row>
    <row r="1319">
      <c r="A1319" t="n">
        <v>1312</v>
      </c>
      <c r="B1319">
        <f>B1318+0.1</f>
        <v/>
      </c>
      <c r="C1319">
        <f>A1319/10</f>
        <v/>
      </c>
      <c r="D1319">
        <f>B1319=C1319</f>
        <v/>
      </c>
      <c r="E1319">
        <f>INT(B1319*10)=A1319</f>
        <v/>
      </c>
      <c r="F1319">
        <f>B1319&gt;=C1319</f>
        <v/>
      </c>
      <c r="G1319">
        <f>ROUND(G1318+0.1,1)</f>
        <v/>
      </c>
      <c r="H1319">
        <f>G1319=C1319</f>
        <v/>
      </c>
      <c r="I1319">
        <f>TEXT(B1319,"0.00000000000000")</f>
        <v/>
      </c>
    </row>
    <row r="1320">
      <c r="A1320" t="n">
        <v>1313</v>
      </c>
      <c r="B1320">
        <f>B1319+0.1</f>
        <v/>
      </c>
      <c r="C1320">
        <f>A1320/10</f>
        <v/>
      </c>
      <c r="D1320">
        <f>B1320=C1320</f>
        <v/>
      </c>
      <c r="E1320">
        <f>INT(B1320*10)=A1320</f>
        <v/>
      </c>
      <c r="F1320">
        <f>B1320&gt;=C1320</f>
        <v/>
      </c>
      <c r="G1320">
        <f>ROUND(G1319+0.1,1)</f>
        <v/>
      </c>
      <c r="H1320">
        <f>G1320=C1320</f>
        <v/>
      </c>
      <c r="I1320">
        <f>TEXT(B1320,"0.00000000000000")</f>
        <v/>
      </c>
    </row>
    <row r="1321">
      <c r="A1321" t="n">
        <v>1314</v>
      </c>
      <c r="B1321">
        <f>B1320+0.1</f>
        <v/>
      </c>
      <c r="C1321">
        <f>A1321/10</f>
        <v/>
      </c>
      <c r="D1321">
        <f>B1321=C1321</f>
        <v/>
      </c>
      <c r="E1321">
        <f>INT(B1321*10)=A1321</f>
        <v/>
      </c>
      <c r="F1321">
        <f>B1321&gt;=C1321</f>
        <v/>
      </c>
      <c r="G1321">
        <f>ROUND(G1320+0.1,1)</f>
        <v/>
      </c>
      <c r="H1321">
        <f>G1321=C1321</f>
        <v/>
      </c>
      <c r="I1321">
        <f>TEXT(B1321,"0.00000000000000")</f>
        <v/>
      </c>
    </row>
    <row r="1322">
      <c r="A1322" t="n">
        <v>1315</v>
      </c>
      <c r="B1322">
        <f>B1321+0.1</f>
        <v/>
      </c>
      <c r="C1322">
        <f>A1322/10</f>
        <v/>
      </c>
      <c r="D1322">
        <f>B1322=C1322</f>
        <v/>
      </c>
      <c r="E1322">
        <f>INT(B1322*10)=A1322</f>
        <v/>
      </c>
      <c r="F1322">
        <f>B1322&gt;=C1322</f>
        <v/>
      </c>
      <c r="G1322">
        <f>ROUND(G1321+0.1,1)</f>
        <v/>
      </c>
      <c r="H1322">
        <f>G1322=C1322</f>
        <v/>
      </c>
      <c r="I1322">
        <f>TEXT(B1322,"0.00000000000000")</f>
        <v/>
      </c>
    </row>
    <row r="1323">
      <c r="A1323" t="n">
        <v>1316</v>
      </c>
      <c r="B1323">
        <f>B1322+0.1</f>
        <v/>
      </c>
      <c r="C1323">
        <f>A1323/10</f>
        <v/>
      </c>
      <c r="D1323">
        <f>B1323=C1323</f>
        <v/>
      </c>
      <c r="E1323">
        <f>INT(B1323*10)=A1323</f>
        <v/>
      </c>
      <c r="F1323">
        <f>B1323&gt;=C1323</f>
        <v/>
      </c>
      <c r="G1323">
        <f>ROUND(G1322+0.1,1)</f>
        <v/>
      </c>
      <c r="H1323">
        <f>G1323=C1323</f>
        <v/>
      </c>
      <c r="I1323">
        <f>TEXT(B1323,"0.00000000000000")</f>
        <v/>
      </c>
    </row>
    <row r="1324">
      <c r="A1324" t="n">
        <v>1317</v>
      </c>
      <c r="B1324">
        <f>B1323+0.1</f>
        <v/>
      </c>
      <c r="C1324">
        <f>A1324/10</f>
        <v/>
      </c>
      <c r="D1324">
        <f>B1324=C1324</f>
        <v/>
      </c>
      <c r="E1324">
        <f>INT(B1324*10)=A1324</f>
        <v/>
      </c>
      <c r="F1324">
        <f>B1324&gt;=C1324</f>
        <v/>
      </c>
      <c r="G1324">
        <f>ROUND(G1323+0.1,1)</f>
        <v/>
      </c>
      <c r="H1324">
        <f>G1324=C1324</f>
        <v/>
      </c>
      <c r="I1324">
        <f>TEXT(B1324,"0.00000000000000")</f>
        <v/>
      </c>
    </row>
    <row r="1325">
      <c r="A1325" t="n">
        <v>1318</v>
      </c>
      <c r="B1325">
        <f>B1324+0.1</f>
        <v/>
      </c>
      <c r="C1325">
        <f>A1325/10</f>
        <v/>
      </c>
      <c r="D1325">
        <f>B1325=C1325</f>
        <v/>
      </c>
      <c r="E1325">
        <f>INT(B1325*10)=A1325</f>
        <v/>
      </c>
      <c r="F1325">
        <f>B1325&gt;=C1325</f>
        <v/>
      </c>
      <c r="G1325">
        <f>ROUND(G1324+0.1,1)</f>
        <v/>
      </c>
      <c r="H1325">
        <f>G1325=C1325</f>
        <v/>
      </c>
      <c r="I1325">
        <f>TEXT(B1325,"0.00000000000000")</f>
        <v/>
      </c>
    </row>
    <row r="1326">
      <c r="A1326" t="n">
        <v>1319</v>
      </c>
      <c r="B1326">
        <f>B1325+0.1</f>
        <v/>
      </c>
      <c r="C1326">
        <f>A1326/10</f>
        <v/>
      </c>
      <c r="D1326">
        <f>B1326=C1326</f>
        <v/>
      </c>
      <c r="E1326">
        <f>INT(B1326*10)=A1326</f>
        <v/>
      </c>
      <c r="F1326">
        <f>B1326&gt;=C1326</f>
        <v/>
      </c>
      <c r="G1326">
        <f>ROUND(G1325+0.1,1)</f>
        <v/>
      </c>
      <c r="H1326">
        <f>G1326=C1326</f>
        <v/>
      </c>
      <c r="I1326">
        <f>TEXT(B1326,"0.00000000000000")</f>
        <v/>
      </c>
    </row>
    <row r="1327">
      <c r="A1327" t="n">
        <v>1320</v>
      </c>
      <c r="B1327">
        <f>B1326+0.1</f>
        <v/>
      </c>
      <c r="C1327">
        <f>A1327/10</f>
        <v/>
      </c>
      <c r="D1327">
        <f>B1327=C1327</f>
        <v/>
      </c>
      <c r="E1327">
        <f>INT(B1327*10)=A1327</f>
        <v/>
      </c>
      <c r="F1327">
        <f>B1327&gt;=C1327</f>
        <v/>
      </c>
      <c r="G1327">
        <f>ROUND(G1326+0.1,1)</f>
        <v/>
      </c>
      <c r="H1327">
        <f>G1327=C1327</f>
        <v/>
      </c>
      <c r="I1327">
        <f>TEXT(B1327,"0.00000000000000")</f>
        <v/>
      </c>
    </row>
    <row r="1328">
      <c r="A1328" t="n">
        <v>1321</v>
      </c>
      <c r="B1328">
        <f>B1327+0.1</f>
        <v/>
      </c>
      <c r="C1328">
        <f>A1328/10</f>
        <v/>
      </c>
      <c r="D1328">
        <f>B1328=C1328</f>
        <v/>
      </c>
      <c r="E1328">
        <f>INT(B1328*10)=A1328</f>
        <v/>
      </c>
      <c r="F1328">
        <f>B1328&gt;=C1328</f>
        <v/>
      </c>
      <c r="G1328">
        <f>ROUND(G1327+0.1,1)</f>
        <v/>
      </c>
      <c r="H1328">
        <f>G1328=C1328</f>
        <v/>
      </c>
      <c r="I1328">
        <f>TEXT(B1328,"0.00000000000000")</f>
        <v/>
      </c>
    </row>
    <row r="1329">
      <c r="A1329" t="n">
        <v>1322</v>
      </c>
      <c r="B1329">
        <f>B1328+0.1</f>
        <v/>
      </c>
      <c r="C1329">
        <f>A1329/10</f>
        <v/>
      </c>
      <c r="D1329">
        <f>B1329=C1329</f>
        <v/>
      </c>
      <c r="E1329">
        <f>INT(B1329*10)=A1329</f>
        <v/>
      </c>
      <c r="F1329">
        <f>B1329&gt;=C1329</f>
        <v/>
      </c>
      <c r="G1329">
        <f>ROUND(G1328+0.1,1)</f>
        <v/>
      </c>
      <c r="H1329">
        <f>G1329=C1329</f>
        <v/>
      </c>
      <c r="I1329">
        <f>TEXT(B1329,"0.00000000000000")</f>
        <v/>
      </c>
    </row>
    <row r="1330">
      <c r="A1330" t="n">
        <v>1323</v>
      </c>
      <c r="B1330">
        <f>B1329+0.1</f>
        <v/>
      </c>
      <c r="C1330">
        <f>A1330/10</f>
        <v/>
      </c>
      <c r="D1330">
        <f>B1330=C1330</f>
        <v/>
      </c>
      <c r="E1330">
        <f>INT(B1330*10)=A1330</f>
        <v/>
      </c>
      <c r="F1330">
        <f>B1330&gt;=C1330</f>
        <v/>
      </c>
      <c r="G1330">
        <f>ROUND(G1329+0.1,1)</f>
        <v/>
      </c>
      <c r="H1330">
        <f>G1330=C1330</f>
        <v/>
      </c>
      <c r="I1330">
        <f>TEXT(B1330,"0.00000000000000")</f>
        <v/>
      </c>
    </row>
    <row r="1331">
      <c r="A1331" t="n">
        <v>1324</v>
      </c>
      <c r="B1331">
        <f>B1330+0.1</f>
        <v/>
      </c>
      <c r="C1331">
        <f>A1331/10</f>
        <v/>
      </c>
      <c r="D1331">
        <f>B1331=C1331</f>
        <v/>
      </c>
      <c r="E1331">
        <f>INT(B1331*10)=A1331</f>
        <v/>
      </c>
      <c r="F1331">
        <f>B1331&gt;=C1331</f>
        <v/>
      </c>
      <c r="G1331">
        <f>ROUND(G1330+0.1,1)</f>
        <v/>
      </c>
      <c r="H1331">
        <f>G1331=C1331</f>
        <v/>
      </c>
      <c r="I1331">
        <f>TEXT(B1331,"0.00000000000000")</f>
        <v/>
      </c>
    </row>
    <row r="1332">
      <c r="A1332" t="n">
        <v>1325</v>
      </c>
      <c r="B1332">
        <f>B1331+0.1</f>
        <v/>
      </c>
      <c r="C1332">
        <f>A1332/10</f>
        <v/>
      </c>
      <c r="D1332">
        <f>B1332=C1332</f>
        <v/>
      </c>
      <c r="E1332">
        <f>INT(B1332*10)=A1332</f>
        <v/>
      </c>
      <c r="F1332">
        <f>B1332&gt;=C1332</f>
        <v/>
      </c>
      <c r="G1332">
        <f>ROUND(G1331+0.1,1)</f>
        <v/>
      </c>
      <c r="H1332">
        <f>G1332=C1332</f>
        <v/>
      </c>
      <c r="I1332">
        <f>TEXT(B1332,"0.00000000000000")</f>
        <v/>
      </c>
    </row>
    <row r="1333">
      <c r="A1333" t="n">
        <v>1326</v>
      </c>
      <c r="B1333">
        <f>B1332+0.1</f>
        <v/>
      </c>
      <c r="C1333">
        <f>A1333/10</f>
        <v/>
      </c>
      <c r="D1333">
        <f>B1333=C1333</f>
        <v/>
      </c>
      <c r="E1333">
        <f>INT(B1333*10)=A1333</f>
        <v/>
      </c>
      <c r="F1333">
        <f>B1333&gt;=C1333</f>
        <v/>
      </c>
      <c r="G1333">
        <f>ROUND(G1332+0.1,1)</f>
        <v/>
      </c>
      <c r="H1333">
        <f>G1333=C1333</f>
        <v/>
      </c>
      <c r="I1333">
        <f>TEXT(B1333,"0.00000000000000")</f>
        <v/>
      </c>
    </row>
    <row r="1334">
      <c r="A1334" t="n">
        <v>1327</v>
      </c>
      <c r="B1334">
        <f>B1333+0.1</f>
        <v/>
      </c>
      <c r="C1334">
        <f>A1334/10</f>
        <v/>
      </c>
      <c r="D1334">
        <f>B1334=C1334</f>
        <v/>
      </c>
      <c r="E1334">
        <f>INT(B1334*10)=A1334</f>
        <v/>
      </c>
      <c r="F1334">
        <f>B1334&gt;=C1334</f>
        <v/>
      </c>
      <c r="G1334">
        <f>ROUND(G1333+0.1,1)</f>
        <v/>
      </c>
      <c r="H1334">
        <f>G1334=C1334</f>
        <v/>
      </c>
      <c r="I1334">
        <f>TEXT(B1334,"0.00000000000000")</f>
        <v/>
      </c>
    </row>
    <row r="1335">
      <c r="A1335" t="n">
        <v>1328</v>
      </c>
      <c r="B1335">
        <f>B1334+0.1</f>
        <v/>
      </c>
      <c r="C1335">
        <f>A1335/10</f>
        <v/>
      </c>
      <c r="D1335">
        <f>B1335=C1335</f>
        <v/>
      </c>
      <c r="E1335">
        <f>INT(B1335*10)=A1335</f>
        <v/>
      </c>
      <c r="F1335">
        <f>B1335&gt;=C1335</f>
        <v/>
      </c>
      <c r="G1335">
        <f>ROUND(G1334+0.1,1)</f>
        <v/>
      </c>
      <c r="H1335">
        <f>G1335=C1335</f>
        <v/>
      </c>
      <c r="I1335">
        <f>TEXT(B1335,"0.00000000000000")</f>
        <v/>
      </c>
    </row>
    <row r="1336">
      <c r="A1336" t="n">
        <v>1329</v>
      </c>
      <c r="B1336">
        <f>B1335+0.1</f>
        <v/>
      </c>
      <c r="C1336">
        <f>A1336/10</f>
        <v/>
      </c>
      <c r="D1336">
        <f>B1336=C1336</f>
        <v/>
      </c>
      <c r="E1336">
        <f>INT(B1336*10)=A1336</f>
        <v/>
      </c>
      <c r="F1336">
        <f>B1336&gt;=C1336</f>
        <v/>
      </c>
      <c r="G1336">
        <f>ROUND(G1335+0.1,1)</f>
        <v/>
      </c>
      <c r="H1336">
        <f>G1336=C1336</f>
        <v/>
      </c>
      <c r="I1336">
        <f>TEXT(B1336,"0.00000000000000")</f>
        <v/>
      </c>
    </row>
    <row r="1337">
      <c r="A1337" t="n">
        <v>1330</v>
      </c>
      <c r="B1337">
        <f>B1336+0.1</f>
        <v/>
      </c>
      <c r="C1337">
        <f>A1337/10</f>
        <v/>
      </c>
      <c r="D1337">
        <f>B1337=C1337</f>
        <v/>
      </c>
      <c r="E1337">
        <f>INT(B1337*10)=A1337</f>
        <v/>
      </c>
      <c r="F1337">
        <f>B1337&gt;=C1337</f>
        <v/>
      </c>
      <c r="G1337">
        <f>ROUND(G1336+0.1,1)</f>
        <v/>
      </c>
      <c r="H1337">
        <f>G1337=C1337</f>
        <v/>
      </c>
      <c r="I1337">
        <f>TEXT(B1337,"0.00000000000000")</f>
        <v/>
      </c>
    </row>
    <row r="1338">
      <c r="A1338" t="n">
        <v>1331</v>
      </c>
      <c r="B1338">
        <f>B1337+0.1</f>
        <v/>
      </c>
      <c r="C1338">
        <f>A1338/10</f>
        <v/>
      </c>
      <c r="D1338">
        <f>B1338=C1338</f>
        <v/>
      </c>
      <c r="E1338">
        <f>INT(B1338*10)=A1338</f>
        <v/>
      </c>
      <c r="F1338">
        <f>B1338&gt;=C1338</f>
        <v/>
      </c>
      <c r="G1338">
        <f>ROUND(G1337+0.1,1)</f>
        <v/>
      </c>
      <c r="H1338">
        <f>G1338=C1338</f>
        <v/>
      </c>
      <c r="I1338">
        <f>TEXT(B1338,"0.00000000000000")</f>
        <v/>
      </c>
    </row>
    <row r="1339">
      <c r="A1339" t="n">
        <v>1332</v>
      </c>
      <c r="B1339">
        <f>B1338+0.1</f>
        <v/>
      </c>
      <c r="C1339">
        <f>A1339/10</f>
        <v/>
      </c>
      <c r="D1339">
        <f>B1339=C1339</f>
        <v/>
      </c>
      <c r="E1339">
        <f>INT(B1339*10)=A1339</f>
        <v/>
      </c>
      <c r="F1339">
        <f>B1339&gt;=C1339</f>
        <v/>
      </c>
      <c r="G1339">
        <f>ROUND(G1338+0.1,1)</f>
        <v/>
      </c>
      <c r="H1339">
        <f>G1339=C1339</f>
        <v/>
      </c>
      <c r="I1339">
        <f>TEXT(B1339,"0.00000000000000")</f>
        <v/>
      </c>
    </row>
    <row r="1340">
      <c r="A1340" t="n">
        <v>1333</v>
      </c>
      <c r="B1340">
        <f>B1339+0.1</f>
        <v/>
      </c>
      <c r="C1340">
        <f>A1340/10</f>
        <v/>
      </c>
      <c r="D1340">
        <f>B1340=C1340</f>
        <v/>
      </c>
      <c r="E1340">
        <f>INT(B1340*10)=A1340</f>
        <v/>
      </c>
      <c r="F1340">
        <f>B1340&gt;=C1340</f>
        <v/>
      </c>
      <c r="G1340">
        <f>ROUND(G1339+0.1,1)</f>
        <v/>
      </c>
      <c r="H1340">
        <f>G1340=C1340</f>
        <v/>
      </c>
      <c r="I1340">
        <f>TEXT(B1340,"0.00000000000000")</f>
        <v/>
      </c>
    </row>
    <row r="1341">
      <c r="A1341" t="n">
        <v>1334</v>
      </c>
      <c r="B1341">
        <f>B1340+0.1</f>
        <v/>
      </c>
      <c r="C1341">
        <f>A1341/10</f>
        <v/>
      </c>
      <c r="D1341">
        <f>B1341=C1341</f>
        <v/>
      </c>
      <c r="E1341">
        <f>INT(B1341*10)=A1341</f>
        <v/>
      </c>
      <c r="F1341">
        <f>B1341&gt;=C1341</f>
        <v/>
      </c>
      <c r="G1341">
        <f>ROUND(G1340+0.1,1)</f>
        <v/>
      </c>
      <c r="H1341">
        <f>G1341=C1341</f>
        <v/>
      </c>
      <c r="I1341">
        <f>TEXT(B1341,"0.00000000000000")</f>
        <v/>
      </c>
    </row>
    <row r="1342">
      <c r="A1342" t="n">
        <v>1335</v>
      </c>
      <c r="B1342">
        <f>B1341+0.1</f>
        <v/>
      </c>
      <c r="C1342">
        <f>A1342/10</f>
        <v/>
      </c>
      <c r="D1342">
        <f>B1342=C1342</f>
        <v/>
      </c>
      <c r="E1342">
        <f>INT(B1342*10)=A1342</f>
        <v/>
      </c>
      <c r="F1342">
        <f>B1342&gt;=C1342</f>
        <v/>
      </c>
      <c r="G1342">
        <f>ROUND(G1341+0.1,1)</f>
        <v/>
      </c>
      <c r="H1342">
        <f>G1342=C1342</f>
        <v/>
      </c>
      <c r="I1342">
        <f>TEXT(B1342,"0.00000000000000")</f>
        <v/>
      </c>
    </row>
    <row r="1343">
      <c r="A1343" t="n">
        <v>1336</v>
      </c>
      <c r="B1343">
        <f>B1342+0.1</f>
        <v/>
      </c>
      <c r="C1343">
        <f>A1343/10</f>
        <v/>
      </c>
      <c r="D1343">
        <f>B1343=C1343</f>
        <v/>
      </c>
      <c r="E1343">
        <f>INT(B1343*10)=A1343</f>
        <v/>
      </c>
      <c r="F1343">
        <f>B1343&gt;=C1343</f>
        <v/>
      </c>
      <c r="G1343">
        <f>ROUND(G1342+0.1,1)</f>
        <v/>
      </c>
      <c r="H1343">
        <f>G1343=C1343</f>
        <v/>
      </c>
      <c r="I1343">
        <f>TEXT(B1343,"0.00000000000000")</f>
        <v/>
      </c>
    </row>
    <row r="1344">
      <c r="A1344" t="n">
        <v>1337</v>
      </c>
      <c r="B1344">
        <f>B1343+0.1</f>
        <v/>
      </c>
      <c r="C1344">
        <f>A1344/10</f>
        <v/>
      </c>
      <c r="D1344">
        <f>B1344=C1344</f>
        <v/>
      </c>
      <c r="E1344">
        <f>INT(B1344*10)=A1344</f>
        <v/>
      </c>
      <c r="F1344">
        <f>B1344&gt;=C1344</f>
        <v/>
      </c>
      <c r="G1344">
        <f>ROUND(G1343+0.1,1)</f>
        <v/>
      </c>
      <c r="H1344">
        <f>G1344=C1344</f>
        <v/>
      </c>
      <c r="I1344">
        <f>TEXT(B1344,"0.00000000000000")</f>
        <v/>
      </c>
    </row>
    <row r="1345">
      <c r="A1345" t="n">
        <v>1338</v>
      </c>
      <c r="B1345">
        <f>B1344+0.1</f>
        <v/>
      </c>
      <c r="C1345">
        <f>A1345/10</f>
        <v/>
      </c>
      <c r="D1345">
        <f>B1345=C1345</f>
        <v/>
      </c>
      <c r="E1345">
        <f>INT(B1345*10)=A1345</f>
        <v/>
      </c>
      <c r="F1345">
        <f>B1345&gt;=C1345</f>
        <v/>
      </c>
      <c r="G1345">
        <f>ROUND(G1344+0.1,1)</f>
        <v/>
      </c>
      <c r="H1345">
        <f>G1345=C1345</f>
        <v/>
      </c>
      <c r="I1345">
        <f>TEXT(B1345,"0.00000000000000")</f>
        <v/>
      </c>
    </row>
    <row r="1346">
      <c r="A1346" t="n">
        <v>1339</v>
      </c>
      <c r="B1346">
        <f>B1345+0.1</f>
        <v/>
      </c>
      <c r="C1346">
        <f>A1346/10</f>
        <v/>
      </c>
      <c r="D1346">
        <f>B1346=C1346</f>
        <v/>
      </c>
      <c r="E1346">
        <f>INT(B1346*10)=A1346</f>
        <v/>
      </c>
      <c r="F1346">
        <f>B1346&gt;=C1346</f>
        <v/>
      </c>
      <c r="G1346">
        <f>ROUND(G1345+0.1,1)</f>
        <v/>
      </c>
      <c r="H1346">
        <f>G1346=C1346</f>
        <v/>
      </c>
      <c r="I1346">
        <f>TEXT(B1346,"0.00000000000000")</f>
        <v/>
      </c>
    </row>
    <row r="1347">
      <c r="A1347" t="n">
        <v>1340</v>
      </c>
      <c r="B1347">
        <f>B1346+0.1</f>
        <v/>
      </c>
      <c r="C1347">
        <f>A1347/10</f>
        <v/>
      </c>
      <c r="D1347">
        <f>B1347=C1347</f>
        <v/>
      </c>
      <c r="E1347">
        <f>INT(B1347*10)=A1347</f>
        <v/>
      </c>
      <c r="F1347">
        <f>B1347&gt;=C1347</f>
        <v/>
      </c>
      <c r="G1347">
        <f>ROUND(G1346+0.1,1)</f>
        <v/>
      </c>
      <c r="H1347">
        <f>G1347=C1347</f>
        <v/>
      </c>
      <c r="I1347">
        <f>TEXT(B1347,"0.00000000000000")</f>
        <v/>
      </c>
    </row>
    <row r="1348">
      <c r="A1348" t="n">
        <v>1341</v>
      </c>
      <c r="B1348">
        <f>B1347+0.1</f>
        <v/>
      </c>
      <c r="C1348">
        <f>A1348/10</f>
        <v/>
      </c>
      <c r="D1348">
        <f>B1348=C1348</f>
        <v/>
      </c>
      <c r="E1348">
        <f>INT(B1348*10)=A1348</f>
        <v/>
      </c>
      <c r="F1348">
        <f>B1348&gt;=C1348</f>
        <v/>
      </c>
      <c r="G1348">
        <f>ROUND(G1347+0.1,1)</f>
        <v/>
      </c>
      <c r="H1348">
        <f>G1348=C1348</f>
        <v/>
      </c>
      <c r="I1348">
        <f>TEXT(B1348,"0.00000000000000")</f>
        <v/>
      </c>
    </row>
    <row r="1349">
      <c r="A1349" t="n">
        <v>1342</v>
      </c>
      <c r="B1349">
        <f>B1348+0.1</f>
        <v/>
      </c>
      <c r="C1349">
        <f>A1349/10</f>
        <v/>
      </c>
      <c r="D1349">
        <f>B1349=C1349</f>
        <v/>
      </c>
      <c r="E1349">
        <f>INT(B1349*10)=A1349</f>
        <v/>
      </c>
      <c r="F1349">
        <f>B1349&gt;=C1349</f>
        <v/>
      </c>
      <c r="G1349">
        <f>ROUND(G1348+0.1,1)</f>
        <v/>
      </c>
      <c r="H1349">
        <f>G1349=C1349</f>
        <v/>
      </c>
      <c r="I1349">
        <f>TEXT(B1349,"0.00000000000000")</f>
        <v/>
      </c>
    </row>
    <row r="1350">
      <c r="A1350" t="n">
        <v>1343</v>
      </c>
      <c r="B1350">
        <f>B1349+0.1</f>
        <v/>
      </c>
      <c r="C1350">
        <f>A1350/10</f>
        <v/>
      </c>
      <c r="D1350">
        <f>B1350=C1350</f>
        <v/>
      </c>
      <c r="E1350">
        <f>INT(B1350*10)=A1350</f>
        <v/>
      </c>
      <c r="F1350">
        <f>B1350&gt;=C1350</f>
        <v/>
      </c>
      <c r="G1350">
        <f>ROUND(G1349+0.1,1)</f>
        <v/>
      </c>
      <c r="H1350">
        <f>G1350=C1350</f>
        <v/>
      </c>
      <c r="I1350">
        <f>TEXT(B1350,"0.00000000000000")</f>
        <v/>
      </c>
    </row>
    <row r="1351">
      <c r="A1351" t="n">
        <v>1344</v>
      </c>
      <c r="B1351">
        <f>B1350+0.1</f>
        <v/>
      </c>
      <c r="C1351">
        <f>A1351/10</f>
        <v/>
      </c>
      <c r="D1351">
        <f>B1351=C1351</f>
        <v/>
      </c>
      <c r="E1351">
        <f>INT(B1351*10)=A1351</f>
        <v/>
      </c>
      <c r="F1351">
        <f>B1351&gt;=C1351</f>
        <v/>
      </c>
      <c r="G1351">
        <f>ROUND(G1350+0.1,1)</f>
        <v/>
      </c>
      <c r="H1351">
        <f>G1351=C1351</f>
        <v/>
      </c>
      <c r="I1351">
        <f>TEXT(B1351,"0.00000000000000")</f>
        <v/>
      </c>
    </row>
    <row r="1352">
      <c r="A1352" t="n">
        <v>1345</v>
      </c>
      <c r="B1352">
        <f>B1351+0.1</f>
        <v/>
      </c>
      <c r="C1352">
        <f>A1352/10</f>
        <v/>
      </c>
      <c r="D1352">
        <f>B1352=C1352</f>
        <v/>
      </c>
      <c r="E1352">
        <f>INT(B1352*10)=A1352</f>
        <v/>
      </c>
      <c r="F1352">
        <f>B1352&gt;=C1352</f>
        <v/>
      </c>
      <c r="G1352">
        <f>ROUND(G1351+0.1,1)</f>
        <v/>
      </c>
      <c r="H1352">
        <f>G1352=C1352</f>
        <v/>
      </c>
      <c r="I1352">
        <f>TEXT(B1352,"0.00000000000000")</f>
        <v/>
      </c>
    </row>
    <row r="1353">
      <c r="A1353" t="n">
        <v>1346</v>
      </c>
      <c r="B1353">
        <f>B1352+0.1</f>
        <v/>
      </c>
      <c r="C1353">
        <f>A1353/10</f>
        <v/>
      </c>
      <c r="D1353">
        <f>B1353=C1353</f>
        <v/>
      </c>
      <c r="E1353">
        <f>INT(B1353*10)=A1353</f>
        <v/>
      </c>
      <c r="F1353">
        <f>B1353&gt;=C1353</f>
        <v/>
      </c>
      <c r="G1353">
        <f>ROUND(G1352+0.1,1)</f>
        <v/>
      </c>
      <c r="H1353">
        <f>G1353=C1353</f>
        <v/>
      </c>
      <c r="I1353">
        <f>TEXT(B1353,"0.00000000000000")</f>
        <v/>
      </c>
    </row>
    <row r="1354">
      <c r="A1354" t="n">
        <v>1347</v>
      </c>
      <c r="B1354">
        <f>B1353+0.1</f>
        <v/>
      </c>
      <c r="C1354">
        <f>A1354/10</f>
        <v/>
      </c>
      <c r="D1354">
        <f>B1354=C1354</f>
        <v/>
      </c>
      <c r="E1354">
        <f>INT(B1354*10)=A1354</f>
        <v/>
      </c>
      <c r="F1354">
        <f>B1354&gt;=C1354</f>
        <v/>
      </c>
      <c r="G1354">
        <f>ROUND(G1353+0.1,1)</f>
        <v/>
      </c>
      <c r="H1354">
        <f>G1354=C1354</f>
        <v/>
      </c>
      <c r="I1354">
        <f>TEXT(B1354,"0.00000000000000")</f>
        <v/>
      </c>
    </row>
    <row r="1355">
      <c r="A1355" t="n">
        <v>1348</v>
      </c>
      <c r="B1355">
        <f>B1354+0.1</f>
        <v/>
      </c>
      <c r="C1355">
        <f>A1355/10</f>
        <v/>
      </c>
      <c r="D1355">
        <f>B1355=C1355</f>
        <v/>
      </c>
      <c r="E1355">
        <f>INT(B1355*10)=A1355</f>
        <v/>
      </c>
      <c r="F1355">
        <f>B1355&gt;=C1355</f>
        <v/>
      </c>
      <c r="G1355">
        <f>ROUND(G1354+0.1,1)</f>
        <v/>
      </c>
      <c r="H1355">
        <f>G1355=C1355</f>
        <v/>
      </c>
      <c r="I1355">
        <f>TEXT(B1355,"0.00000000000000")</f>
        <v/>
      </c>
    </row>
    <row r="1356">
      <c r="A1356" t="n">
        <v>1349</v>
      </c>
      <c r="B1356">
        <f>B1355+0.1</f>
        <v/>
      </c>
      <c r="C1356">
        <f>A1356/10</f>
        <v/>
      </c>
      <c r="D1356">
        <f>B1356=C1356</f>
        <v/>
      </c>
      <c r="E1356">
        <f>INT(B1356*10)=A1356</f>
        <v/>
      </c>
      <c r="F1356">
        <f>B1356&gt;=C1356</f>
        <v/>
      </c>
      <c r="G1356">
        <f>ROUND(G1355+0.1,1)</f>
        <v/>
      </c>
      <c r="H1356">
        <f>G1356=C1356</f>
        <v/>
      </c>
      <c r="I1356">
        <f>TEXT(B1356,"0.00000000000000")</f>
        <v/>
      </c>
    </row>
    <row r="1357">
      <c r="A1357" t="n">
        <v>1350</v>
      </c>
      <c r="B1357">
        <f>B1356+0.1</f>
        <v/>
      </c>
      <c r="C1357">
        <f>A1357/10</f>
        <v/>
      </c>
      <c r="D1357">
        <f>B1357=C1357</f>
        <v/>
      </c>
      <c r="E1357">
        <f>INT(B1357*10)=A1357</f>
        <v/>
      </c>
      <c r="F1357">
        <f>B1357&gt;=C1357</f>
        <v/>
      </c>
      <c r="G1357">
        <f>ROUND(G1356+0.1,1)</f>
        <v/>
      </c>
      <c r="H1357">
        <f>G1357=C1357</f>
        <v/>
      </c>
      <c r="I1357">
        <f>TEXT(B1357,"0.00000000000000")</f>
        <v/>
      </c>
    </row>
    <row r="1358">
      <c r="A1358" t="n">
        <v>1351</v>
      </c>
      <c r="B1358">
        <f>B1357+0.1</f>
        <v/>
      </c>
      <c r="C1358">
        <f>A1358/10</f>
        <v/>
      </c>
      <c r="D1358">
        <f>B1358=C1358</f>
        <v/>
      </c>
      <c r="E1358">
        <f>INT(B1358*10)=A1358</f>
        <v/>
      </c>
      <c r="F1358">
        <f>B1358&gt;=C1358</f>
        <v/>
      </c>
      <c r="G1358">
        <f>ROUND(G1357+0.1,1)</f>
        <v/>
      </c>
      <c r="H1358">
        <f>G1358=C1358</f>
        <v/>
      </c>
      <c r="I1358">
        <f>TEXT(B1358,"0.00000000000000")</f>
        <v/>
      </c>
    </row>
    <row r="1359">
      <c r="A1359" t="n">
        <v>1352</v>
      </c>
      <c r="B1359">
        <f>B1358+0.1</f>
        <v/>
      </c>
      <c r="C1359">
        <f>A1359/10</f>
        <v/>
      </c>
      <c r="D1359">
        <f>B1359=C1359</f>
        <v/>
      </c>
      <c r="E1359">
        <f>INT(B1359*10)=A1359</f>
        <v/>
      </c>
      <c r="F1359">
        <f>B1359&gt;=C1359</f>
        <v/>
      </c>
      <c r="G1359">
        <f>ROUND(G1358+0.1,1)</f>
        <v/>
      </c>
      <c r="H1359">
        <f>G1359=C1359</f>
        <v/>
      </c>
      <c r="I1359">
        <f>TEXT(B1359,"0.00000000000000")</f>
        <v/>
      </c>
    </row>
    <row r="1360">
      <c r="A1360" t="n">
        <v>1353</v>
      </c>
      <c r="B1360">
        <f>B1359+0.1</f>
        <v/>
      </c>
      <c r="C1360">
        <f>A1360/10</f>
        <v/>
      </c>
      <c r="D1360">
        <f>B1360=C1360</f>
        <v/>
      </c>
      <c r="E1360">
        <f>INT(B1360*10)=A1360</f>
        <v/>
      </c>
      <c r="F1360">
        <f>B1360&gt;=C1360</f>
        <v/>
      </c>
      <c r="G1360">
        <f>ROUND(G1359+0.1,1)</f>
        <v/>
      </c>
      <c r="H1360">
        <f>G1360=C1360</f>
        <v/>
      </c>
      <c r="I1360">
        <f>TEXT(B1360,"0.00000000000000")</f>
        <v/>
      </c>
    </row>
    <row r="1361">
      <c r="A1361" t="n">
        <v>1354</v>
      </c>
      <c r="B1361">
        <f>B1360+0.1</f>
        <v/>
      </c>
      <c r="C1361">
        <f>A1361/10</f>
        <v/>
      </c>
      <c r="D1361">
        <f>B1361=C1361</f>
        <v/>
      </c>
      <c r="E1361">
        <f>INT(B1361*10)=A1361</f>
        <v/>
      </c>
      <c r="F1361">
        <f>B1361&gt;=C1361</f>
        <v/>
      </c>
      <c r="G1361">
        <f>ROUND(G1360+0.1,1)</f>
        <v/>
      </c>
      <c r="H1361">
        <f>G1361=C1361</f>
        <v/>
      </c>
      <c r="I1361">
        <f>TEXT(B1361,"0.00000000000000")</f>
        <v/>
      </c>
    </row>
    <row r="1362">
      <c r="A1362" t="n">
        <v>1355</v>
      </c>
      <c r="B1362">
        <f>B1361+0.1</f>
        <v/>
      </c>
      <c r="C1362">
        <f>A1362/10</f>
        <v/>
      </c>
      <c r="D1362">
        <f>B1362=C1362</f>
        <v/>
      </c>
      <c r="E1362">
        <f>INT(B1362*10)=A1362</f>
        <v/>
      </c>
      <c r="F1362">
        <f>B1362&gt;=C1362</f>
        <v/>
      </c>
      <c r="G1362">
        <f>ROUND(G1361+0.1,1)</f>
        <v/>
      </c>
      <c r="H1362">
        <f>G1362=C1362</f>
        <v/>
      </c>
      <c r="I1362">
        <f>TEXT(B1362,"0.00000000000000")</f>
        <v/>
      </c>
    </row>
    <row r="1363">
      <c r="A1363" t="n">
        <v>1356</v>
      </c>
      <c r="B1363">
        <f>B1362+0.1</f>
        <v/>
      </c>
      <c r="C1363">
        <f>A1363/10</f>
        <v/>
      </c>
      <c r="D1363">
        <f>B1363=C1363</f>
        <v/>
      </c>
      <c r="E1363">
        <f>INT(B1363*10)=A1363</f>
        <v/>
      </c>
      <c r="F1363">
        <f>B1363&gt;=C1363</f>
        <v/>
      </c>
      <c r="G1363">
        <f>ROUND(G1362+0.1,1)</f>
        <v/>
      </c>
      <c r="H1363">
        <f>G1363=C1363</f>
        <v/>
      </c>
      <c r="I1363">
        <f>TEXT(B1363,"0.00000000000000")</f>
        <v/>
      </c>
    </row>
    <row r="1364">
      <c r="A1364" t="n">
        <v>1357</v>
      </c>
      <c r="B1364">
        <f>B1363+0.1</f>
        <v/>
      </c>
      <c r="C1364">
        <f>A1364/10</f>
        <v/>
      </c>
      <c r="D1364">
        <f>B1364=C1364</f>
        <v/>
      </c>
      <c r="E1364">
        <f>INT(B1364*10)=A1364</f>
        <v/>
      </c>
      <c r="F1364">
        <f>B1364&gt;=C1364</f>
        <v/>
      </c>
      <c r="G1364">
        <f>ROUND(G1363+0.1,1)</f>
        <v/>
      </c>
      <c r="H1364">
        <f>G1364=C1364</f>
        <v/>
      </c>
      <c r="I1364">
        <f>TEXT(B1364,"0.00000000000000")</f>
        <v/>
      </c>
    </row>
    <row r="1365">
      <c r="A1365" t="n">
        <v>1358</v>
      </c>
      <c r="B1365">
        <f>B1364+0.1</f>
        <v/>
      </c>
      <c r="C1365">
        <f>A1365/10</f>
        <v/>
      </c>
      <c r="D1365">
        <f>B1365=C1365</f>
        <v/>
      </c>
      <c r="E1365">
        <f>INT(B1365*10)=A1365</f>
        <v/>
      </c>
      <c r="F1365">
        <f>B1365&gt;=C1365</f>
        <v/>
      </c>
      <c r="G1365">
        <f>ROUND(G1364+0.1,1)</f>
        <v/>
      </c>
      <c r="H1365">
        <f>G1365=C1365</f>
        <v/>
      </c>
      <c r="I1365">
        <f>TEXT(B1365,"0.00000000000000")</f>
        <v/>
      </c>
    </row>
    <row r="1366">
      <c r="A1366" t="n">
        <v>1359</v>
      </c>
      <c r="B1366">
        <f>B1365+0.1</f>
        <v/>
      </c>
      <c r="C1366">
        <f>A1366/10</f>
        <v/>
      </c>
      <c r="D1366">
        <f>B1366=C1366</f>
        <v/>
      </c>
      <c r="E1366">
        <f>INT(B1366*10)=A1366</f>
        <v/>
      </c>
      <c r="F1366">
        <f>B1366&gt;=C1366</f>
        <v/>
      </c>
      <c r="G1366">
        <f>ROUND(G1365+0.1,1)</f>
        <v/>
      </c>
      <c r="H1366">
        <f>G1366=C1366</f>
        <v/>
      </c>
      <c r="I1366">
        <f>TEXT(B1366,"0.00000000000000")</f>
        <v/>
      </c>
    </row>
    <row r="1367">
      <c r="A1367" t="n">
        <v>1360</v>
      </c>
      <c r="B1367">
        <f>B1366+0.1</f>
        <v/>
      </c>
      <c r="C1367">
        <f>A1367/10</f>
        <v/>
      </c>
      <c r="D1367">
        <f>B1367=C1367</f>
        <v/>
      </c>
      <c r="E1367">
        <f>INT(B1367*10)=A1367</f>
        <v/>
      </c>
      <c r="F1367">
        <f>B1367&gt;=C1367</f>
        <v/>
      </c>
      <c r="G1367">
        <f>ROUND(G1366+0.1,1)</f>
        <v/>
      </c>
      <c r="H1367">
        <f>G1367=C1367</f>
        <v/>
      </c>
      <c r="I1367">
        <f>TEXT(B1367,"0.00000000000000")</f>
        <v/>
      </c>
    </row>
    <row r="1368">
      <c r="A1368" t="n">
        <v>1361</v>
      </c>
      <c r="B1368">
        <f>B1367+0.1</f>
        <v/>
      </c>
      <c r="C1368">
        <f>A1368/10</f>
        <v/>
      </c>
      <c r="D1368">
        <f>B1368=C1368</f>
        <v/>
      </c>
      <c r="E1368">
        <f>INT(B1368*10)=A1368</f>
        <v/>
      </c>
      <c r="F1368">
        <f>B1368&gt;=C1368</f>
        <v/>
      </c>
      <c r="G1368">
        <f>ROUND(G1367+0.1,1)</f>
        <v/>
      </c>
      <c r="H1368">
        <f>G1368=C1368</f>
        <v/>
      </c>
      <c r="I1368">
        <f>TEXT(B1368,"0.00000000000000")</f>
        <v/>
      </c>
    </row>
    <row r="1369">
      <c r="A1369" t="n">
        <v>1362</v>
      </c>
      <c r="B1369">
        <f>B1368+0.1</f>
        <v/>
      </c>
      <c r="C1369">
        <f>A1369/10</f>
        <v/>
      </c>
      <c r="D1369">
        <f>B1369=C1369</f>
        <v/>
      </c>
      <c r="E1369">
        <f>INT(B1369*10)=A1369</f>
        <v/>
      </c>
      <c r="F1369">
        <f>B1369&gt;=C1369</f>
        <v/>
      </c>
      <c r="G1369">
        <f>ROUND(G1368+0.1,1)</f>
        <v/>
      </c>
      <c r="H1369">
        <f>G1369=C1369</f>
        <v/>
      </c>
      <c r="I1369">
        <f>TEXT(B1369,"0.00000000000000")</f>
        <v/>
      </c>
    </row>
    <row r="1370">
      <c r="A1370" t="n">
        <v>1363</v>
      </c>
      <c r="B1370">
        <f>B1369+0.1</f>
        <v/>
      </c>
      <c r="C1370">
        <f>A1370/10</f>
        <v/>
      </c>
      <c r="D1370">
        <f>B1370=C1370</f>
        <v/>
      </c>
      <c r="E1370">
        <f>INT(B1370*10)=A1370</f>
        <v/>
      </c>
      <c r="F1370">
        <f>B1370&gt;=C1370</f>
        <v/>
      </c>
      <c r="G1370">
        <f>ROUND(G1369+0.1,1)</f>
        <v/>
      </c>
      <c r="H1370">
        <f>G1370=C1370</f>
        <v/>
      </c>
      <c r="I1370">
        <f>TEXT(B1370,"0.00000000000000")</f>
        <v/>
      </c>
    </row>
    <row r="1371">
      <c r="A1371" t="n">
        <v>1364</v>
      </c>
      <c r="B1371">
        <f>B1370+0.1</f>
        <v/>
      </c>
      <c r="C1371">
        <f>A1371/10</f>
        <v/>
      </c>
      <c r="D1371">
        <f>B1371=C1371</f>
        <v/>
      </c>
      <c r="E1371">
        <f>INT(B1371*10)=A1371</f>
        <v/>
      </c>
      <c r="F1371">
        <f>B1371&gt;=C1371</f>
        <v/>
      </c>
      <c r="G1371">
        <f>ROUND(G1370+0.1,1)</f>
        <v/>
      </c>
      <c r="H1371">
        <f>G1371=C1371</f>
        <v/>
      </c>
      <c r="I1371">
        <f>TEXT(B1371,"0.00000000000000")</f>
        <v/>
      </c>
    </row>
    <row r="1372">
      <c r="A1372" t="n">
        <v>1365</v>
      </c>
      <c r="B1372">
        <f>B1371+0.1</f>
        <v/>
      </c>
      <c r="C1372">
        <f>A1372/10</f>
        <v/>
      </c>
      <c r="D1372">
        <f>B1372=C1372</f>
        <v/>
      </c>
      <c r="E1372">
        <f>INT(B1372*10)=A1372</f>
        <v/>
      </c>
      <c r="F1372">
        <f>B1372&gt;=C1372</f>
        <v/>
      </c>
      <c r="G1372">
        <f>ROUND(G1371+0.1,1)</f>
        <v/>
      </c>
      <c r="H1372">
        <f>G1372=C1372</f>
        <v/>
      </c>
      <c r="I1372">
        <f>TEXT(B1372,"0.00000000000000")</f>
        <v/>
      </c>
    </row>
    <row r="1373">
      <c r="A1373" t="n">
        <v>1366</v>
      </c>
      <c r="B1373">
        <f>B1372+0.1</f>
        <v/>
      </c>
      <c r="C1373">
        <f>A1373/10</f>
        <v/>
      </c>
      <c r="D1373">
        <f>B1373=C1373</f>
        <v/>
      </c>
      <c r="E1373">
        <f>INT(B1373*10)=A1373</f>
        <v/>
      </c>
      <c r="F1373">
        <f>B1373&gt;=C1373</f>
        <v/>
      </c>
      <c r="G1373">
        <f>ROUND(G1372+0.1,1)</f>
        <v/>
      </c>
      <c r="H1373">
        <f>G1373=C1373</f>
        <v/>
      </c>
      <c r="I1373">
        <f>TEXT(B1373,"0.00000000000000")</f>
        <v/>
      </c>
    </row>
    <row r="1374">
      <c r="A1374" t="n">
        <v>1367</v>
      </c>
      <c r="B1374">
        <f>B1373+0.1</f>
        <v/>
      </c>
      <c r="C1374">
        <f>A1374/10</f>
        <v/>
      </c>
      <c r="D1374">
        <f>B1374=C1374</f>
        <v/>
      </c>
      <c r="E1374">
        <f>INT(B1374*10)=A1374</f>
        <v/>
      </c>
      <c r="F1374">
        <f>B1374&gt;=C1374</f>
        <v/>
      </c>
      <c r="G1374">
        <f>ROUND(G1373+0.1,1)</f>
        <v/>
      </c>
      <c r="H1374">
        <f>G1374=C1374</f>
        <v/>
      </c>
      <c r="I1374">
        <f>TEXT(B1374,"0.00000000000000")</f>
        <v/>
      </c>
    </row>
    <row r="1375">
      <c r="A1375" t="n">
        <v>1368</v>
      </c>
      <c r="B1375">
        <f>B1374+0.1</f>
        <v/>
      </c>
      <c r="C1375">
        <f>A1375/10</f>
        <v/>
      </c>
      <c r="D1375">
        <f>B1375=C1375</f>
        <v/>
      </c>
      <c r="E1375">
        <f>INT(B1375*10)=A1375</f>
        <v/>
      </c>
      <c r="F1375">
        <f>B1375&gt;=C1375</f>
        <v/>
      </c>
      <c r="G1375">
        <f>ROUND(G1374+0.1,1)</f>
        <v/>
      </c>
      <c r="H1375">
        <f>G1375=C1375</f>
        <v/>
      </c>
      <c r="I1375">
        <f>TEXT(B1375,"0.00000000000000")</f>
        <v/>
      </c>
    </row>
    <row r="1376">
      <c r="A1376" t="n">
        <v>1369</v>
      </c>
      <c r="B1376">
        <f>B1375+0.1</f>
        <v/>
      </c>
      <c r="C1376">
        <f>A1376/10</f>
        <v/>
      </c>
      <c r="D1376">
        <f>B1376=C1376</f>
        <v/>
      </c>
      <c r="E1376">
        <f>INT(B1376*10)=A1376</f>
        <v/>
      </c>
      <c r="F1376">
        <f>B1376&gt;=C1376</f>
        <v/>
      </c>
      <c r="G1376">
        <f>ROUND(G1375+0.1,1)</f>
        <v/>
      </c>
      <c r="H1376">
        <f>G1376=C1376</f>
        <v/>
      </c>
      <c r="I1376">
        <f>TEXT(B1376,"0.00000000000000")</f>
        <v/>
      </c>
    </row>
    <row r="1377">
      <c r="A1377" t="n">
        <v>1370</v>
      </c>
      <c r="B1377">
        <f>B1376+0.1</f>
        <v/>
      </c>
      <c r="C1377">
        <f>A1377/10</f>
        <v/>
      </c>
      <c r="D1377">
        <f>B1377=C1377</f>
        <v/>
      </c>
      <c r="E1377">
        <f>INT(B1377*10)=A1377</f>
        <v/>
      </c>
      <c r="F1377">
        <f>B1377&gt;=C1377</f>
        <v/>
      </c>
      <c r="G1377">
        <f>ROUND(G1376+0.1,1)</f>
        <v/>
      </c>
      <c r="H1377">
        <f>G1377=C1377</f>
        <v/>
      </c>
      <c r="I1377">
        <f>TEXT(B1377,"0.00000000000000")</f>
        <v/>
      </c>
    </row>
    <row r="1378">
      <c r="A1378" t="n">
        <v>1371</v>
      </c>
      <c r="B1378">
        <f>B1377+0.1</f>
        <v/>
      </c>
      <c r="C1378">
        <f>A1378/10</f>
        <v/>
      </c>
      <c r="D1378">
        <f>B1378=C1378</f>
        <v/>
      </c>
      <c r="E1378">
        <f>INT(B1378*10)=A1378</f>
        <v/>
      </c>
      <c r="F1378">
        <f>B1378&gt;=C1378</f>
        <v/>
      </c>
      <c r="G1378">
        <f>ROUND(G1377+0.1,1)</f>
        <v/>
      </c>
      <c r="H1378">
        <f>G1378=C1378</f>
        <v/>
      </c>
      <c r="I1378">
        <f>TEXT(B1378,"0.00000000000000")</f>
        <v/>
      </c>
    </row>
    <row r="1379">
      <c r="A1379" t="n">
        <v>1372</v>
      </c>
      <c r="B1379">
        <f>B1378+0.1</f>
        <v/>
      </c>
      <c r="C1379">
        <f>A1379/10</f>
        <v/>
      </c>
      <c r="D1379">
        <f>B1379=C1379</f>
        <v/>
      </c>
      <c r="E1379">
        <f>INT(B1379*10)=A1379</f>
        <v/>
      </c>
      <c r="F1379">
        <f>B1379&gt;=C1379</f>
        <v/>
      </c>
      <c r="G1379">
        <f>ROUND(G1378+0.1,1)</f>
        <v/>
      </c>
      <c r="H1379">
        <f>G1379=C1379</f>
        <v/>
      </c>
      <c r="I1379">
        <f>TEXT(B1379,"0.00000000000000")</f>
        <v/>
      </c>
    </row>
    <row r="1380">
      <c r="A1380" t="n">
        <v>1373</v>
      </c>
      <c r="B1380">
        <f>B1379+0.1</f>
        <v/>
      </c>
      <c r="C1380">
        <f>A1380/10</f>
        <v/>
      </c>
      <c r="D1380">
        <f>B1380=C1380</f>
        <v/>
      </c>
      <c r="E1380">
        <f>INT(B1380*10)=A1380</f>
        <v/>
      </c>
      <c r="F1380">
        <f>B1380&gt;=C1380</f>
        <v/>
      </c>
      <c r="G1380">
        <f>ROUND(G1379+0.1,1)</f>
        <v/>
      </c>
      <c r="H1380">
        <f>G1380=C1380</f>
        <v/>
      </c>
      <c r="I1380">
        <f>TEXT(B1380,"0.00000000000000")</f>
        <v/>
      </c>
    </row>
    <row r="1381">
      <c r="A1381" t="n">
        <v>1374</v>
      </c>
      <c r="B1381">
        <f>B1380+0.1</f>
        <v/>
      </c>
      <c r="C1381">
        <f>A1381/10</f>
        <v/>
      </c>
      <c r="D1381">
        <f>B1381=C1381</f>
        <v/>
      </c>
      <c r="E1381">
        <f>INT(B1381*10)=A1381</f>
        <v/>
      </c>
      <c r="F1381">
        <f>B1381&gt;=C1381</f>
        <v/>
      </c>
      <c r="G1381">
        <f>ROUND(G1380+0.1,1)</f>
        <v/>
      </c>
      <c r="H1381">
        <f>G1381=C1381</f>
        <v/>
      </c>
      <c r="I1381">
        <f>TEXT(B1381,"0.00000000000000")</f>
        <v/>
      </c>
    </row>
    <row r="1382">
      <c r="A1382" t="n">
        <v>1375</v>
      </c>
      <c r="B1382">
        <f>B1381+0.1</f>
        <v/>
      </c>
      <c r="C1382">
        <f>A1382/10</f>
        <v/>
      </c>
      <c r="D1382">
        <f>B1382=C1382</f>
        <v/>
      </c>
      <c r="E1382">
        <f>INT(B1382*10)=A1382</f>
        <v/>
      </c>
      <c r="F1382">
        <f>B1382&gt;=C1382</f>
        <v/>
      </c>
      <c r="G1382">
        <f>ROUND(G1381+0.1,1)</f>
        <v/>
      </c>
      <c r="H1382">
        <f>G1382=C1382</f>
        <v/>
      </c>
      <c r="I1382">
        <f>TEXT(B1382,"0.00000000000000")</f>
        <v/>
      </c>
    </row>
    <row r="1383">
      <c r="A1383" t="n">
        <v>1376</v>
      </c>
      <c r="B1383">
        <f>B1382+0.1</f>
        <v/>
      </c>
      <c r="C1383">
        <f>A1383/10</f>
        <v/>
      </c>
      <c r="D1383">
        <f>B1383=C1383</f>
        <v/>
      </c>
      <c r="E1383">
        <f>INT(B1383*10)=A1383</f>
        <v/>
      </c>
      <c r="F1383">
        <f>B1383&gt;=C1383</f>
        <v/>
      </c>
      <c r="G1383">
        <f>ROUND(G1382+0.1,1)</f>
        <v/>
      </c>
      <c r="H1383">
        <f>G1383=C1383</f>
        <v/>
      </c>
      <c r="I1383">
        <f>TEXT(B1383,"0.00000000000000")</f>
        <v/>
      </c>
    </row>
    <row r="1384">
      <c r="A1384" t="n">
        <v>1377</v>
      </c>
      <c r="B1384">
        <f>B1383+0.1</f>
        <v/>
      </c>
      <c r="C1384">
        <f>A1384/10</f>
        <v/>
      </c>
      <c r="D1384">
        <f>B1384=C1384</f>
        <v/>
      </c>
      <c r="E1384">
        <f>INT(B1384*10)=A1384</f>
        <v/>
      </c>
      <c r="F1384">
        <f>B1384&gt;=C1384</f>
        <v/>
      </c>
      <c r="G1384">
        <f>ROUND(G1383+0.1,1)</f>
        <v/>
      </c>
      <c r="H1384">
        <f>G1384=C1384</f>
        <v/>
      </c>
      <c r="I1384">
        <f>TEXT(B1384,"0.00000000000000")</f>
        <v/>
      </c>
    </row>
    <row r="1385">
      <c r="A1385" t="n">
        <v>1378</v>
      </c>
      <c r="B1385">
        <f>B1384+0.1</f>
        <v/>
      </c>
      <c r="C1385">
        <f>A1385/10</f>
        <v/>
      </c>
      <c r="D1385">
        <f>B1385=C1385</f>
        <v/>
      </c>
      <c r="E1385">
        <f>INT(B1385*10)=A1385</f>
        <v/>
      </c>
      <c r="F1385">
        <f>B1385&gt;=C1385</f>
        <v/>
      </c>
      <c r="G1385">
        <f>ROUND(G1384+0.1,1)</f>
        <v/>
      </c>
      <c r="H1385">
        <f>G1385=C1385</f>
        <v/>
      </c>
      <c r="I1385">
        <f>TEXT(B1385,"0.00000000000000")</f>
        <v/>
      </c>
    </row>
    <row r="1386">
      <c r="A1386" t="n">
        <v>1379</v>
      </c>
      <c r="B1386">
        <f>B1385+0.1</f>
        <v/>
      </c>
      <c r="C1386">
        <f>A1386/10</f>
        <v/>
      </c>
      <c r="D1386">
        <f>B1386=C1386</f>
        <v/>
      </c>
      <c r="E1386">
        <f>INT(B1386*10)=A1386</f>
        <v/>
      </c>
      <c r="F1386">
        <f>B1386&gt;=C1386</f>
        <v/>
      </c>
      <c r="G1386">
        <f>ROUND(G1385+0.1,1)</f>
        <v/>
      </c>
      <c r="H1386">
        <f>G1386=C1386</f>
        <v/>
      </c>
      <c r="I1386">
        <f>TEXT(B1386,"0.00000000000000")</f>
        <v/>
      </c>
    </row>
    <row r="1387">
      <c r="A1387" t="n">
        <v>1380</v>
      </c>
      <c r="B1387">
        <f>B1386+0.1</f>
        <v/>
      </c>
      <c r="C1387">
        <f>A1387/10</f>
        <v/>
      </c>
      <c r="D1387">
        <f>B1387=C1387</f>
        <v/>
      </c>
      <c r="E1387">
        <f>INT(B1387*10)=A1387</f>
        <v/>
      </c>
      <c r="F1387">
        <f>B1387&gt;=C1387</f>
        <v/>
      </c>
      <c r="G1387">
        <f>ROUND(G1386+0.1,1)</f>
        <v/>
      </c>
      <c r="H1387">
        <f>G1387=C1387</f>
        <v/>
      </c>
      <c r="I1387">
        <f>TEXT(B1387,"0.00000000000000")</f>
        <v/>
      </c>
    </row>
    <row r="1388">
      <c r="A1388" t="n">
        <v>1381</v>
      </c>
      <c r="B1388">
        <f>B1387+0.1</f>
        <v/>
      </c>
      <c r="C1388">
        <f>A1388/10</f>
        <v/>
      </c>
      <c r="D1388">
        <f>B1388=C1388</f>
        <v/>
      </c>
      <c r="E1388">
        <f>INT(B1388*10)=A1388</f>
        <v/>
      </c>
      <c r="F1388">
        <f>B1388&gt;=C1388</f>
        <v/>
      </c>
      <c r="G1388">
        <f>ROUND(G1387+0.1,1)</f>
        <v/>
      </c>
      <c r="H1388">
        <f>G1388=C1388</f>
        <v/>
      </c>
      <c r="I1388">
        <f>TEXT(B1388,"0.00000000000000")</f>
        <v/>
      </c>
    </row>
    <row r="1389">
      <c r="A1389" t="n">
        <v>1382</v>
      </c>
      <c r="B1389">
        <f>B1388+0.1</f>
        <v/>
      </c>
      <c r="C1389">
        <f>A1389/10</f>
        <v/>
      </c>
      <c r="D1389">
        <f>B1389=C1389</f>
        <v/>
      </c>
      <c r="E1389">
        <f>INT(B1389*10)=A1389</f>
        <v/>
      </c>
      <c r="F1389">
        <f>B1389&gt;=C1389</f>
        <v/>
      </c>
      <c r="G1389">
        <f>ROUND(G1388+0.1,1)</f>
        <v/>
      </c>
      <c r="H1389">
        <f>G1389=C1389</f>
        <v/>
      </c>
      <c r="I1389">
        <f>TEXT(B1389,"0.00000000000000")</f>
        <v/>
      </c>
    </row>
    <row r="1390">
      <c r="A1390" t="n">
        <v>1383</v>
      </c>
      <c r="B1390">
        <f>B1389+0.1</f>
        <v/>
      </c>
      <c r="C1390">
        <f>A1390/10</f>
        <v/>
      </c>
      <c r="D1390">
        <f>B1390=C1390</f>
        <v/>
      </c>
      <c r="E1390">
        <f>INT(B1390*10)=A1390</f>
        <v/>
      </c>
      <c r="F1390">
        <f>B1390&gt;=C1390</f>
        <v/>
      </c>
      <c r="G1390">
        <f>ROUND(G1389+0.1,1)</f>
        <v/>
      </c>
      <c r="H1390">
        <f>G1390=C1390</f>
        <v/>
      </c>
      <c r="I1390">
        <f>TEXT(B1390,"0.00000000000000")</f>
        <v/>
      </c>
    </row>
    <row r="1391">
      <c r="A1391" t="n">
        <v>1384</v>
      </c>
      <c r="B1391">
        <f>B1390+0.1</f>
        <v/>
      </c>
      <c r="C1391">
        <f>A1391/10</f>
        <v/>
      </c>
      <c r="D1391">
        <f>B1391=C1391</f>
        <v/>
      </c>
      <c r="E1391">
        <f>INT(B1391*10)=A1391</f>
        <v/>
      </c>
      <c r="F1391">
        <f>B1391&gt;=C1391</f>
        <v/>
      </c>
      <c r="G1391">
        <f>ROUND(G1390+0.1,1)</f>
        <v/>
      </c>
      <c r="H1391">
        <f>G1391=C1391</f>
        <v/>
      </c>
      <c r="I1391">
        <f>TEXT(B1391,"0.00000000000000")</f>
        <v/>
      </c>
    </row>
    <row r="1392">
      <c r="A1392" t="n">
        <v>1385</v>
      </c>
      <c r="B1392">
        <f>B1391+0.1</f>
        <v/>
      </c>
      <c r="C1392">
        <f>A1392/10</f>
        <v/>
      </c>
      <c r="D1392">
        <f>B1392=C1392</f>
        <v/>
      </c>
      <c r="E1392">
        <f>INT(B1392*10)=A1392</f>
        <v/>
      </c>
      <c r="F1392">
        <f>B1392&gt;=C1392</f>
        <v/>
      </c>
      <c r="G1392">
        <f>ROUND(G1391+0.1,1)</f>
        <v/>
      </c>
      <c r="H1392">
        <f>G1392=C1392</f>
        <v/>
      </c>
      <c r="I1392">
        <f>TEXT(B1392,"0.00000000000000")</f>
        <v/>
      </c>
    </row>
    <row r="1393">
      <c r="A1393" t="n">
        <v>1386</v>
      </c>
      <c r="B1393">
        <f>B1392+0.1</f>
        <v/>
      </c>
      <c r="C1393">
        <f>A1393/10</f>
        <v/>
      </c>
      <c r="D1393">
        <f>B1393=C1393</f>
        <v/>
      </c>
      <c r="E1393">
        <f>INT(B1393*10)=A1393</f>
        <v/>
      </c>
      <c r="F1393">
        <f>B1393&gt;=C1393</f>
        <v/>
      </c>
      <c r="G1393">
        <f>ROUND(G1392+0.1,1)</f>
        <v/>
      </c>
      <c r="H1393">
        <f>G1393=C1393</f>
        <v/>
      </c>
      <c r="I1393">
        <f>TEXT(B1393,"0.00000000000000")</f>
        <v/>
      </c>
    </row>
    <row r="1394">
      <c r="A1394" t="n">
        <v>1387</v>
      </c>
      <c r="B1394">
        <f>B1393+0.1</f>
        <v/>
      </c>
      <c r="C1394">
        <f>A1394/10</f>
        <v/>
      </c>
      <c r="D1394">
        <f>B1394=C1394</f>
        <v/>
      </c>
      <c r="E1394">
        <f>INT(B1394*10)=A1394</f>
        <v/>
      </c>
      <c r="F1394">
        <f>B1394&gt;=C1394</f>
        <v/>
      </c>
      <c r="G1394">
        <f>ROUND(G1393+0.1,1)</f>
        <v/>
      </c>
      <c r="H1394">
        <f>G1394=C1394</f>
        <v/>
      </c>
      <c r="I1394">
        <f>TEXT(B1394,"0.00000000000000")</f>
        <v/>
      </c>
    </row>
    <row r="1395">
      <c r="A1395" t="n">
        <v>1388</v>
      </c>
      <c r="B1395">
        <f>B1394+0.1</f>
        <v/>
      </c>
      <c r="C1395">
        <f>A1395/10</f>
        <v/>
      </c>
      <c r="D1395">
        <f>B1395=C1395</f>
        <v/>
      </c>
      <c r="E1395">
        <f>INT(B1395*10)=A1395</f>
        <v/>
      </c>
      <c r="F1395">
        <f>B1395&gt;=C1395</f>
        <v/>
      </c>
      <c r="G1395">
        <f>ROUND(G1394+0.1,1)</f>
        <v/>
      </c>
      <c r="H1395">
        <f>G1395=C1395</f>
        <v/>
      </c>
      <c r="I1395">
        <f>TEXT(B1395,"0.00000000000000")</f>
        <v/>
      </c>
    </row>
    <row r="1396">
      <c r="A1396" t="n">
        <v>1389</v>
      </c>
      <c r="B1396">
        <f>B1395+0.1</f>
        <v/>
      </c>
      <c r="C1396">
        <f>A1396/10</f>
        <v/>
      </c>
      <c r="D1396">
        <f>B1396=C1396</f>
        <v/>
      </c>
      <c r="E1396">
        <f>INT(B1396*10)=A1396</f>
        <v/>
      </c>
      <c r="F1396">
        <f>B1396&gt;=C1396</f>
        <v/>
      </c>
      <c r="G1396">
        <f>ROUND(G1395+0.1,1)</f>
        <v/>
      </c>
      <c r="H1396">
        <f>G1396=C1396</f>
        <v/>
      </c>
      <c r="I1396">
        <f>TEXT(B1396,"0.00000000000000")</f>
        <v/>
      </c>
    </row>
    <row r="1397">
      <c r="A1397" t="n">
        <v>1390</v>
      </c>
      <c r="B1397">
        <f>B1396+0.1</f>
        <v/>
      </c>
      <c r="C1397">
        <f>A1397/10</f>
        <v/>
      </c>
      <c r="D1397">
        <f>B1397=C1397</f>
        <v/>
      </c>
      <c r="E1397">
        <f>INT(B1397*10)=A1397</f>
        <v/>
      </c>
      <c r="F1397">
        <f>B1397&gt;=C1397</f>
        <v/>
      </c>
      <c r="G1397">
        <f>ROUND(G1396+0.1,1)</f>
        <v/>
      </c>
      <c r="H1397">
        <f>G1397=C1397</f>
        <v/>
      </c>
      <c r="I1397">
        <f>TEXT(B1397,"0.00000000000000")</f>
        <v/>
      </c>
    </row>
    <row r="1398">
      <c r="A1398" t="n">
        <v>1391</v>
      </c>
      <c r="B1398">
        <f>B1397+0.1</f>
        <v/>
      </c>
      <c r="C1398">
        <f>A1398/10</f>
        <v/>
      </c>
      <c r="D1398">
        <f>B1398=C1398</f>
        <v/>
      </c>
      <c r="E1398">
        <f>INT(B1398*10)=A1398</f>
        <v/>
      </c>
      <c r="F1398">
        <f>B1398&gt;=C1398</f>
        <v/>
      </c>
      <c r="G1398">
        <f>ROUND(G1397+0.1,1)</f>
        <v/>
      </c>
      <c r="H1398">
        <f>G1398=C1398</f>
        <v/>
      </c>
      <c r="I1398">
        <f>TEXT(B1398,"0.00000000000000")</f>
        <v/>
      </c>
    </row>
    <row r="1399">
      <c r="A1399" t="n">
        <v>1392</v>
      </c>
      <c r="B1399">
        <f>B1398+0.1</f>
        <v/>
      </c>
      <c r="C1399">
        <f>A1399/10</f>
        <v/>
      </c>
      <c r="D1399">
        <f>B1399=C1399</f>
        <v/>
      </c>
      <c r="E1399">
        <f>INT(B1399*10)=A1399</f>
        <v/>
      </c>
      <c r="F1399">
        <f>B1399&gt;=C1399</f>
        <v/>
      </c>
      <c r="G1399">
        <f>ROUND(G1398+0.1,1)</f>
        <v/>
      </c>
      <c r="H1399">
        <f>G1399=C1399</f>
        <v/>
      </c>
      <c r="I1399">
        <f>TEXT(B1399,"0.00000000000000")</f>
        <v/>
      </c>
    </row>
    <row r="1400">
      <c r="A1400" t="n">
        <v>1393</v>
      </c>
      <c r="B1400">
        <f>B1399+0.1</f>
        <v/>
      </c>
      <c r="C1400">
        <f>A1400/10</f>
        <v/>
      </c>
      <c r="D1400">
        <f>B1400=C1400</f>
        <v/>
      </c>
      <c r="E1400">
        <f>INT(B1400*10)=A1400</f>
        <v/>
      </c>
      <c r="F1400">
        <f>B1400&gt;=C1400</f>
        <v/>
      </c>
      <c r="G1400">
        <f>ROUND(G1399+0.1,1)</f>
        <v/>
      </c>
      <c r="H1400">
        <f>G1400=C1400</f>
        <v/>
      </c>
      <c r="I1400">
        <f>TEXT(B1400,"0.00000000000000")</f>
        <v/>
      </c>
    </row>
    <row r="1401">
      <c r="A1401" t="n">
        <v>1394</v>
      </c>
      <c r="B1401">
        <f>B1400+0.1</f>
        <v/>
      </c>
      <c r="C1401">
        <f>A1401/10</f>
        <v/>
      </c>
      <c r="D1401">
        <f>B1401=C1401</f>
        <v/>
      </c>
      <c r="E1401">
        <f>INT(B1401*10)=A1401</f>
        <v/>
      </c>
      <c r="F1401">
        <f>B1401&gt;=C1401</f>
        <v/>
      </c>
      <c r="G1401">
        <f>ROUND(G1400+0.1,1)</f>
        <v/>
      </c>
      <c r="H1401">
        <f>G1401=C1401</f>
        <v/>
      </c>
      <c r="I1401">
        <f>TEXT(B1401,"0.00000000000000")</f>
        <v/>
      </c>
    </row>
    <row r="1402">
      <c r="A1402" t="n">
        <v>1395</v>
      </c>
      <c r="B1402">
        <f>B1401+0.1</f>
        <v/>
      </c>
      <c r="C1402">
        <f>A1402/10</f>
        <v/>
      </c>
      <c r="D1402">
        <f>B1402=C1402</f>
        <v/>
      </c>
      <c r="E1402">
        <f>INT(B1402*10)=A1402</f>
        <v/>
      </c>
      <c r="F1402">
        <f>B1402&gt;=C1402</f>
        <v/>
      </c>
      <c r="G1402">
        <f>ROUND(G1401+0.1,1)</f>
        <v/>
      </c>
      <c r="H1402">
        <f>G1402=C1402</f>
        <v/>
      </c>
      <c r="I1402">
        <f>TEXT(B1402,"0.00000000000000")</f>
        <v/>
      </c>
    </row>
    <row r="1403">
      <c r="A1403" t="n">
        <v>1396</v>
      </c>
      <c r="B1403">
        <f>B1402+0.1</f>
        <v/>
      </c>
      <c r="C1403">
        <f>A1403/10</f>
        <v/>
      </c>
      <c r="D1403">
        <f>B1403=C1403</f>
        <v/>
      </c>
      <c r="E1403">
        <f>INT(B1403*10)=A1403</f>
        <v/>
      </c>
      <c r="F1403">
        <f>B1403&gt;=C1403</f>
        <v/>
      </c>
      <c r="G1403">
        <f>ROUND(G1402+0.1,1)</f>
        <v/>
      </c>
      <c r="H1403">
        <f>G1403=C1403</f>
        <v/>
      </c>
      <c r="I1403">
        <f>TEXT(B1403,"0.00000000000000")</f>
        <v/>
      </c>
    </row>
    <row r="1404">
      <c r="A1404" t="n">
        <v>1397</v>
      </c>
      <c r="B1404">
        <f>B1403+0.1</f>
        <v/>
      </c>
      <c r="C1404">
        <f>A1404/10</f>
        <v/>
      </c>
      <c r="D1404">
        <f>B1404=C1404</f>
        <v/>
      </c>
      <c r="E1404">
        <f>INT(B1404*10)=A1404</f>
        <v/>
      </c>
      <c r="F1404">
        <f>B1404&gt;=C1404</f>
        <v/>
      </c>
      <c r="G1404">
        <f>ROUND(G1403+0.1,1)</f>
        <v/>
      </c>
      <c r="H1404">
        <f>G1404=C1404</f>
        <v/>
      </c>
      <c r="I1404">
        <f>TEXT(B1404,"0.00000000000000")</f>
        <v/>
      </c>
    </row>
    <row r="1405">
      <c r="A1405" t="n">
        <v>1398</v>
      </c>
      <c r="B1405">
        <f>B1404+0.1</f>
        <v/>
      </c>
      <c r="C1405">
        <f>A1405/10</f>
        <v/>
      </c>
      <c r="D1405">
        <f>B1405=C1405</f>
        <v/>
      </c>
      <c r="E1405">
        <f>INT(B1405*10)=A1405</f>
        <v/>
      </c>
      <c r="F1405">
        <f>B1405&gt;=C1405</f>
        <v/>
      </c>
      <c r="G1405">
        <f>ROUND(G1404+0.1,1)</f>
        <v/>
      </c>
      <c r="H1405">
        <f>G1405=C1405</f>
        <v/>
      </c>
      <c r="I1405">
        <f>TEXT(B1405,"0.00000000000000")</f>
        <v/>
      </c>
    </row>
    <row r="1406">
      <c r="A1406" t="n">
        <v>1399</v>
      </c>
      <c r="B1406">
        <f>B1405+0.1</f>
        <v/>
      </c>
      <c r="C1406">
        <f>A1406/10</f>
        <v/>
      </c>
      <c r="D1406">
        <f>B1406=C1406</f>
        <v/>
      </c>
      <c r="E1406">
        <f>INT(B1406*10)=A1406</f>
        <v/>
      </c>
      <c r="F1406">
        <f>B1406&gt;=C1406</f>
        <v/>
      </c>
      <c r="G1406">
        <f>ROUND(G1405+0.1,1)</f>
        <v/>
      </c>
      <c r="H1406">
        <f>G1406=C1406</f>
        <v/>
      </c>
      <c r="I1406">
        <f>TEXT(B1406,"0.00000000000000")</f>
        <v/>
      </c>
    </row>
    <row r="1407">
      <c r="A1407" t="n">
        <v>1400</v>
      </c>
      <c r="B1407">
        <f>B1406+0.1</f>
        <v/>
      </c>
      <c r="C1407">
        <f>A1407/10</f>
        <v/>
      </c>
      <c r="D1407">
        <f>B1407=C1407</f>
        <v/>
      </c>
      <c r="E1407">
        <f>INT(B1407*10)=A1407</f>
        <v/>
      </c>
      <c r="F1407">
        <f>B1407&gt;=C1407</f>
        <v/>
      </c>
      <c r="G1407">
        <f>ROUND(G1406+0.1,1)</f>
        <v/>
      </c>
      <c r="H1407">
        <f>G1407=C1407</f>
        <v/>
      </c>
      <c r="I1407">
        <f>TEXT(B1407,"0.00000000000000")</f>
        <v/>
      </c>
    </row>
    <row r="1408">
      <c r="A1408" t="n">
        <v>1401</v>
      </c>
      <c r="B1408">
        <f>B1407+0.1</f>
        <v/>
      </c>
      <c r="C1408">
        <f>A1408/10</f>
        <v/>
      </c>
      <c r="D1408">
        <f>B1408=C1408</f>
        <v/>
      </c>
      <c r="E1408">
        <f>INT(B1408*10)=A1408</f>
        <v/>
      </c>
      <c r="F1408">
        <f>B1408&gt;=C1408</f>
        <v/>
      </c>
      <c r="G1408">
        <f>ROUND(G1407+0.1,1)</f>
        <v/>
      </c>
      <c r="H1408">
        <f>G1408=C1408</f>
        <v/>
      </c>
      <c r="I1408">
        <f>TEXT(B1408,"0.00000000000000")</f>
        <v/>
      </c>
    </row>
    <row r="1409">
      <c r="A1409" t="n">
        <v>1402</v>
      </c>
      <c r="B1409">
        <f>B1408+0.1</f>
        <v/>
      </c>
      <c r="C1409">
        <f>A1409/10</f>
        <v/>
      </c>
      <c r="D1409">
        <f>B1409=C1409</f>
        <v/>
      </c>
      <c r="E1409">
        <f>INT(B1409*10)=A1409</f>
        <v/>
      </c>
      <c r="F1409">
        <f>B1409&gt;=C1409</f>
        <v/>
      </c>
      <c r="G1409">
        <f>ROUND(G1408+0.1,1)</f>
        <v/>
      </c>
      <c r="H1409">
        <f>G1409=C1409</f>
        <v/>
      </c>
      <c r="I1409">
        <f>TEXT(B1409,"0.00000000000000")</f>
        <v/>
      </c>
    </row>
    <row r="1410">
      <c r="A1410" t="n">
        <v>1403</v>
      </c>
      <c r="B1410">
        <f>B1409+0.1</f>
        <v/>
      </c>
      <c r="C1410">
        <f>A1410/10</f>
        <v/>
      </c>
      <c r="D1410">
        <f>B1410=C1410</f>
        <v/>
      </c>
      <c r="E1410">
        <f>INT(B1410*10)=A1410</f>
        <v/>
      </c>
      <c r="F1410">
        <f>B1410&gt;=C1410</f>
        <v/>
      </c>
      <c r="G1410">
        <f>ROUND(G1409+0.1,1)</f>
        <v/>
      </c>
      <c r="H1410">
        <f>G1410=C1410</f>
        <v/>
      </c>
      <c r="I1410">
        <f>TEXT(B1410,"0.00000000000000")</f>
        <v/>
      </c>
    </row>
    <row r="1411">
      <c r="A1411" t="n">
        <v>1404</v>
      </c>
      <c r="B1411">
        <f>B1410+0.1</f>
        <v/>
      </c>
      <c r="C1411">
        <f>A1411/10</f>
        <v/>
      </c>
      <c r="D1411">
        <f>B1411=C1411</f>
        <v/>
      </c>
      <c r="E1411">
        <f>INT(B1411*10)=A1411</f>
        <v/>
      </c>
      <c r="F1411">
        <f>B1411&gt;=C1411</f>
        <v/>
      </c>
      <c r="G1411">
        <f>ROUND(G1410+0.1,1)</f>
        <v/>
      </c>
      <c r="H1411">
        <f>G1411=C1411</f>
        <v/>
      </c>
      <c r="I1411">
        <f>TEXT(B1411,"0.00000000000000")</f>
        <v/>
      </c>
    </row>
    <row r="1412">
      <c r="A1412" t="n">
        <v>1405</v>
      </c>
      <c r="B1412">
        <f>B1411+0.1</f>
        <v/>
      </c>
      <c r="C1412">
        <f>A1412/10</f>
        <v/>
      </c>
      <c r="D1412">
        <f>B1412=C1412</f>
        <v/>
      </c>
      <c r="E1412">
        <f>INT(B1412*10)=A1412</f>
        <v/>
      </c>
      <c r="F1412">
        <f>B1412&gt;=C1412</f>
        <v/>
      </c>
      <c r="G1412">
        <f>ROUND(G1411+0.1,1)</f>
        <v/>
      </c>
      <c r="H1412">
        <f>G1412=C1412</f>
        <v/>
      </c>
      <c r="I1412">
        <f>TEXT(B1412,"0.00000000000000")</f>
        <v/>
      </c>
    </row>
    <row r="1413">
      <c r="A1413" t="n">
        <v>1406</v>
      </c>
      <c r="B1413">
        <f>B1412+0.1</f>
        <v/>
      </c>
      <c r="C1413">
        <f>A1413/10</f>
        <v/>
      </c>
      <c r="D1413">
        <f>B1413=C1413</f>
        <v/>
      </c>
      <c r="E1413">
        <f>INT(B1413*10)=A1413</f>
        <v/>
      </c>
      <c r="F1413">
        <f>B1413&gt;=C1413</f>
        <v/>
      </c>
      <c r="G1413">
        <f>ROUND(G1412+0.1,1)</f>
        <v/>
      </c>
      <c r="H1413">
        <f>G1413=C1413</f>
        <v/>
      </c>
      <c r="I1413">
        <f>TEXT(B1413,"0.00000000000000")</f>
        <v/>
      </c>
    </row>
    <row r="1414">
      <c r="A1414" t="n">
        <v>1407</v>
      </c>
      <c r="B1414">
        <f>B1413+0.1</f>
        <v/>
      </c>
      <c r="C1414">
        <f>A1414/10</f>
        <v/>
      </c>
      <c r="D1414">
        <f>B1414=C1414</f>
        <v/>
      </c>
      <c r="E1414">
        <f>INT(B1414*10)=A1414</f>
        <v/>
      </c>
      <c r="F1414">
        <f>B1414&gt;=C1414</f>
        <v/>
      </c>
      <c r="G1414">
        <f>ROUND(G1413+0.1,1)</f>
        <v/>
      </c>
      <c r="H1414">
        <f>G1414=C1414</f>
        <v/>
      </c>
      <c r="I1414">
        <f>TEXT(B1414,"0.00000000000000")</f>
        <v/>
      </c>
    </row>
    <row r="1415">
      <c r="A1415" t="n">
        <v>1408</v>
      </c>
      <c r="B1415">
        <f>B1414+0.1</f>
        <v/>
      </c>
      <c r="C1415">
        <f>A1415/10</f>
        <v/>
      </c>
      <c r="D1415">
        <f>B1415=C1415</f>
        <v/>
      </c>
      <c r="E1415">
        <f>INT(B1415*10)=A1415</f>
        <v/>
      </c>
      <c r="F1415">
        <f>B1415&gt;=C1415</f>
        <v/>
      </c>
      <c r="G1415">
        <f>ROUND(G1414+0.1,1)</f>
        <v/>
      </c>
      <c r="H1415">
        <f>G1415=C1415</f>
        <v/>
      </c>
      <c r="I1415">
        <f>TEXT(B1415,"0.00000000000000")</f>
        <v/>
      </c>
    </row>
    <row r="1416">
      <c r="A1416" t="n">
        <v>1409</v>
      </c>
      <c r="B1416">
        <f>B1415+0.1</f>
        <v/>
      </c>
      <c r="C1416">
        <f>A1416/10</f>
        <v/>
      </c>
      <c r="D1416">
        <f>B1416=C1416</f>
        <v/>
      </c>
      <c r="E1416">
        <f>INT(B1416*10)=A1416</f>
        <v/>
      </c>
      <c r="F1416">
        <f>B1416&gt;=C1416</f>
        <v/>
      </c>
      <c r="G1416">
        <f>ROUND(G1415+0.1,1)</f>
        <v/>
      </c>
      <c r="H1416">
        <f>G1416=C1416</f>
        <v/>
      </c>
      <c r="I1416">
        <f>TEXT(B1416,"0.00000000000000")</f>
        <v/>
      </c>
    </row>
    <row r="1417">
      <c r="A1417" t="n">
        <v>1410</v>
      </c>
      <c r="B1417">
        <f>B1416+0.1</f>
        <v/>
      </c>
      <c r="C1417">
        <f>A1417/10</f>
        <v/>
      </c>
      <c r="D1417">
        <f>B1417=C1417</f>
        <v/>
      </c>
      <c r="E1417">
        <f>INT(B1417*10)=A1417</f>
        <v/>
      </c>
      <c r="F1417">
        <f>B1417&gt;=C1417</f>
        <v/>
      </c>
      <c r="G1417">
        <f>ROUND(G1416+0.1,1)</f>
        <v/>
      </c>
      <c r="H1417">
        <f>G1417=C1417</f>
        <v/>
      </c>
      <c r="I1417">
        <f>TEXT(B1417,"0.00000000000000")</f>
        <v/>
      </c>
    </row>
    <row r="1418">
      <c r="A1418" t="n">
        <v>1411</v>
      </c>
      <c r="B1418">
        <f>B1417+0.1</f>
        <v/>
      </c>
      <c r="C1418">
        <f>A1418/10</f>
        <v/>
      </c>
      <c r="D1418">
        <f>B1418=C1418</f>
        <v/>
      </c>
      <c r="E1418">
        <f>INT(B1418*10)=A1418</f>
        <v/>
      </c>
      <c r="F1418">
        <f>B1418&gt;=C1418</f>
        <v/>
      </c>
      <c r="G1418">
        <f>ROUND(G1417+0.1,1)</f>
        <v/>
      </c>
      <c r="H1418">
        <f>G1418=C1418</f>
        <v/>
      </c>
      <c r="I1418">
        <f>TEXT(B1418,"0.00000000000000")</f>
        <v/>
      </c>
    </row>
    <row r="1419">
      <c r="A1419" t="n">
        <v>1412</v>
      </c>
      <c r="B1419">
        <f>B1418+0.1</f>
        <v/>
      </c>
      <c r="C1419">
        <f>A1419/10</f>
        <v/>
      </c>
      <c r="D1419">
        <f>B1419=C1419</f>
        <v/>
      </c>
      <c r="E1419">
        <f>INT(B1419*10)=A1419</f>
        <v/>
      </c>
      <c r="F1419">
        <f>B1419&gt;=C1419</f>
        <v/>
      </c>
      <c r="G1419">
        <f>ROUND(G1418+0.1,1)</f>
        <v/>
      </c>
      <c r="H1419">
        <f>G1419=C1419</f>
        <v/>
      </c>
      <c r="I1419">
        <f>TEXT(B1419,"0.00000000000000")</f>
        <v/>
      </c>
    </row>
    <row r="1420">
      <c r="A1420" t="n">
        <v>1413</v>
      </c>
      <c r="B1420">
        <f>B1419+0.1</f>
        <v/>
      </c>
      <c r="C1420">
        <f>A1420/10</f>
        <v/>
      </c>
      <c r="D1420">
        <f>B1420=C1420</f>
        <v/>
      </c>
      <c r="E1420">
        <f>INT(B1420*10)=A1420</f>
        <v/>
      </c>
      <c r="F1420">
        <f>B1420&gt;=C1420</f>
        <v/>
      </c>
      <c r="G1420">
        <f>ROUND(G1419+0.1,1)</f>
        <v/>
      </c>
      <c r="H1420">
        <f>G1420=C1420</f>
        <v/>
      </c>
      <c r="I1420">
        <f>TEXT(B1420,"0.00000000000000")</f>
        <v/>
      </c>
    </row>
    <row r="1421">
      <c r="A1421" t="n">
        <v>1414</v>
      </c>
      <c r="B1421">
        <f>B1420+0.1</f>
        <v/>
      </c>
      <c r="C1421">
        <f>A1421/10</f>
        <v/>
      </c>
      <c r="D1421">
        <f>B1421=C1421</f>
        <v/>
      </c>
      <c r="E1421">
        <f>INT(B1421*10)=A1421</f>
        <v/>
      </c>
      <c r="F1421">
        <f>B1421&gt;=C1421</f>
        <v/>
      </c>
      <c r="G1421">
        <f>ROUND(G1420+0.1,1)</f>
        <v/>
      </c>
      <c r="H1421">
        <f>G1421=C1421</f>
        <v/>
      </c>
      <c r="I1421">
        <f>TEXT(B1421,"0.00000000000000")</f>
        <v/>
      </c>
    </row>
    <row r="1422">
      <c r="A1422" t="n">
        <v>1415</v>
      </c>
      <c r="B1422">
        <f>B1421+0.1</f>
        <v/>
      </c>
      <c r="C1422">
        <f>A1422/10</f>
        <v/>
      </c>
      <c r="D1422">
        <f>B1422=C1422</f>
        <v/>
      </c>
      <c r="E1422">
        <f>INT(B1422*10)=A1422</f>
        <v/>
      </c>
      <c r="F1422">
        <f>B1422&gt;=C1422</f>
        <v/>
      </c>
      <c r="G1422">
        <f>ROUND(G1421+0.1,1)</f>
        <v/>
      </c>
      <c r="H1422">
        <f>G1422=C1422</f>
        <v/>
      </c>
      <c r="I1422">
        <f>TEXT(B1422,"0.00000000000000")</f>
        <v/>
      </c>
    </row>
    <row r="1423">
      <c r="A1423" t="n">
        <v>1416</v>
      </c>
      <c r="B1423">
        <f>B1422+0.1</f>
        <v/>
      </c>
      <c r="C1423">
        <f>A1423/10</f>
        <v/>
      </c>
      <c r="D1423">
        <f>B1423=C1423</f>
        <v/>
      </c>
      <c r="E1423">
        <f>INT(B1423*10)=A1423</f>
        <v/>
      </c>
      <c r="F1423">
        <f>B1423&gt;=C1423</f>
        <v/>
      </c>
      <c r="G1423">
        <f>ROUND(G1422+0.1,1)</f>
        <v/>
      </c>
      <c r="H1423">
        <f>G1423=C1423</f>
        <v/>
      </c>
      <c r="I1423">
        <f>TEXT(B1423,"0.00000000000000")</f>
        <v/>
      </c>
    </row>
    <row r="1424">
      <c r="A1424" t="n">
        <v>1417</v>
      </c>
      <c r="B1424">
        <f>B1423+0.1</f>
        <v/>
      </c>
      <c r="C1424">
        <f>A1424/10</f>
        <v/>
      </c>
      <c r="D1424">
        <f>B1424=C1424</f>
        <v/>
      </c>
      <c r="E1424">
        <f>INT(B1424*10)=A1424</f>
        <v/>
      </c>
      <c r="F1424">
        <f>B1424&gt;=C1424</f>
        <v/>
      </c>
      <c r="G1424">
        <f>ROUND(G1423+0.1,1)</f>
        <v/>
      </c>
      <c r="H1424">
        <f>G1424=C1424</f>
        <v/>
      </c>
      <c r="I1424">
        <f>TEXT(B1424,"0.00000000000000")</f>
        <v/>
      </c>
    </row>
    <row r="1425">
      <c r="A1425" t="n">
        <v>1418</v>
      </c>
      <c r="B1425">
        <f>B1424+0.1</f>
        <v/>
      </c>
      <c r="C1425">
        <f>A1425/10</f>
        <v/>
      </c>
      <c r="D1425">
        <f>B1425=C1425</f>
        <v/>
      </c>
      <c r="E1425">
        <f>INT(B1425*10)=A1425</f>
        <v/>
      </c>
      <c r="F1425">
        <f>B1425&gt;=C1425</f>
        <v/>
      </c>
      <c r="G1425">
        <f>ROUND(G1424+0.1,1)</f>
        <v/>
      </c>
      <c r="H1425">
        <f>G1425=C1425</f>
        <v/>
      </c>
      <c r="I1425">
        <f>TEXT(B1425,"0.00000000000000")</f>
        <v/>
      </c>
    </row>
    <row r="1426">
      <c r="A1426" t="n">
        <v>1419</v>
      </c>
      <c r="B1426">
        <f>B1425+0.1</f>
        <v/>
      </c>
      <c r="C1426">
        <f>A1426/10</f>
        <v/>
      </c>
      <c r="D1426">
        <f>B1426=C1426</f>
        <v/>
      </c>
      <c r="E1426">
        <f>INT(B1426*10)=A1426</f>
        <v/>
      </c>
      <c r="F1426">
        <f>B1426&gt;=C1426</f>
        <v/>
      </c>
      <c r="G1426">
        <f>ROUND(G1425+0.1,1)</f>
        <v/>
      </c>
      <c r="H1426">
        <f>G1426=C1426</f>
        <v/>
      </c>
      <c r="I1426">
        <f>TEXT(B1426,"0.00000000000000")</f>
        <v/>
      </c>
    </row>
    <row r="1427">
      <c r="A1427" t="n">
        <v>1420</v>
      </c>
      <c r="B1427">
        <f>B1426+0.1</f>
        <v/>
      </c>
      <c r="C1427">
        <f>A1427/10</f>
        <v/>
      </c>
      <c r="D1427">
        <f>B1427=C1427</f>
        <v/>
      </c>
      <c r="E1427">
        <f>INT(B1427*10)=A1427</f>
        <v/>
      </c>
      <c r="F1427">
        <f>B1427&gt;=C1427</f>
        <v/>
      </c>
      <c r="G1427">
        <f>ROUND(G1426+0.1,1)</f>
        <v/>
      </c>
      <c r="H1427">
        <f>G1427=C1427</f>
        <v/>
      </c>
      <c r="I1427">
        <f>TEXT(B1427,"0.00000000000000")</f>
        <v/>
      </c>
    </row>
    <row r="1428">
      <c r="A1428" t="n">
        <v>1421</v>
      </c>
      <c r="B1428">
        <f>B1427+0.1</f>
        <v/>
      </c>
      <c r="C1428">
        <f>A1428/10</f>
        <v/>
      </c>
      <c r="D1428">
        <f>B1428=C1428</f>
        <v/>
      </c>
      <c r="E1428">
        <f>INT(B1428*10)=A1428</f>
        <v/>
      </c>
      <c r="F1428">
        <f>B1428&gt;=C1428</f>
        <v/>
      </c>
      <c r="G1428">
        <f>ROUND(G1427+0.1,1)</f>
        <v/>
      </c>
      <c r="H1428">
        <f>G1428=C1428</f>
        <v/>
      </c>
      <c r="I1428">
        <f>TEXT(B1428,"0.00000000000000")</f>
        <v/>
      </c>
    </row>
    <row r="1429">
      <c r="A1429" t="n">
        <v>1422</v>
      </c>
      <c r="B1429">
        <f>B1428+0.1</f>
        <v/>
      </c>
      <c r="C1429">
        <f>A1429/10</f>
        <v/>
      </c>
      <c r="D1429">
        <f>B1429=C1429</f>
        <v/>
      </c>
      <c r="E1429">
        <f>INT(B1429*10)=A1429</f>
        <v/>
      </c>
      <c r="F1429">
        <f>B1429&gt;=C1429</f>
        <v/>
      </c>
      <c r="G1429">
        <f>ROUND(G1428+0.1,1)</f>
        <v/>
      </c>
      <c r="H1429">
        <f>G1429=C1429</f>
        <v/>
      </c>
      <c r="I1429">
        <f>TEXT(B1429,"0.00000000000000")</f>
        <v/>
      </c>
    </row>
    <row r="1430">
      <c r="A1430" t="n">
        <v>1423</v>
      </c>
      <c r="B1430">
        <f>B1429+0.1</f>
        <v/>
      </c>
      <c r="C1430">
        <f>A1430/10</f>
        <v/>
      </c>
      <c r="D1430">
        <f>B1430=C1430</f>
        <v/>
      </c>
      <c r="E1430">
        <f>INT(B1430*10)=A1430</f>
        <v/>
      </c>
      <c r="F1430">
        <f>B1430&gt;=C1430</f>
        <v/>
      </c>
      <c r="G1430">
        <f>ROUND(G1429+0.1,1)</f>
        <v/>
      </c>
      <c r="H1430">
        <f>G1430=C1430</f>
        <v/>
      </c>
      <c r="I1430">
        <f>TEXT(B1430,"0.00000000000000")</f>
        <v/>
      </c>
    </row>
    <row r="1431">
      <c r="A1431" t="n">
        <v>1424</v>
      </c>
      <c r="B1431">
        <f>B1430+0.1</f>
        <v/>
      </c>
      <c r="C1431">
        <f>A1431/10</f>
        <v/>
      </c>
      <c r="D1431">
        <f>B1431=C1431</f>
        <v/>
      </c>
      <c r="E1431">
        <f>INT(B1431*10)=A1431</f>
        <v/>
      </c>
      <c r="F1431">
        <f>B1431&gt;=C1431</f>
        <v/>
      </c>
      <c r="G1431">
        <f>ROUND(G1430+0.1,1)</f>
        <v/>
      </c>
      <c r="H1431">
        <f>G1431=C1431</f>
        <v/>
      </c>
      <c r="I1431">
        <f>TEXT(B1431,"0.00000000000000")</f>
        <v/>
      </c>
    </row>
    <row r="1432">
      <c r="A1432" t="n">
        <v>1425</v>
      </c>
      <c r="B1432">
        <f>B1431+0.1</f>
        <v/>
      </c>
      <c r="C1432">
        <f>A1432/10</f>
        <v/>
      </c>
      <c r="D1432">
        <f>B1432=C1432</f>
        <v/>
      </c>
      <c r="E1432">
        <f>INT(B1432*10)=A1432</f>
        <v/>
      </c>
      <c r="F1432">
        <f>B1432&gt;=C1432</f>
        <v/>
      </c>
      <c r="G1432">
        <f>ROUND(G1431+0.1,1)</f>
        <v/>
      </c>
      <c r="H1432">
        <f>G1432=C1432</f>
        <v/>
      </c>
      <c r="I1432">
        <f>TEXT(B1432,"0.00000000000000")</f>
        <v/>
      </c>
    </row>
    <row r="1433">
      <c r="A1433" t="n">
        <v>1426</v>
      </c>
      <c r="B1433">
        <f>B1432+0.1</f>
        <v/>
      </c>
      <c r="C1433">
        <f>A1433/10</f>
        <v/>
      </c>
      <c r="D1433">
        <f>B1433=C1433</f>
        <v/>
      </c>
      <c r="E1433">
        <f>INT(B1433*10)=A1433</f>
        <v/>
      </c>
      <c r="F1433">
        <f>B1433&gt;=C1433</f>
        <v/>
      </c>
      <c r="G1433">
        <f>ROUND(G1432+0.1,1)</f>
        <v/>
      </c>
      <c r="H1433">
        <f>G1433=C1433</f>
        <v/>
      </c>
      <c r="I1433">
        <f>TEXT(B1433,"0.00000000000000")</f>
        <v/>
      </c>
    </row>
    <row r="1434">
      <c r="A1434" t="n">
        <v>1427</v>
      </c>
      <c r="B1434">
        <f>B1433+0.1</f>
        <v/>
      </c>
      <c r="C1434">
        <f>A1434/10</f>
        <v/>
      </c>
      <c r="D1434">
        <f>B1434=C1434</f>
        <v/>
      </c>
      <c r="E1434">
        <f>INT(B1434*10)=A1434</f>
        <v/>
      </c>
      <c r="F1434">
        <f>B1434&gt;=C1434</f>
        <v/>
      </c>
      <c r="G1434">
        <f>ROUND(G1433+0.1,1)</f>
        <v/>
      </c>
      <c r="H1434">
        <f>G1434=C1434</f>
        <v/>
      </c>
      <c r="I1434">
        <f>TEXT(B1434,"0.00000000000000")</f>
        <v/>
      </c>
    </row>
    <row r="1435">
      <c r="A1435" t="n">
        <v>1428</v>
      </c>
      <c r="B1435">
        <f>B1434+0.1</f>
        <v/>
      </c>
      <c r="C1435">
        <f>A1435/10</f>
        <v/>
      </c>
      <c r="D1435">
        <f>B1435=C1435</f>
        <v/>
      </c>
      <c r="E1435">
        <f>INT(B1435*10)=A1435</f>
        <v/>
      </c>
      <c r="F1435">
        <f>B1435&gt;=C1435</f>
        <v/>
      </c>
      <c r="G1435">
        <f>ROUND(G1434+0.1,1)</f>
        <v/>
      </c>
      <c r="H1435">
        <f>G1435=C1435</f>
        <v/>
      </c>
      <c r="I1435">
        <f>TEXT(B1435,"0.00000000000000")</f>
        <v/>
      </c>
    </row>
    <row r="1436">
      <c r="A1436" t="n">
        <v>1429</v>
      </c>
      <c r="B1436">
        <f>B1435+0.1</f>
        <v/>
      </c>
      <c r="C1436">
        <f>A1436/10</f>
        <v/>
      </c>
      <c r="D1436">
        <f>B1436=C1436</f>
        <v/>
      </c>
      <c r="E1436">
        <f>INT(B1436*10)=A1436</f>
        <v/>
      </c>
      <c r="F1436">
        <f>B1436&gt;=C1436</f>
        <v/>
      </c>
      <c r="G1436">
        <f>ROUND(G1435+0.1,1)</f>
        <v/>
      </c>
      <c r="H1436">
        <f>G1436=C1436</f>
        <v/>
      </c>
      <c r="I1436">
        <f>TEXT(B1436,"0.00000000000000")</f>
        <v/>
      </c>
    </row>
    <row r="1437">
      <c r="A1437" t="n">
        <v>1430</v>
      </c>
      <c r="B1437">
        <f>B1436+0.1</f>
        <v/>
      </c>
      <c r="C1437">
        <f>A1437/10</f>
        <v/>
      </c>
      <c r="D1437">
        <f>B1437=C1437</f>
        <v/>
      </c>
      <c r="E1437">
        <f>INT(B1437*10)=A1437</f>
        <v/>
      </c>
      <c r="F1437">
        <f>B1437&gt;=C1437</f>
        <v/>
      </c>
      <c r="G1437">
        <f>ROUND(G1436+0.1,1)</f>
        <v/>
      </c>
      <c r="H1437">
        <f>G1437=C1437</f>
        <v/>
      </c>
      <c r="I1437">
        <f>TEXT(B1437,"0.00000000000000")</f>
        <v/>
      </c>
    </row>
    <row r="1438">
      <c r="A1438" t="n">
        <v>1431</v>
      </c>
      <c r="B1438">
        <f>B1437+0.1</f>
        <v/>
      </c>
      <c r="C1438">
        <f>A1438/10</f>
        <v/>
      </c>
      <c r="D1438">
        <f>B1438=C1438</f>
        <v/>
      </c>
      <c r="E1438">
        <f>INT(B1438*10)=A1438</f>
        <v/>
      </c>
      <c r="F1438">
        <f>B1438&gt;=C1438</f>
        <v/>
      </c>
      <c r="G1438">
        <f>ROUND(G1437+0.1,1)</f>
        <v/>
      </c>
      <c r="H1438">
        <f>G1438=C1438</f>
        <v/>
      </c>
      <c r="I1438">
        <f>TEXT(B1438,"0.00000000000000")</f>
        <v/>
      </c>
    </row>
    <row r="1439">
      <c r="A1439" t="n">
        <v>1432</v>
      </c>
      <c r="B1439">
        <f>B1438+0.1</f>
        <v/>
      </c>
      <c r="C1439">
        <f>A1439/10</f>
        <v/>
      </c>
      <c r="D1439">
        <f>B1439=C1439</f>
        <v/>
      </c>
      <c r="E1439">
        <f>INT(B1439*10)=A1439</f>
        <v/>
      </c>
      <c r="F1439">
        <f>B1439&gt;=C1439</f>
        <v/>
      </c>
      <c r="G1439">
        <f>ROUND(G1438+0.1,1)</f>
        <v/>
      </c>
      <c r="H1439">
        <f>G1439=C1439</f>
        <v/>
      </c>
      <c r="I1439">
        <f>TEXT(B1439,"0.00000000000000")</f>
        <v/>
      </c>
    </row>
    <row r="1440">
      <c r="A1440" t="n">
        <v>1433</v>
      </c>
      <c r="B1440">
        <f>B1439+0.1</f>
        <v/>
      </c>
      <c r="C1440">
        <f>A1440/10</f>
        <v/>
      </c>
      <c r="D1440">
        <f>B1440=C1440</f>
        <v/>
      </c>
      <c r="E1440">
        <f>INT(B1440*10)=A1440</f>
        <v/>
      </c>
      <c r="F1440">
        <f>B1440&gt;=C1440</f>
        <v/>
      </c>
      <c r="G1440">
        <f>ROUND(G1439+0.1,1)</f>
        <v/>
      </c>
      <c r="H1440">
        <f>G1440=C1440</f>
        <v/>
      </c>
      <c r="I1440">
        <f>TEXT(B1440,"0.00000000000000")</f>
        <v/>
      </c>
    </row>
    <row r="1441">
      <c r="A1441" t="n">
        <v>1434</v>
      </c>
      <c r="B1441">
        <f>B1440+0.1</f>
        <v/>
      </c>
      <c r="C1441">
        <f>A1441/10</f>
        <v/>
      </c>
      <c r="D1441">
        <f>B1441=C1441</f>
        <v/>
      </c>
      <c r="E1441">
        <f>INT(B1441*10)=A1441</f>
        <v/>
      </c>
      <c r="F1441">
        <f>B1441&gt;=C1441</f>
        <v/>
      </c>
      <c r="G1441">
        <f>ROUND(G1440+0.1,1)</f>
        <v/>
      </c>
      <c r="H1441">
        <f>G1441=C1441</f>
        <v/>
      </c>
      <c r="I1441">
        <f>TEXT(B1441,"0.00000000000000")</f>
        <v/>
      </c>
    </row>
    <row r="1442">
      <c r="A1442" t="n">
        <v>1435</v>
      </c>
      <c r="B1442">
        <f>B1441+0.1</f>
        <v/>
      </c>
      <c r="C1442">
        <f>A1442/10</f>
        <v/>
      </c>
      <c r="D1442">
        <f>B1442=C1442</f>
        <v/>
      </c>
      <c r="E1442">
        <f>INT(B1442*10)=A1442</f>
        <v/>
      </c>
      <c r="F1442">
        <f>B1442&gt;=C1442</f>
        <v/>
      </c>
      <c r="G1442">
        <f>ROUND(G1441+0.1,1)</f>
        <v/>
      </c>
      <c r="H1442">
        <f>G1442=C1442</f>
        <v/>
      </c>
      <c r="I1442">
        <f>TEXT(B1442,"0.00000000000000")</f>
        <v/>
      </c>
    </row>
    <row r="1443">
      <c r="A1443" t="n">
        <v>1436</v>
      </c>
      <c r="B1443">
        <f>B1442+0.1</f>
        <v/>
      </c>
      <c r="C1443">
        <f>A1443/10</f>
        <v/>
      </c>
      <c r="D1443">
        <f>B1443=C1443</f>
        <v/>
      </c>
      <c r="E1443">
        <f>INT(B1443*10)=A1443</f>
        <v/>
      </c>
      <c r="F1443">
        <f>B1443&gt;=C1443</f>
        <v/>
      </c>
      <c r="G1443">
        <f>ROUND(G1442+0.1,1)</f>
        <v/>
      </c>
      <c r="H1443">
        <f>G1443=C1443</f>
        <v/>
      </c>
      <c r="I1443">
        <f>TEXT(B1443,"0.00000000000000")</f>
        <v/>
      </c>
    </row>
    <row r="1444">
      <c r="A1444" t="n">
        <v>1437</v>
      </c>
      <c r="B1444">
        <f>B1443+0.1</f>
        <v/>
      </c>
      <c r="C1444">
        <f>A1444/10</f>
        <v/>
      </c>
      <c r="D1444">
        <f>B1444=C1444</f>
        <v/>
      </c>
      <c r="E1444">
        <f>INT(B1444*10)=A1444</f>
        <v/>
      </c>
      <c r="F1444">
        <f>B1444&gt;=C1444</f>
        <v/>
      </c>
      <c r="G1444">
        <f>ROUND(G1443+0.1,1)</f>
        <v/>
      </c>
      <c r="H1444">
        <f>G1444=C1444</f>
        <v/>
      </c>
      <c r="I1444">
        <f>TEXT(B1444,"0.00000000000000")</f>
        <v/>
      </c>
    </row>
    <row r="1445">
      <c r="A1445" t="n">
        <v>1438</v>
      </c>
      <c r="B1445">
        <f>B1444+0.1</f>
        <v/>
      </c>
      <c r="C1445">
        <f>A1445/10</f>
        <v/>
      </c>
      <c r="D1445">
        <f>B1445=C1445</f>
        <v/>
      </c>
      <c r="E1445">
        <f>INT(B1445*10)=A1445</f>
        <v/>
      </c>
      <c r="F1445">
        <f>B1445&gt;=C1445</f>
        <v/>
      </c>
      <c r="G1445">
        <f>ROUND(G1444+0.1,1)</f>
        <v/>
      </c>
      <c r="H1445">
        <f>G1445=C1445</f>
        <v/>
      </c>
      <c r="I1445">
        <f>TEXT(B1445,"0.00000000000000")</f>
        <v/>
      </c>
    </row>
    <row r="1446">
      <c r="A1446" t="n">
        <v>1439</v>
      </c>
      <c r="B1446">
        <f>B1445+0.1</f>
        <v/>
      </c>
      <c r="C1446">
        <f>A1446/10</f>
        <v/>
      </c>
      <c r="D1446">
        <f>B1446=C1446</f>
        <v/>
      </c>
      <c r="E1446">
        <f>INT(B1446*10)=A1446</f>
        <v/>
      </c>
      <c r="F1446">
        <f>B1446&gt;=C1446</f>
        <v/>
      </c>
      <c r="G1446">
        <f>ROUND(G1445+0.1,1)</f>
        <v/>
      </c>
      <c r="H1446">
        <f>G1446=C1446</f>
        <v/>
      </c>
      <c r="I1446">
        <f>TEXT(B1446,"0.00000000000000")</f>
        <v/>
      </c>
    </row>
    <row r="1447">
      <c r="A1447" t="n">
        <v>1440</v>
      </c>
      <c r="B1447">
        <f>B1446+0.1</f>
        <v/>
      </c>
      <c r="C1447">
        <f>A1447/10</f>
        <v/>
      </c>
      <c r="D1447">
        <f>B1447=C1447</f>
        <v/>
      </c>
      <c r="E1447">
        <f>INT(B1447*10)=A1447</f>
        <v/>
      </c>
      <c r="F1447">
        <f>B1447&gt;=C1447</f>
        <v/>
      </c>
      <c r="G1447">
        <f>ROUND(G1446+0.1,1)</f>
        <v/>
      </c>
      <c r="H1447">
        <f>G1447=C1447</f>
        <v/>
      </c>
      <c r="I1447">
        <f>TEXT(B1447,"0.00000000000000")</f>
        <v/>
      </c>
    </row>
    <row r="1448">
      <c r="A1448" t="n">
        <v>1441</v>
      </c>
      <c r="B1448">
        <f>B1447+0.1</f>
        <v/>
      </c>
      <c r="C1448">
        <f>A1448/10</f>
        <v/>
      </c>
      <c r="D1448">
        <f>B1448=C1448</f>
        <v/>
      </c>
      <c r="E1448">
        <f>INT(B1448*10)=A1448</f>
        <v/>
      </c>
      <c r="F1448">
        <f>B1448&gt;=C1448</f>
        <v/>
      </c>
      <c r="G1448">
        <f>ROUND(G1447+0.1,1)</f>
        <v/>
      </c>
      <c r="H1448">
        <f>G1448=C1448</f>
        <v/>
      </c>
      <c r="I1448">
        <f>TEXT(B1448,"0.00000000000000")</f>
        <v/>
      </c>
    </row>
    <row r="1449">
      <c r="A1449" t="n">
        <v>1442</v>
      </c>
      <c r="B1449">
        <f>B1448+0.1</f>
        <v/>
      </c>
      <c r="C1449">
        <f>A1449/10</f>
        <v/>
      </c>
      <c r="D1449">
        <f>B1449=C1449</f>
        <v/>
      </c>
      <c r="E1449">
        <f>INT(B1449*10)=A1449</f>
        <v/>
      </c>
      <c r="F1449">
        <f>B1449&gt;=C1449</f>
        <v/>
      </c>
      <c r="G1449">
        <f>ROUND(G1448+0.1,1)</f>
        <v/>
      </c>
      <c r="H1449">
        <f>G1449=C1449</f>
        <v/>
      </c>
      <c r="I1449">
        <f>TEXT(B1449,"0.00000000000000")</f>
        <v/>
      </c>
    </row>
    <row r="1450">
      <c r="A1450" t="n">
        <v>1443</v>
      </c>
      <c r="B1450">
        <f>B1449+0.1</f>
        <v/>
      </c>
      <c r="C1450">
        <f>A1450/10</f>
        <v/>
      </c>
      <c r="D1450">
        <f>B1450=C1450</f>
        <v/>
      </c>
      <c r="E1450">
        <f>INT(B1450*10)=A1450</f>
        <v/>
      </c>
      <c r="F1450">
        <f>B1450&gt;=C1450</f>
        <v/>
      </c>
      <c r="G1450">
        <f>ROUND(G1449+0.1,1)</f>
        <v/>
      </c>
      <c r="H1450">
        <f>G1450=C1450</f>
        <v/>
      </c>
      <c r="I1450">
        <f>TEXT(B1450,"0.00000000000000")</f>
        <v/>
      </c>
    </row>
    <row r="1451">
      <c r="A1451" t="n">
        <v>1444</v>
      </c>
      <c r="B1451">
        <f>B1450+0.1</f>
        <v/>
      </c>
      <c r="C1451">
        <f>A1451/10</f>
        <v/>
      </c>
      <c r="D1451">
        <f>B1451=C1451</f>
        <v/>
      </c>
      <c r="E1451">
        <f>INT(B1451*10)=A1451</f>
        <v/>
      </c>
      <c r="F1451">
        <f>B1451&gt;=C1451</f>
        <v/>
      </c>
      <c r="G1451">
        <f>ROUND(G1450+0.1,1)</f>
        <v/>
      </c>
      <c r="H1451">
        <f>G1451=C1451</f>
        <v/>
      </c>
      <c r="I1451">
        <f>TEXT(B1451,"0.00000000000000")</f>
        <v/>
      </c>
    </row>
    <row r="1452">
      <c r="A1452" t="n">
        <v>1445</v>
      </c>
      <c r="B1452">
        <f>B1451+0.1</f>
        <v/>
      </c>
      <c r="C1452">
        <f>A1452/10</f>
        <v/>
      </c>
      <c r="D1452">
        <f>B1452=C1452</f>
        <v/>
      </c>
      <c r="E1452">
        <f>INT(B1452*10)=A1452</f>
        <v/>
      </c>
      <c r="F1452">
        <f>B1452&gt;=C1452</f>
        <v/>
      </c>
      <c r="G1452">
        <f>ROUND(G1451+0.1,1)</f>
        <v/>
      </c>
      <c r="H1452">
        <f>G1452=C1452</f>
        <v/>
      </c>
      <c r="I1452">
        <f>TEXT(B1452,"0.00000000000000")</f>
        <v/>
      </c>
    </row>
    <row r="1453">
      <c r="A1453" t="n">
        <v>1446</v>
      </c>
      <c r="B1453">
        <f>B1452+0.1</f>
        <v/>
      </c>
      <c r="C1453">
        <f>A1453/10</f>
        <v/>
      </c>
      <c r="D1453">
        <f>B1453=C1453</f>
        <v/>
      </c>
      <c r="E1453">
        <f>INT(B1453*10)=A1453</f>
        <v/>
      </c>
      <c r="F1453">
        <f>B1453&gt;=C1453</f>
        <v/>
      </c>
      <c r="G1453">
        <f>ROUND(G1452+0.1,1)</f>
        <v/>
      </c>
      <c r="H1453">
        <f>G1453=C1453</f>
        <v/>
      </c>
      <c r="I1453">
        <f>TEXT(B1453,"0.00000000000000")</f>
        <v/>
      </c>
    </row>
    <row r="1454">
      <c r="A1454" t="n">
        <v>1447</v>
      </c>
      <c r="B1454">
        <f>B1453+0.1</f>
        <v/>
      </c>
      <c r="C1454">
        <f>A1454/10</f>
        <v/>
      </c>
      <c r="D1454">
        <f>B1454=C1454</f>
        <v/>
      </c>
      <c r="E1454">
        <f>INT(B1454*10)=A1454</f>
        <v/>
      </c>
      <c r="F1454">
        <f>B1454&gt;=C1454</f>
        <v/>
      </c>
      <c r="G1454">
        <f>ROUND(G1453+0.1,1)</f>
        <v/>
      </c>
      <c r="H1454">
        <f>G1454=C1454</f>
        <v/>
      </c>
      <c r="I1454">
        <f>TEXT(B1454,"0.00000000000000")</f>
        <v/>
      </c>
    </row>
    <row r="1455">
      <c r="A1455" t="n">
        <v>1448</v>
      </c>
      <c r="B1455">
        <f>B1454+0.1</f>
        <v/>
      </c>
      <c r="C1455">
        <f>A1455/10</f>
        <v/>
      </c>
      <c r="D1455">
        <f>B1455=C1455</f>
        <v/>
      </c>
      <c r="E1455">
        <f>INT(B1455*10)=A1455</f>
        <v/>
      </c>
      <c r="F1455">
        <f>B1455&gt;=C1455</f>
        <v/>
      </c>
      <c r="G1455">
        <f>ROUND(G1454+0.1,1)</f>
        <v/>
      </c>
      <c r="H1455">
        <f>G1455=C1455</f>
        <v/>
      </c>
      <c r="I1455">
        <f>TEXT(B1455,"0.00000000000000")</f>
        <v/>
      </c>
    </row>
    <row r="1456">
      <c r="A1456" t="n">
        <v>1449</v>
      </c>
      <c r="B1456">
        <f>B1455+0.1</f>
        <v/>
      </c>
      <c r="C1456">
        <f>A1456/10</f>
        <v/>
      </c>
      <c r="D1456">
        <f>B1456=C1456</f>
        <v/>
      </c>
      <c r="E1456">
        <f>INT(B1456*10)=A1456</f>
        <v/>
      </c>
      <c r="F1456">
        <f>B1456&gt;=C1456</f>
        <v/>
      </c>
      <c r="G1456">
        <f>ROUND(G1455+0.1,1)</f>
        <v/>
      </c>
      <c r="H1456">
        <f>G1456=C1456</f>
        <v/>
      </c>
      <c r="I1456">
        <f>TEXT(B1456,"0.00000000000000")</f>
        <v/>
      </c>
    </row>
    <row r="1457">
      <c r="A1457" t="n">
        <v>1450</v>
      </c>
      <c r="B1457">
        <f>B1456+0.1</f>
        <v/>
      </c>
      <c r="C1457">
        <f>A1457/10</f>
        <v/>
      </c>
      <c r="D1457">
        <f>B1457=C1457</f>
        <v/>
      </c>
      <c r="E1457">
        <f>INT(B1457*10)=A1457</f>
        <v/>
      </c>
      <c r="F1457">
        <f>B1457&gt;=C1457</f>
        <v/>
      </c>
      <c r="G1457">
        <f>ROUND(G1456+0.1,1)</f>
        <v/>
      </c>
      <c r="H1457">
        <f>G1457=C1457</f>
        <v/>
      </c>
      <c r="I1457">
        <f>TEXT(B1457,"0.00000000000000")</f>
        <v/>
      </c>
    </row>
    <row r="1458">
      <c r="A1458" t="n">
        <v>1451</v>
      </c>
      <c r="B1458">
        <f>B1457+0.1</f>
        <v/>
      </c>
      <c r="C1458">
        <f>A1458/10</f>
        <v/>
      </c>
      <c r="D1458">
        <f>B1458=C1458</f>
        <v/>
      </c>
      <c r="E1458">
        <f>INT(B1458*10)=A1458</f>
        <v/>
      </c>
      <c r="F1458">
        <f>B1458&gt;=C1458</f>
        <v/>
      </c>
      <c r="G1458">
        <f>ROUND(G1457+0.1,1)</f>
        <v/>
      </c>
      <c r="H1458">
        <f>G1458=C1458</f>
        <v/>
      </c>
      <c r="I1458">
        <f>TEXT(B1458,"0.00000000000000")</f>
        <v/>
      </c>
    </row>
    <row r="1459">
      <c r="A1459" t="n">
        <v>1452</v>
      </c>
      <c r="B1459">
        <f>B1458+0.1</f>
        <v/>
      </c>
      <c r="C1459">
        <f>A1459/10</f>
        <v/>
      </c>
      <c r="D1459">
        <f>B1459=C1459</f>
        <v/>
      </c>
      <c r="E1459">
        <f>INT(B1459*10)=A1459</f>
        <v/>
      </c>
      <c r="F1459">
        <f>B1459&gt;=C1459</f>
        <v/>
      </c>
      <c r="G1459">
        <f>ROUND(G1458+0.1,1)</f>
        <v/>
      </c>
      <c r="H1459">
        <f>G1459=C1459</f>
        <v/>
      </c>
      <c r="I1459">
        <f>TEXT(B1459,"0.00000000000000")</f>
        <v/>
      </c>
    </row>
    <row r="1460">
      <c r="A1460" t="n">
        <v>1453</v>
      </c>
      <c r="B1460">
        <f>B1459+0.1</f>
        <v/>
      </c>
      <c r="C1460">
        <f>A1460/10</f>
        <v/>
      </c>
      <c r="D1460">
        <f>B1460=C1460</f>
        <v/>
      </c>
      <c r="E1460">
        <f>INT(B1460*10)=A1460</f>
        <v/>
      </c>
      <c r="F1460">
        <f>B1460&gt;=C1460</f>
        <v/>
      </c>
      <c r="G1460">
        <f>ROUND(G1459+0.1,1)</f>
        <v/>
      </c>
      <c r="H1460">
        <f>G1460=C1460</f>
        <v/>
      </c>
      <c r="I1460">
        <f>TEXT(B1460,"0.00000000000000")</f>
        <v/>
      </c>
    </row>
    <row r="1461">
      <c r="A1461" t="n">
        <v>1454</v>
      </c>
      <c r="B1461">
        <f>B1460+0.1</f>
        <v/>
      </c>
      <c r="C1461">
        <f>A1461/10</f>
        <v/>
      </c>
      <c r="D1461">
        <f>B1461=C1461</f>
        <v/>
      </c>
      <c r="E1461">
        <f>INT(B1461*10)=A1461</f>
        <v/>
      </c>
      <c r="F1461">
        <f>B1461&gt;=C1461</f>
        <v/>
      </c>
      <c r="G1461">
        <f>ROUND(G1460+0.1,1)</f>
        <v/>
      </c>
      <c r="H1461">
        <f>G1461=C1461</f>
        <v/>
      </c>
      <c r="I1461">
        <f>TEXT(B1461,"0.00000000000000")</f>
        <v/>
      </c>
    </row>
    <row r="1462">
      <c r="A1462" t="n">
        <v>1455</v>
      </c>
      <c r="B1462">
        <f>B1461+0.1</f>
        <v/>
      </c>
      <c r="C1462">
        <f>A1462/10</f>
        <v/>
      </c>
      <c r="D1462">
        <f>B1462=C1462</f>
        <v/>
      </c>
      <c r="E1462">
        <f>INT(B1462*10)=A1462</f>
        <v/>
      </c>
      <c r="F1462">
        <f>B1462&gt;=C1462</f>
        <v/>
      </c>
      <c r="G1462">
        <f>ROUND(G1461+0.1,1)</f>
        <v/>
      </c>
      <c r="H1462">
        <f>G1462=C1462</f>
        <v/>
      </c>
      <c r="I1462">
        <f>TEXT(B1462,"0.00000000000000")</f>
        <v/>
      </c>
    </row>
    <row r="1463">
      <c r="A1463" t="n">
        <v>1456</v>
      </c>
      <c r="B1463">
        <f>B1462+0.1</f>
        <v/>
      </c>
      <c r="C1463">
        <f>A1463/10</f>
        <v/>
      </c>
      <c r="D1463">
        <f>B1463=C1463</f>
        <v/>
      </c>
      <c r="E1463">
        <f>INT(B1463*10)=A1463</f>
        <v/>
      </c>
      <c r="F1463">
        <f>B1463&gt;=C1463</f>
        <v/>
      </c>
      <c r="G1463">
        <f>ROUND(G1462+0.1,1)</f>
        <v/>
      </c>
      <c r="H1463">
        <f>G1463=C1463</f>
        <v/>
      </c>
      <c r="I1463">
        <f>TEXT(B1463,"0.00000000000000")</f>
        <v/>
      </c>
    </row>
    <row r="1464">
      <c r="A1464" t="n">
        <v>1457</v>
      </c>
      <c r="B1464">
        <f>B1463+0.1</f>
        <v/>
      </c>
      <c r="C1464">
        <f>A1464/10</f>
        <v/>
      </c>
      <c r="D1464">
        <f>B1464=C1464</f>
        <v/>
      </c>
      <c r="E1464">
        <f>INT(B1464*10)=A1464</f>
        <v/>
      </c>
      <c r="F1464">
        <f>B1464&gt;=C1464</f>
        <v/>
      </c>
      <c r="G1464">
        <f>ROUND(G1463+0.1,1)</f>
        <v/>
      </c>
      <c r="H1464">
        <f>G1464=C1464</f>
        <v/>
      </c>
      <c r="I1464">
        <f>TEXT(B1464,"0.00000000000000")</f>
        <v/>
      </c>
    </row>
    <row r="1465">
      <c r="A1465" t="n">
        <v>1458</v>
      </c>
      <c r="B1465">
        <f>B1464+0.1</f>
        <v/>
      </c>
      <c r="C1465">
        <f>A1465/10</f>
        <v/>
      </c>
      <c r="D1465">
        <f>B1465=C1465</f>
        <v/>
      </c>
      <c r="E1465">
        <f>INT(B1465*10)=A1465</f>
        <v/>
      </c>
      <c r="F1465">
        <f>B1465&gt;=C1465</f>
        <v/>
      </c>
      <c r="G1465">
        <f>ROUND(G1464+0.1,1)</f>
        <v/>
      </c>
      <c r="H1465">
        <f>G1465=C1465</f>
        <v/>
      </c>
      <c r="I1465">
        <f>TEXT(B1465,"0.00000000000000")</f>
        <v/>
      </c>
    </row>
    <row r="1466">
      <c r="A1466" t="n">
        <v>1459</v>
      </c>
      <c r="B1466">
        <f>B1465+0.1</f>
        <v/>
      </c>
      <c r="C1466">
        <f>A1466/10</f>
        <v/>
      </c>
      <c r="D1466">
        <f>B1466=C1466</f>
        <v/>
      </c>
      <c r="E1466">
        <f>INT(B1466*10)=A1466</f>
        <v/>
      </c>
      <c r="F1466">
        <f>B1466&gt;=C1466</f>
        <v/>
      </c>
      <c r="G1466">
        <f>ROUND(G1465+0.1,1)</f>
        <v/>
      </c>
      <c r="H1466">
        <f>G1466=C1466</f>
        <v/>
      </c>
      <c r="I1466">
        <f>TEXT(B1466,"0.00000000000000")</f>
        <v/>
      </c>
    </row>
    <row r="1467">
      <c r="A1467" t="n">
        <v>1460</v>
      </c>
      <c r="B1467">
        <f>B1466+0.1</f>
        <v/>
      </c>
      <c r="C1467">
        <f>A1467/10</f>
        <v/>
      </c>
      <c r="D1467">
        <f>B1467=C1467</f>
        <v/>
      </c>
      <c r="E1467">
        <f>INT(B1467*10)=A1467</f>
        <v/>
      </c>
      <c r="F1467">
        <f>B1467&gt;=C1467</f>
        <v/>
      </c>
      <c r="G1467">
        <f>ROUND(G1466+0.1,1)</f>
        <v/>
      </c>
      <c r="H1467">
        <f>G1467=C1467</f>
        <v/>
      </c>
      <c r="I1467">
        <f>TEXT(B1467,"0.00000000000000")</f>
        <v/>
      </c>
    </row>
    <row r="1468">
      <c r="A1468" t="n">
        <v>1461</v>
      </c>
      <c r="B1468">
        <f>B1467+0.1</f>
        <v/>
      </c>
      <c r="C1468">
        <f>A1468/10</f>
        <v/>
      </c>
      <c r="D1468">
        <f>B1468=C1468</f>
        <v/>
      </c>
      <c r="E1468">
        <f>INT(B1468*10)=A1468</f>
        <v/>
      </c>
      <c r="F1468">
        <f>B1468&gt;=C1468</f>
        <v/>
      </c>
      <c r="G1468">
        <f>ROUND(G1467+0.1,1)</f>
        <v/>
      </c>
      <c r="H1468">
        <f>G1468=C1468</f>
        <v/>
      </c>
      <c r="I1468">
        <f>TEXT(B1468,"0.00000000000000")</f>
        <v/>
      </c>
    </row>
    <row r="1469">
      <c r="A1469" t="n">
        <v>1462</v>
      </c>
      <c r="B1469">
        <f>B1468+0.1</f>
        <v/>
      </c>
      <c r="C1469">
        <f>A1469/10</f>
        <v/>
      </c>
      <c r="D1469">
        <f>B1469=C1469</f>
        <v/>
      </c>
      <c r="E1469">
        <f>INT(B1469*10)=A1469</f>
        <v/>
      </c>
      <c r="F1469">
        <f>B1469&gt;=C1469</f>
        <v/>
      </c>
      <c r="G1469">
        <f>ROUND(G1468+0.1,1)</f>
        <v/>
      </c>
      <c r="H1469">
        <f>G1469=C1469</f>
        <v/>
      </c>
      <c r="I1469">
        <f>TEXT(B1469,"0.00000000000000")</f>
        <v/>
      </c>
    </row>
    <row r="1470">
      <c r="A1470" t="n">
        <v>1463</v>
      </c>
      <c r="B1470">
        <f>B1469+0.1</f>
        <v/>
      </c>
      <c r="C1470">
        <f>A1470/10</f>
        <v/>
      </c>
      <c r="D1470">
        <f>B1470=C1470</f>
        <v/>
      </c>
      <c r="E1470">
        <f>INT(B1470*10)=A1470</f>
        <v/>
      </c>
      <c r="F1470">
        <f>B1470&gt;=C1470</f>
        <v/>
      </c>
      <c r="G1470">
        <f>ROUND(G1469+0.1,1)</f>
        <v/>
      </c>
      <c r="H1470">
        <f>G1470=C1470</f>
        <v/>
      </c>
      <c r="I1470">
        <f>TEXT(B1470,"0.00000000000000")</f>
        <v/>
      </c>
    </row>
    <row r="1471">
      <c r="A1471" t="n">
        <v>1464</v>
      </c>
      <c r="B1471">
        <f>B1470+0.1</f>
        <v/>
      </c>
      <c r="C1471">
        <f>A1471/10</f>
        <v/>
      </c>
      <c r="D1471">
        <f>B1471=C1471</f>
        <v/>
      </c>
      <c r="E1471">
        <f>INT(B1471*10)=A1471</f>
        <v/>
      </c>
      <c r="F1471">
        <f>B1471&gt;=C1471</f>
        <v/>
      </c>
      <c r="G1471">
        <f>ROUND(G1470+0.1,1)</f>
        <v/>
      </c>
      <c r="H1471">
        <f>G1471=C1471</f>
        <v/>
      </c>
      <c r="I1471">
        <f>TEXT(B1471,"0.00000000000000")</f>
        <v/>
      </c>
    </row>
    <row r="1472">
      <c r="A1472" t="n">
        <v>1465</v>
      </c>
      <c r="B1472">
        <f>B1471+0.1</f>
        <v/>
      </c>
      <c r="C1472">
        <f>A1472/10</f>
        <v/>
      </c>
      <c r="D1472">
        <f>B1472=C1472</f>
        <v/>
      </c>
      <c r="E1472">
        <f>INT(B1472*10)=A1472</f>
        <v/>
      </c>
      <c r="F1472">
        <f>B1472&gt;=C1472</f>
        <v/>
      </c>
      <c r="G1472">
        <f>ROUND(G1471+0.1,1)</f>
        <v/>
      </c>
      <c r="H1472">
        <f>G1472=C1472</f>
        <v/>
      </c>
      <c r="I1472">
        <f>TEXT(B1472,"0.00000000000000")</f>
        <v/>
      </c>
    </row>
    <row r="1473">
      <c r="A1473" t="n">
        <v>1466</v>
      </c>
      <c r="B1473">
        <f>B1472+0.1</f>
        <v/>
      </c>
      <c r="C1473">
        <f>A1473/10</f>
        <v/>
      </c>
      <c r="D1473">
        <f>B1473=C1473</f>
        <v/>
      </c>
      <c r="E1473">
        <f>INT(B1473*10)=A1473</f>
        <v/>
      </c>
      <c r="F1473">
        <f>B1473&gt;=C1473</f>
        <v/>
      </c>
      <c r="G1473">
        <f>ROUND(G1472+0.1,1)</f>
        <v/>
      </c>
      <c r="H1473">
        <f>G1473=C1473</f>
        <v/>
      </c>
      <c r="I1473">
        <f>TEXT(B1473,"0.00000000000000")</f>
        <v/>
      </c>
    </row>
    <row r="1474">
      <c r="A1474" t="n">
        <v>1467</v>
      </c>
      <c r="B1474">
        <f>B1473+0.1</f>
        <v/>
      </c>
      <c r="C1474">
        <f>A1474/10</f>
        <v/>
      </c>
      <c r="D1474">
        <f>B1474=C1474</f>
        <v/>
      </c>
      <c r="E1474">
        <f>INT(B1474*10)=A1474</f>
        <v/>
      </c>
      <c r="F1474">
        <f>B1474&gt;=C1474</f>
        <v/>
      </c>
      <c r="G1474">
        <f>ROUND(G1473+0.1,1)</f>
        <v/>
      </c>
      <c r="H1474">
        <f>G1474=C1474</f>
        <v/>
      </c>
      <c r="I1474">
        <f>TEXT(B1474,"0.00000000000000")</f>
        <v/>
      </c>
    </row>
    <row r="1475">
      <c r="A1475" t="n">
        <v>1468</v>
      </c>
      <c r="B1475">
        <f>B1474+0.1</f>
        <v/>
      </c>
      <c r="C1475">
        <f>A1475/10</f>
        <v/>
      </c>
      <c r="D1475">
        <f>B1475=C1475</f>
        <v/>
      </c>
      <c r="E1475">
        <f>INT(B1475*10)=A1475</f>
        <v/>
      </c>
      <c r="F1475">
        <f>B1475&gt;=C1475</f>
        <v/>
      </c>
      <c r="G1475">
        <f>ROUND(G1474+0.1,1)</f>
        <v/>
      </c>
      <c r="H1475">
        <f>G1475=C1475</f>
        <v/>
      </c>
      <c r="I1475">
        <f>TEXT(B1475,"0.00000000000000")</f>
        <v/>
      </c>
    </row>
    <row r="1476">
      <c r="A1476" t="n">
        <v>1469</v>
      </c>
      <c r="B1476">
        <f>B1475+0.1</f>
        <v/>
      </c>
      <c r="C1476">
        <f>A1476/10</f>
        <v/>
      </c>
      <c r="D1476">
        <f>B1476=C1476</f>
        <v/>
      </c>
      <c r="E1476">
        <f>INT(B1476*10)=A1476</f>
        <v/>
      </c>
      <c r="F1476">
        <f>B1476&gt;=C1476</f>
        <v/>
      </c>
      <c r="G1476">
        <f>ROUND(G1475+0.1,1)</f>
        <v/>
      </c>
      <c r="H1476">
        <f>G1476=C1476</f>
        <v/>
      </c>
      <c r="I1476">
        <f>TEXT(B1476,"0.00000000000000")</f>
        <v/>
      </c>
    </row>
    <row r="1477">
      <c r="A1477" t="n">
        <v>1470</v>
      </c>
      <c r="B1477">
        <f>B1476+0.1</f>
        <v/>
      </c>
      <c r="C1477">
        <f>A1477/10</f>
        <v/>
      </c>
      <c r="D1477">
        <f>B1477=C1477</f>
        <v/>
      </c>
      <c r="E1477">
        <f>INT(B1477*10)=A1477</f>
        <v/>
      </c>
      <c r="F1477">
        <f>B1477&gt;=C1477</f>
        <v/>
      </c>
      <c r="G1477">
        <f>ROUND(G1476+0.1,1)</f>
        <v/>
      </c>
      <c r="H1477">
        <f>G1477=C1477</f>
        <v/>
      </c>
      <c r="I1477">
        <f>TEXT(B1477,"0.00000000000000")</f>
        <v/>
      </c>
    </row>
    <row r="1478">
      <c r="A1478" t="n">
        <v>1471</v>
      </c>
      <c r="B1478">
        <f>B1477+0.1</f>
        <v/>
      </c>
      <c r="C1478">
        <f>A1478/10</f>
        <v/>
      </c>
      <c r="D1478">
        <f>B1478=C1478</f>
        <v/>
      </c>
      <c r="E1478">
        <f>INT(B1478*10)=A1478</f>
        <v/>
      </c>
      <c r="F1478">
        <f>B1478&gt;=C1478</f>
        <v/>
      </c>
      <c r="G1478">
        <f>ROUND(G1477+0.1,1)</f>
        <v/>
      </c>
      <c r="H1478">
        <f>G1478=C1478</f>
        <v/>
      </c>
      <c r="I1478">
        <f>TEXT(B1478,"0.00000000000000")</f>
        <v/>
      </c>
    </row>
    <row r="1479">
      <c r="A1479" t="n">
        <v>1472</v>
      </c>
      <c r="B1479">
        <f>B1478+0.1</f>
        <v/>
      </c>
      <c r="C1479">
        <f>A1479/10</f>
        <v/>
      </c>
      <c r="D1479">
        <f>B1479=C1479</f>
        <v/>
      </c>
      <c r="E1479">
        <f>INT(B1479*10)=A1479</f>
        <v/>
      </c>
      <c r="F1479">
        <f>B1479&gt;=C1479</f>
        <v/>
      </c>
      <c r="G1479">
        <f>ROUND(G1478+0.1,1)</f>
        <v/>
      </c>
      <c r="H1479">
        <f>G1479=C1479</f>
        <v/>
      </c>
      <c r="I1479">
        <f>TEXT(B1479,"0.00000000000000")</f>
        <v/>
      </c>
    </row>
    <row r="1480">
      <c r="A1480" t="n">
        <v>1473</v>
      </c>
      <c r="B1480">
        <f>B1479+0.1</f>
        <v/>
      </c>
      <c r="C1480">
        <f>A1480/10</f>
        <v/>
      </c>
      <c r="D1480">
        <f>B1480=C1480</f>
        <v/>
      </c>
      <c r="E1480">
        <f>INT(B1480*10)=A1480</f>
        <v/>
      </c>
      <c r="F1480">
        <f>B1480&gt;=C1480</f>
        <v/>
      </c>
      <c r="G1480">
        <f>ROUND(G1479+0.1,1)</f>
        <v/>
      </c>
      <c r="H1480">
        <f>G1480=C1480</f>
        <v/>
      </c>
      <c r="I1480">
        <f>TEXT(B1480,"0.00000000000000")</f>
        <v/>
      </c>
    </row>
    <row r="1481">
      <c r="A1481" t="n">
        <v>1474</v>
      </c>
      <c r="B1481">
        <f>B1480+0.1</f>
        <v/>
      </c>
      <c r="C1481">
        <f>A1481/10</f>
        <v/>
      </c>
      <c r="D1481">
        <f>B1481=C1481</f>
        <v/>
      </c>
      <c r="E1481">
        <f>INT(B1481*10)=A1481</f>
        <v/>
      </c>
      <c r="F1481">
        <f>B1481&gt;=C1481</f>
        <v/>
      </c>
      <c r="G1481">
        <f>ROUND(G1480+0.1,1)</f>
        <v/>
      </c>
      <c r="H1481">
        <f>G1481=C1481</f>
        <v/>
      </c>
      <c r="I1481">
        <f>TEXT(B1481,"0.00000000000000")</f>
        <v/>
      </c>
    </row>
    <row r="1482">
      <c r="A1482" t="n">
        <v>1475</v>
      </c>
      <c r="B1482">
        <f>B1481+0.1</f>
        <v/>
      </c>
      <c r="C1482">
        <f>A1482/10</f>
        <v/>
      </c>
      <c r="D1482">
        <f>B1482=C1482</f>
        <v/>
      </c>
      <c r="E1482">
        <f>INT(B1482*10)=A1482</f>
        <v/>
      </c>
      <c r="F1482">
        <f>B1482&gt;=C1482</f>
        <v/>
      </c>
      <c r="G1482">
        <f>ROUND(G1481+0.1,1)</f>
        <v/>
      </c>
      <c r="H1482">
        <f>G1482=C1482</f>
        <v/>
      </c>
      <c r="I1482">
        <f>TEXT(B1482,"0.00000000000000")</f>
        <v/>
      </c>
    </row>
    <row r="1483">
      <c r="A1483" t="n">
        <v>1476</v>
      </c>
      <c r="B1483">
        <f>B1482+0.1</f>
        <v/>
      </c>
      <c r="C1483">
        <f>A1483/10</f>
        <v/>
      </c>
      <c r="D1483">
        <f>B1483=C1483</f>
        <v/>
      </c>
      <c r="E1483">
        <f>INT(B1483*10)=A1483</f>
        <v/>
      </c>
      <c r="F1483">
        <f>B1483&gt;=C1483</f>
        <v/>
      </c>
      <c r="G1483">
        <f>ROUND(G1482+0.1,1)</f>
        <v/>
      </c>
      <c r="H1483">
        <f>G1483=C1483</f>
        <v/>
      </c>
      <c r="I1483">
        <f>TEXT(B1483,"0.00000000000000")</f>
        <v/>
      </c>
    </row>
    <row r="1484">
      <c r="A1484" t="n">
        <v>1477</v>
      </c>
      <c r="B1484">
        <f>B1483+0.1</f>
        <v/>
      </c>
      <c r="C1484">
        <f>A1484/10</f>
        <v/>
      </c>
      <c r="D1484">
        <f>B1484=C1484</f>
        <v/>
      </c>
      <c r="E1484">
        <f>INT(B1484*10)=A1484</f>
        <v/>
      </c>
      <c r="F1484">
        <f>B1484&gt;=C1484</f>
        <v/>
      </c>
      <c r="G1484">
        <f>ROUND(G1483+0.1,1)</f>
        <v/>
      </c>
      <c r="H1484">
        <f>G1484=C1484</f>
        <v/>
      </c>
      <c r="I1484">
        <f>TEXT(B1484,"0.00000000000000")</f>
        <v/>
      </c>
    </row>
    <row r="1485">
      <c r="A1485" t="n">
        <v>1478</v>
      </c>
      <c r="B1485">
        <f>B1484+0.1</f>
        <v/>
      </c>
      <c r="C1485">
        <f>A1485/10</f>
        <v/>
      </c>
      <c r="D1485">
        <f>B1485=C1485</f>
        <v/>
      </c>
      <c r="E1485">
        <f>INT(B1485*10)=A1485</f>
        <v/>
      </c>
      <c r="F1485">
        <f>B1485&gt;=C1485</f>
        <v/>
      </c>
      <c r="G1485">
        <f>ROUND(G1484+0.1,1)</f>
        <v/>
      </c>
      <c r="H1485">
        <f>G1485=C1485</f>
        <v/>
      </c>
      <c r="I1485">
        <f>TEXT(B1485,"0.00000000000000")</f>
        <v/>
      </c>
    </row>
    <row r="1486">
      <c r="A1486" t="n">
        <v>1479</v>
      </c>
      <c r="B1486">
        <f>B1485+0.1</f>
        <v/>
      </c>
      <c r="C1486">
        <f>A1486/10</f>
        <v/>
      </c>
      <c r="D1486">
        <f>B1486=C1486</f>
        <v/>
      </c>
      <c r="E1486">
        <f>INT(B1486*10)=A1486</f>
        <v/>
      </c>
      <c r="F1486">
        <f>B1486&gt;=C1486</f>
        <v/>
      </c>
      <c r="G1486">
        <f>ROUND(G1485+0.1,1)</f>
        <v/>
      </c>
      <c r="H1486">
        <f>G1486=C1486</f>
        <v/>
      </c>
      <c r="I1486">
        <f>TEXT(B1486,"0.00000000000000")</f>
        <v/>
      </c>
    </row>
    <row r="1487">
      <c r="A1487" t="n">
        <v>1480</v>
      </c>
      <c r="B1487">
        <f>B1486+0.1</f>
        <v/>
      </c>
      <c r="C1487">
        <f>A1487/10</f>
        <v/>
      </c>
      <c r="D1487">
        <f>B1487=C1487</f>
        <v/>
      </c>
      <c r="E1487">
        <f>INT(B1487*10)=A1487</f>
        <v/>
      </c>
      <c r="F1487">
        <f>B1487&gt;=C1487</f>
        <v/>
      </c>
      <c r="G1487">
        <f>ROUND(G1486+0.1,1)</f>
        <v/>
      </c>
      <c r="H1487">
        <f>G1487=C1487</f>
        <v/>
      </c>
      <c r="I1487">
        <f>TEXT(B1487,"0.00000000000000")</f>
        <v/>
      </c>
    </row>
    <row r="1488">
      <c r="A1488" t="n">
        <v>1481</v>
      </c>
      <c r="B1488">
        <f>B1487+0.1</f>
        <v/>
      </c>
      <c r="C1488">
        <f>A1488/10</f>
        <v/>
      </c>
      <c r="D1488">
        <f>B1488=C1488</f>
        <v/>
      </c>
      <c r="E1488">
        <f>INT(B1488*10)=A1488</f>
        <v/>
      </c>
      <c r="F1488">
        <f>B1488&gt;=C1488</f>
        <v/>
      </c>
      <c r="G1488">
        <f>ROUND(G1487+0.1,1)</f>
        <v/>
      </c>
      <c r="H1488">
        <f>G1488=C1488</f>
        <v/>
      </c>
      <c r="I1488">
        <f>TEXT(B1488,"0.00000000000000")</f>
        <v/>
      </c>
    </row>
    <row r="1489">
      <c r="A1489" t="n">
        <v>1482</v>
      </c>
      <c r="B1489">
        <f>B1488+0.1</f>
        <v/>
      </c>
      <c r="C1489">
        <f>A1489/10</f>
        <v/>
      </c>
      <c r="D1489">
        <f>B1489=C1489</f>
        <v/>
      </c>
      <c r="E1489">
        <f>INT(B1489*10)=A1489</f>
        <v/>
      </c>
      <c r="F1489">
        <f>B1489&gt;=C1489</f>
        <v/>
      </c>
      <c r="G1489">
        <f>ROUND(G1488+0.1,1)</f>
        <v/>
      </c>
      <c r="H1489">
        <f>G1489=C1489</f>
        <v/>
      </c>
      <c r="I1489">
        <f>TEXT(B1489,"0.00000000000000")</f>
        <v/>
      </c>
    </row>
    <row r="1490">
      <c r="A1490" t="n">
        <v>1483</v>
      </c>
      <c r="B1490">
        <f>B1489+0.1</f>
        <v/>
      </c>
      <c r="C1490">
        <f>A1490/10</f>
        <v/>
      </c>
      <c r="D1490">
        <f>B1490=C1490</f>
        <v/>
      </c>
      <c r="E1490">
        <f>INT(B1490*10)=A1490</f>
        <v/>
      </c>
      <c r="F1490">
        <f>B1490&gt;=C1490</f>
        <v/>
      </c>
      <c r="G1490">
        <f>ROUND(G1489+0.1,1)</f>
        <v/>
      </c>
      <c r="H1490">
        <f>G1490=C1490</f>
        <v/>
      </c>
      <c r="I1490">
        <f>TEXT(B1490,"0.00000000000000")</f>
        <v/>
      </c>
    </row>
    <row r="1491">
      <c r="A1491" t="n">
        <v>1484</v>
      </c>
      <c r="B1491">
        <f>B1490+0.1</f>
        <v/>
      </c>
      <c r="C1491">
        <f>A1491/10</f>
        <v/>
      </c>
      <c r="D1491">
        <f>B1491=C1491</f>
        <v/>
      </c>
      <c r="E1491">
        <f>INT(B1491*10)=A1491</f>
        <v/>
      </c>
      <c r="F1491">
        <f>B1491&gt;=C1491</f>
        <v/>
      </c>
      <c r="G1491">
        <f>ROUND(G1490+0.1,1)</f>
        <v/>
      </c>
      <c r="H1491">
        <f>G1491=C1491</f>
        <v/>
      </c>
      <c r="I1491">
        <f>TEXT(B1491,"0.00000000000000")</f>
        <v/>
      </c>
    </row>
    <row r="1492">
      <c r="A1492" t="n">
        <v>1485</v>
      </c>
      <c r="B1492">
        <f>B1491+0.1</f>
        <v/>
      </c>
      <c r="C1492">
        <f>A1492/10</f>
        <v/>
      </c>
      <c r="D1492">
        <f>B1492=C1492</f>
        <v/>
      </c>
      <c r="E1492">
        <f>INT(B1492*10)=A1492</f>
        <v/>
      </c>
      <c r="F1492">
        <f>B1492&gt;=C1492</f>
        <v/>
      </c>
      <c r="G1492">
        <f>ROUND(G1491+0.1,1)</f>
        <v/>
      </c>
      <c r="H1492">
        <f>G1492=C1492</f>
        <v/>
      </c>
      <c r="I1492">
        <f>TEXT(B1492,"0.00000000000000")</f>
        <v/>
      </c>
    </row>
    <row r="1493">
      <c r="A1493" t="n">
        <v>1486</v>
      </c>
      <c r="B1493">
        <f>B1492+0.1</f>
        <v/>
      </c>
      <c r="C1493">
        <f>A1493/10</f>
        <v/>
      </c>
      <c r="D1493">
        <f>B1493=C1493</f>
        <v/>
      </c>
      <c r="E1493">
        <f>INT(B1493*10)=A1493</f>
        <v/>
      </c>
      <c r="F1493">
        <f>B1493&gt;=C1493</f>
        <v/>
      </c>
      <c r="G1493">
        <f>ROUND(G1492+0.1,1)</f>
        <v/>
      </c>
      <c r="H1493">
        <f>G1493=C1493</f>
        <v/>
      </c>
      <c r="I1493">
        <f>TEXT(B1493,"0.00000000000000")</f>
        <v/>
      </c>
    </row>
    <row r="1494">
      <c r="A1494" t="n">
        <v>1487</v>
      </c>
      <c r="B1494">
        <f>B1493+0.1</f>
        <v/>
      </c>
      <c r="C1494">
        <f>A1494/10</f>
        <v/>
      </c>
      <c r="D1494">
        <f>B1494=C1494</f>
        <v/>
      </c>
      <c r="E1494">
        <f>INT(B1494*10)=A1494</f>
        <v/>
      </c>
      <c r="F1494">
        <f>B1494&gt;=C1494</f>
        <v/>
      </c>
      <c r="G1494">
        <f>ROUND(G1493+0.1,1)</f>
        <v/>
      </c>
      <c r="H1494">
        <f>G1494=C1494</f>
        <v/>
      </c>
      <c r="I1494">
        <f>TEXT(B1494,"0.00000000000000")</f>
        <v/>
      </c>
    </row>
    <row r="1495">
      <c r="A1495" t="n">
        <v>1488</v>
      </c>
      <c r="B1495">
        <f>B1494+0.1</f>
        <v/>
      </c>
      <c r="C1495">
        <f>A1495/10</f>
        <v/>
      </c>
      <c r="D1495">
        <f>B1495=C1495</f>
        <v/>
      </c>
      <c r="E1495">
        <f>INT(B1495*10)=A1495</f>
        <v/>
      </c>
      <c r="F1495">
        <f>B1495&gt;=C1495</f>
        <v/>
      </c>
      <c r="G1495">
        <f>ROUND(G1494+0.1,1)</f>
        <v/>
      </c>
      <c r="H1495">
        <f>G1495=C1495</f>
        <v/>
      </c>
      <c r="I1495">
        <f>TEXT(B1495,"0.00000000000000")</f>
        <v/>
      </c>
    </row>
    <row r="1496">
      <c r="A1496" t="n">
        <v>1489</v>
      </c>
      <c r="B1496">
        <f>B1495+0.1</f>
        <v/>
      </c>
      <c r="C1496">
        <f>A1496/10</f>
        <v/>
      </c>
      <c r="D1496">
        <f>B1496=C1496</f>
        <v/>
      </c>
      <c r="E1496">
        <f>INT(B1496*10)=A1496</f>
        <v/>
      </c>
      <c r="F1496">
        <f>B1496&gt;=C1496</f>
        <v/>
      </c>
      <c r="G1496">
        <f>ROUND(G1495+0.1,1)</f>
        <v/>
      </c>
      <c r="H1496">
        <f>G1496=C1496</f>
        <v/>
      </c>
      <c r="I1496">
        <f>TEXT(B1496,"0.00000000000000")</f>
        <v/>
      </c>
    </row>
    <row r="1497">
      <c r="A1497" t="n">
        <v>1490</v>
      </c>
      <c r="B1497">
        <f>B1496+0.1</f>
        <v/>
      </c>
      <c r="C1497">
        <f>A1497/10</f>
        <v/>
      </c>
      <c r="D1497">
        <f>B1497=C1497</f>
        <v/>
      </c>
      <c r="E1497">
        <f>INT(B1497*10)=A1497</f>
        <v/>
      </c>
      <c r="F1497">
        <f>B1497&gt;=C1497</f>
        <v/>
      </c>
      <c r="G1497">
        <f>ROUND(G1496+0.1,1)</f>
        <v/>
      </c>
      <c r="H1497">
        <f>G1497=C1497</f>
        <v/>
      </c>
      <c r="I1497">
        <f>TEXT(B1497,"0.00000000000000")</f>
        <v/>
      </c>
    </row>
    <row r="1498">
      <c r="A1498" t="n">
        <v>1491</v>
      </c>
      <c r="B1498">
        <f>B1497+0.1</f>
        <v/>
      </c>
      <c r="C1498">
        <f>A1498/10</f>
        <v/>
      </c>
      <c r="D1498">
        <f>B1498=C1498</f>
        <v/>
      </c>
      <c r="E1498">
        <f>INT(B1498*10)=A1498</f>
        <v/>
      </c>
      <c r="F1498">
        <f>B1498&gt;=C1498</f>
        <v/>
      </c>
      <c r="G1498">
        <f>ROUND(G1497+0.1,1)</f>
        <v/>
      </c>
      <c r="H1498">
        <f>G1498=C1498</f>
        <v/>
      </c>
      <c r="I1498">
        <f>TEXT(B1498,"0.00000000000000")</f>
        <v/>
      </c>
    </row>
    <row r="1499">
      <c r="A1499" t="n">
        <v>1492</v>
      </c>
      <c r="B1499">
        <f>B1498+0.1</f>
        <v/>
      </c>
      <c r="C1499">
        <f>A1499/10</f>
        <v/>
      </c>
      <c r="D1499">
        <f>B1499=C1499</f>
        <v/>
      </c>
      <c r="E1499">
        <f>INT(B1499*10)=A1499</f>
        <v/>
      </c>
      <c r="F1499">
        <f>B1499&gt;=C1499</f>
        <v/>
      </c>
      <c r="G1499">
        <f>ROUND(G1498+0.1,1)</f>
        <v/>
      </c>
      <c r="H1499">
        <f>G1499=C1499</f>
        <v/>
      </c>
      <c r="I1499">
        <f>TEXT(B1499,"0.00000000000000")</f>
        <v/>
      </c>
    </row>
    <row r="1500">
      <c r="A1500" t="n">
        <v>1493</v>
      </c>
      <c r="B1500">
        <f>B1499+0.1</f>
        <v/>
      </c>
      <c r="C1500">
        <f>A1500/10</f>
        <v/>
      </c>
      <c r="D1500">
        <f>B1500=C1500</f>
        <v/>
      </c>
      <c r="E1500">
        <f>INT(B1500*10)=A1500</f>
        <v/>
      </c>
      <c r="F1500">
        <f>B1500&gt;=C1500</f>
        <v/>
      </c>
      <c r="G1500">
        <f>ROUND(G1499+0.1,1)</f>
        <v/>
      </c>
      <c r="H1500">
        <f>G1500=C1500</f>
        <v/>
      </c>
      <c r="I1500">
        <f>TEXT(B1500,"0.00000000000000")</f>
        <v/>
      </c>
    </row>
    <row r="1501">
      <c r="A1501" t="n">
        <v>1494</v>
      </c>
      <c r="B1501">
        <f>B1500+0.1</f>
        <v/>
      </c>
      <c r="C1501">
        <f>A1501/10</f>
        <v/>
      </c>
      <c r="D1501">
        <f>B1501=C1501</f>
        <v/>
      </c>
      <c r="E1501">
        <f>INT(B1501*10)=A1501</f>
        <v/>
      </c>
      <c r="F1501">
        <f>B1501&gt;=C1501</f>
        <v/>
      </c>
      <c r="G1501">
        <f>ROUND(G1500+0.1,1)</f>
        <v/>
      </c>
      <c r="H1501">
        <f>G1501=C1501</f>
        <v/>
      </c>
      <c r="I1501">
        <f>TEXT(B1501,"0.00000000000000")</f>
        <v/>
      </c>
    </row>
    <row r="1502">
      <c r="A1502" t="n">
        <v>1495</v>
      </c>
      <c r="B1502">
        <f>B1501+0.1</f>
        <v/>
      </c>
      <c r="C1502">
        <f>A1502/10</f>
        <v/>
      </c>
      <c r="D1502">
        <f>B1502=C1502</f>
        <v/>
      </c>
      <c r="E1502">
        <f>INT(B1502*10)=A1502</f>
        <v/>
      </c>
      <c r="F1502">
        <f>B1502&gt;=C1502</f>
        <v/>
      </c>
      <c r="G1502">
        <f>ROUND(G1501+0.1,1)</f>
        <v/>
      </c>
      <c r="H1502">
        <f>G1502=C1502</f>
        <v/>
      </c>
      <c r="I1502">
        <f>TEXT(B1502,"0.00000000000000")</f>
        <v/>
      </c>
    </row>
    <row r="1503">
      <c r="A1503" t="n">
        <v>1496</v>
      </c>
      <c r="B1503">
        <f>B1502+0.1</f>
        <v/>
      </c>
      <c r="C1503">
        <f>A1503/10</f>
        <v/>
      </c>
      <c r="D1503">
        <f>B1503=C1503</f>
        <v/>
      </c>
      <c r="E1503">
        <f>INT(B1503*10)=A1503</f>
        <v/>
      </c>
      <c r="F1503">
        <f>B1503&gt;=C1503</f>
        <v/>
      </c>
      <c r="G1503">
        <f>ROUND(G1502+0.1,1)</f>
        <v/>
      </c>
      <c r="H1503">
        <f>G1503=C1503</f>
        <v/>
      </c>
      <c r="I1503">
        <f>TEXT(B1503,"0.00000000000000")</f>
        <v/>
      </c>
    </row>
    <row r="1504">
      <c r="A1504" t="n">
        <v>1497</v>
      </c>
      <c r="B1504">
        <f>B1503+0.1</f>
        <v/>
      </c>
      <c r="C1504">
        <f>A1504/10</f>
        <v/>
      </c>
      <c r="D1504">
        <f>B1504=C1504</f>
        <v/>
      </c>
      <c r="E1504">
        <f>INT(B1504*10)=A1504</f>
        <v/>
      </c>
      <c r="F1504">
        <f>B1504&gt;=C1504</f>
        <v/>
      </c>
      <c r="G1504">
        <f>ROUND(G1503+0.1,1)</f>
        <v/>
      </c>
      <c r="H1504">
        <f>G1504=C1504</f>
        <v/>
      </c>
      <c r="I1504">
        <f>TEXT(B1504,"0.00000000000000")</f>
        <v/>
      </c>
    </row>
    <row r="1505">
      <c r="A1505" t="n">
        <v>1498</v>
      </c>
      <c r="B1505">
        <f>B1504+0.1</f>
        <v/>
      </c>
      <c r="C1505">
        <f>A1505/10</f>
        <v/>
      </c>
      <c r="D1505">
        <f>B1505=C1505</f>
        <v/>
      </c>
      <c r="E1505">
        <f>INT(B1505*10)=A1505</f>
        <v/>
      </c>
      <c r="F1505">
        <f>B1505&gt;=C1505</f>
        <v/>
      </c>
      <c r="G1505">
        <f>ROUND(G1504+0.1,1)</f>
        <v/>
      </c>
      <c r="H1505">
        <f>G1505=C1505</f>
        <v/>
      </c>
      <c r="I1505">
        <f>TEXT(B1505,"0.00000000000000")</f>
        <v/>
      </c>
    </row>
    <row r="1506">
      <c r="A1506" t="n">
        <v>1499</v>
      </c>
      <c r="B1506">
        <f>B1505+0.1</f>
        <v/>
      </c>
      <c r="C1506">
        <f>A1506/10</f>
        <v/>
      </c>
      <c r="D1506">
        <f>B1506=C1506</f>
        <v/>
      </c>
      <c r="E1506">
        <f>INT(B1506*10)=A1506</f>
        <v/>
      </c>
      <c r="F1506">
        <f>B1506&gt;=C1506</f>
        <v/>
      </c>
      <c r="G1506">
        <f>ROUND(G1505+0.1,1)</f>
        <v/>
      </c>
      <c r="H1506">
        <f>G1506=C1506</f>
        <v/>
      </c>
      <c r="I1506">
        <f>TEXT(B1506,"0.00000000000000")</f>
        <v/>
      </c>
    </row>
    <row r="1507">
      <c r="A1507" t="n">
        <v>1500</v>
      </c>
      <c r="B1507">
        <f>B1506+0.1</f>
        <v/>
      </c>
      <c r="C1507">
        <f>A1507/10</f>
        <v/>
      </c>
      <c r="D1507">
        <f>B1507=C1507</f>
        <v/>
      </c>
      <c r="E1507">
        <f>INT(B1507*10)=A1507</f>
        <v/>
      </c>
      <c r="F1507">
        <f>B1507&gt;=C1507</f>
        <v/>
      </c>
      <c r="G1507">
        <f>ROUND(G1506+0.1,1)</f>
        <v/>
      </c>
      <c r="H1507">
        <f>G1507=C1507</f>
        <v/>
      </c>
      <c r="I1507">
        <f>TEXT(B1507,"0.00000000000000")</f>
        <v/>
      </c>
    </row>
    <row r="1508">
      <c r="A1508" t="n">
        <v>1501</v>
      </c>
      <c r="B1508">
        <f>B1507+0.1</f>
        <v/>
      </c>
      <c r="C1508">
        <f>A1508/10</f>
        <v/>
      </c>
      <c r="D1508">
        <f>B1508=C1508</f>
        <v/>
      </c>
      <c r="E1508">
        <f>INT(B1508*10)=A1508</f>
        <v/>
      </c>
      <c r="F1508">
        <f>B1508&gt;=C1508</f>
        <v/>
      </c>
      <c r="G1508">
        <f>ROUND(G1507+0.1,1)</f>
        <v/>
      </c>
      <c r="H1508">
        <f>G1508=C1508</f>
        <v/>
      </c>
      <c r="I1508">
        <f>TEXT(B1508,"0.00000000000000")</f>
        <v/>
      </c>
    </row>
    <row r="1509">
      <c r="A1509" t="n">
        <v>1502</v>
      </c>
      <c r="B1509">
        <f>B1508+0.1</f>
        <v/>
      </c>
      <c r="C1509">
        <f>A1509/10</f>
        <v/>
      </c>
      <c r="D1509">
        <f>B1509=C1509</f>
        <v/>
      </c>
      <c r="E1509">
        <f>INT(B1509*10)=A1509</f>
        <v/>
      </c>
      <c r="F1509">
        <f>B1509&gt;=C1509</f>
        <v/>
      </c>
      <c r="G1509">
        <f>ROUND(G1508+0.1,1)</f>
        <v/>
      </c>
      <c r="H1509">
        <f>G1509=C1509</f>
        <v/>
      </c>
      <c r="I1509">
        <f>TEXT(B1509,"0.00000000000000")</f>
        <v/>
      </c>
    </row>
    <row r="1510">
      <c r="A1510" t="n">
        <v>1503</v>
      </c>
      <c r="B1510">
        <f>B1509+0.1</f>
        <v/>
      </c>
      <c r="C1510">
        <f>A1510/10</f>
        <v/>
      </c>
      <c r="D1510">
        <f>B1510=C1510</f>
        <v/>
      </c>
      <c r="E1510">
        <f>INT(B1510*10)=A1510</f>
        <v/>
      </c>
      <c r="F1510">
        <f>B1510&gt;=C1510</f>
        <v/>
      </c>
      <c r="G1510">
        <f>ROUND(G1509+0.1,1)</f>
        <v/>
      </c>
      <c r="H1510">
        <f>G1510=C1510</f>
        <v/>
      </c>
      <c r="I1510">
        <f>TEXT(B1510,"0.00000000000000")</f>
        <v/>
      </c>
    </row>
    <row r="1511">
      <c r="A1511" t="n">
        <v>1504</v>
      </c>
      <c r="B1511">
        <f>B1510+0.1</f>
        <v/>
      </c>
      <c r="C1511">
        <f>A1511/10</f>
        <v/>
      </c>
      <c r="D1511">
        <f>B1511=C1511</f>
        <v/>
      </c>
      <c r="E1511">
        <f>INT(B1511*10)=A1511</f>
        <v/>
      </c>
      <c r="F1511">
        <f>B1511&gt;=C1511</f>
        <v/>
      </c>
      <c r="G1511">
        <f>ROUND(G1510+0.1,1)</f>
        <v/>
      </c>
      <c r="H1511">
        <f>G1511=C1511</f>
        <v/>
      </c>
      <c r="I1511">
        <f>TEXT(B1511,"0.00000000000000")</f>
        <v/>
      </c>
    </row>
    <row r="1512">
      <c r="A1512" t="n">
        <v>1505</v>
      </c>
      <c r="B1512">
        <f>B1511+0.1</f>
        <v/>
      </c>
      <c r="C1512">
        <f>A1512/10</f>
        <v/>
      </c>
      <c r="D1512">
        <f>B1512=C1512</f>
        <v/>
      </c>
      <c r="E1512">
        <f>INT(B1512*10)=A1512</f>
        <v/>
      </c>
      <c r="F1512">
        <f>B1512&gt;=C1512</f>
        <v/>
      </c>
      <c r="G1512">
        <f>ROUND(G1511+0.1,1)</f>
        <v/>
      </c>
      <c r="H1512">
        <f>G1512=C1512</f>
        <v/>
      </c>
      <c r="I1512">
        <f>TEXT(B1512,"0.00000000000000")</f>
        <v/>
      </c>
    </row>
    <row r="1513">
      <c r="A1513" t="n">
        <v>1506</v>
      </c>
      <c r="B1513">
        <f>B1512+0.1</f>
        <v/>
      </c>
      <c r="C1513">
        <f>A1513/10</f>
        <v/>
      </c>
      <c r="D1513">
        <f>B1513=C1513</f>
        <v/>
      </c>
      <c r="E1513">
        <f>INT(B1513*10)=A1513</f>
        <v/>
      </c>
      <c r="F1513">
        <f>B1513&gt;=C1513</f>
        <v/>
      </c>
      <c r="G1513">
        <f>ROUND(G1512+0.1,1)</f>
        <v/>
      </c>
      <c r="H1513">
        <f>G1513=C1513</f>
        <v/>
      </c>
      <c r="I1513">
        <f>TEXT(B1513,"0.00000000000000")</f>
        <v/>
      </c>
    </row>
    <row r="1514">
      <c r="A1514" t="n">
        <v>1507</v>
      </c>
      <c r="B1514">
        <f>B1513+0.1</f>
        <v/>
      </c>
      <c r="C1514">
        <f>A1514/10</f>
        <v/>
      </c>
      <c r="D1514">
        <f>B1514=C1514</f>
        <v/>
      </c>
      <c r="E1514">
        <f>INT(B1514*10)=A1514</f>
        <v/>
      </c>
      <c r="F1514">
        <f>B1514&gt;=C1514</f>
        <v/>
      </c>
      <c r="G1514">
        <f>ROUND(G1513+0.1,1)</f>
        <v/>
      </c>
      <c r="H1514">
        <f>G1514=C1514</f>
        <v/>
      </c>
      <c r="I1514">
        <f>TEXT(B1514,"0.00000000000000")</f>
        <v/>
      </c>
    </row>
    <row r="1515">
      <c r="A1515" t="n">
        <v>1508</v>
      </c>
      <c r="B1515">
        <f>B1514+0.1</f>
        <v/>
      </c>
      <c r="C1515">
        <f>A1515/10</f>
        <v/>
      </c>
      <c r="D1515">
        <f>B1515=C1515</f>
        <v/>
      </c>
      <c r="E1515">
        <f>INT(B1515*10)=A1515</f>
        <v/>
      </c>
      <c r="F1515">
        <f>B1515&gt;=C1515</f>
        <v/>
      </c>
      <c r="G1515">
        <f>ROUND(G1514+0.1,1)</f>
        <v/>
      </c>
      <c r="H1515">
        <f>G1515=C1515</f>
        <v/>
      </c>
      <c r="I1515">
        <f>TEXT(B1515,"0.00000000000000")</f>
        <v/>
      </c>
    </row>
    <row r="1516">
      <c r="A1516" t="n">
        <v>1509</v>
      </c>
      <c r="B1516">
        <f>B1515+0.1</f>
        <v/>
      </c>
      <c r="C1516">
        <f>A1516/10</f>
        <v/>
      </c>
      <c r="D1516">
        <f>B1516=C1516</f>
        <v/>
      </c>
      <c r="E1516">
        <f>INT(B1516*10)=A1516</f>
        <v/>
      </c>
      <c r="F1516">
        <f>B1516&gt;=C1516</f>
        <v/>
      </c>
      <c r="G1516">
        <f>ROUND(G1515+0.1,1)</f>
        <v/>
      </c>
      <c r="H1516">
        <f>G1516=C1516</f>
        <v/>
      </c>
      <c r="I1516">
        <f>TEXT(B1516,"0.00000000000000")</f>
        <v/>
      </c>
    </row>
    <row r="1517">
      <c r="A1517" t="n">
        <v>1510</v>
      </c>
      <c r="B1517">
        <f>B1516+0.1</f>
        <v/>
      </c>
      <c r="C1517">
        <f>A1517/10</f>
        <v/>
      </c>
      <c r="D1517">
        <f>B1517=C1517</f>
        <v/>
      </c>
      <c r="E1517">
        <f>INT(B1517*10)=A1517</f>
        <v/>
      </c>
      <c r="F1517">
        <f>B1517&gt;=C1517</f>
        <v/>
      </c>
      <c r="G1517">
        <f>ROUND(G1516+0.1,1)</f>
        <v/>
      </c>
      <c r="H1517">
        <f>G1517=C1517</f>
        <v/>
      </c>
      <c r="I1517">
        <f>TEXT(B1517,"0.00000000000000")</f>
        <v/>
      </c>
    </row>
    <row r="1518">
      <c r="A1518" t="n">
        <v>1511</v>
      </c>
      <c r="B1518">
        <f>B1517+0.1</f>
        <v/>
      </c>
      <c r="C1518">
        <f>A1518/10</f>
        <v/>
      </c>
      <c r="D1518">
        <f>B1518=C1518</f>
        <v/>
      </c>
      <c r="E1518">
        <f>INT(B1518*10)=A1518</f>
        <v/>
      </c>
      <c r="F1518">
        <f>B1518&gt;=C1518</f>
        <v/>
      </c>
      <c r="G1518">
        <f>ROUND(G1517+0.1,1)</f>
        <v/>
      </c>
      <c r="H1518">
        <f>G1518=C1518</f>
        <v/>
      </c>
      <c r="I1518">
        <f>TEXT(B1518,"0.00000000000000")</f>
        <v/>
      </c>
    </row>
    <row r="1519">
      <c r="A1519" t="n">
        <v>1512</v>
      </c>
      <c r="B1519">
        <f>B1518+0.1</f>
        <v/>
      </c>
      <c r="C1519">
        <f>A1519/10</f>
        <v/>
      </c>
      <c r="D1519">
        <f>B1519=C1519</f>
        <v/>
      </c>
      <c r="E1519">
        <f>INT(B1519*10)=A1519</f>
        <v/>
      </c>
      <c r="F1519">
        <f>B1519&gt;=C1519</f>
        <v/>
      </c>
      <c r="G1519">
        <f>ROUND(G1518+0.1,1)</f>
        <v/>
      </c>
      <c r="H1519">
        <f>G1519=C1519</f>
        <v/>
      </c>
      <c r="I1519">
        <f>TEXT(B1519,"0.00000000000000")</f>
        <v/>
      </c>
    </row>
    <row r="1520">
      <c r="A1520" t="n">
        <v>1513</v>
      </c>
      <c r="B1520">
        <f>B1519+0.1</f>
        <v/>
      </c>
      <c r="C1520">
        <f>A1520/10</f>
        <v/>
      </c>
      <c r="D1520">
        <f>B1520=C1520</f>
        <v/>
      </c>
      <c r="E1520">
        <f>INT(B1520*10)=A1520</f>
        <v/>
      </c>
      <c r="F1520">
        <f>B1520&gt;=C1520</f>
        <v/>
      </c>
      <c r="G1520">
        <f>ROUND(G1519+0.1,1)</f>
        <v/>
      </c>
      <c r="H1520">
        <f>G1520=C1520</f>
        <v/>
      </c>
      <c r="I1520">
        <f>TEXT(B1520,"0.00000000000000")</f>
        <v/>
      </c>
    </row>
    <row r="1521">
      <c r="A1521" t="n">
        <v>1514</v>
      </c>
      <c r="B1521">
        <f>B1520+0.1</f>
        <v/>
      </c>
      <c r="C1521">
        <f>A1521/10</f>
        <v/>
      </c>
      <c r="D1521">
        <f>B1521=C1521</f>
        <v/>
      </c>
      <c r="E1521">
        <f>INT(B1521*10)=A1521</f>
        <v/>
      </c>
      <c r="F1521">
        <f>B1521&gt;=C1521</f>
        <v/>
      </c>
      <c r="G1521">
        <f>ROUND(G1520+0.1,1)</f>
        <v/>
      </c>
      <c r="H1521">
        <f>G1521=C1521</f>
        <v/>
      </c>
      <c r="I1521">
        <f>TEXT(B1521,"0.00000000000000")</f>
        <v/>
      </c>
    </row>
    <row r="1522">
      <c r="A1522" t="n">
        <v>1515</v>
      </c>
      <c r="B1522">
        <f>B1521+0.1</f>
        <v/>
      </c>
      <c r="C1522">
        <f>A1522/10</f>
        <v/>
      </c>
      <c r="D1522">
        <f>B1522=C1522</f>
        <v/>
      </c>
      <c r="E1522">
        <f>INT(B1522*10)=A1522</f>
        <v/>
      </c>
      <c r="F1522">
        <f>B1522&gt;=C1522</f>
        <v/>
      </c>
      <c r="G1522">
        <f>ROUND(G1521+0.1,1)</f>
        <v/>
      </c>
      <c r="H1522">
        <f>G1522=C1522</f>
        <v/>
      </c>
      <c r="I1522">
        <f>TEXT(B1522,"0.00000000000000")</f>
        <v/>
      </c>
    </row>
    <row r="1523">
      <c r="A1523" t="n">
        <v>1516</v>
      </c>
      <c r="B1523">
        <f>B1522+0.1</f>
        <v/>
      </c>
      <c r="C1523">
        <f>A1523/10</f>
        <v/>
      </c>
      <c r="D1523">
        <f>B1523=C1523</f>
        <v/>
      </c>
      <c r="E1523">
        <f>INT(B1523*10)=A1523</f>
        <v/>
      </c>
      <c r="F1523">
        <f>B1523&gt;=C1523</f>
        <v/>
      </c>
      <c r="G1523">
        <f>ROUND(G1522+0.1,1)</f>
        <v/>
      </c>
      <c r="H1523">
        <f>G1523=C1523</f>
        <v/>
      </c>
      <c r="I1523">
        <f>TEXT(B1523,"0.00000000000000")</f>
        <v/>
      </c>
    </row>
    <row r="1524">
      <c r="A1524" t="n">
        <v>1517</v>
      </c>
      <c r="B1524">
        <f>B1523+0.1</f>
        <v/>
      </c>
      <c r="C1524">
        <f>A1524/10</f>
        <v/>
      </c>
      <c r="D1524">
        <f>B1524=C1524</f>
        <v/>
      </c>
      <c r="E1524">
        <f>INT(B1524*10)=A1524</f>
        <v/>
      </c>
      <c r="F1524">
        <f>B1524&gt;=C1524</f>
        <v/>
      </c>
      <c r="G1524">
        <f>ROUND(G1523+0.1,1)</f>
        <v/>
      </c>
      <c r="H1524">
        <f>G1524=C1524</f>
        <v/>
      </c>
      <c r="I1524">
        <f>TEXT(B1524,"0.00000000000000")</f>
        <v/>
      </c>
    </row>
    <row r="1525">
      <c r="A1525" t="n">
        <v>1518</v>
      </c>
      <c r="B1525">
        <f>B1524+0.1</f>
        <v/>
      </c>
      <c r="C1525">
        <f>A1525/10</f>
        <v/>
      </c>
      <c r="D1525">
        <f>B1525=C1525</f>
        <v/>
      </c>
      <c r="E1525">
        <f>INT(B1525*10)=A1525</f>
        <v/>
      </c>
      <c r="F1525">
        <f>B1525&gt;=C1525</f>
        <v/>
      </c>
      <c r="G1525">
        <f>ROUND(G1524+0.1,1)</f>
        <v/>
      </c>
      <c r="H1525">
        <f>G1525=C1525</f>
        <v/>
      </c>
      <c r="I1525">
        <f>TEXT(B1525,"0.00000000000000")</f>
        <v/>
      </c>
    </row>
    <row r="1526">
      <c r="A1526" t="n">
        <v>1519</v>
      </c>
      <c r="B1526">
        <f>B1525+0.1</f>
        <v/>
      </c>
      <c r="C1526">
        <f>A1526/10</f>
        <v/>
      </c>
      <c r="D1526">
        <f>B1526=C1526</f>
        <v/>
      </c>
      <c r="E1526">
        <f>INT(B1526*10)=A1526</f>
        <v/>
      </c>
      <c r="F1526">
        <f>B1526&gt;=C1526</f>
        <v/>
      </c>
      <c r="G1526">
        <f>ROUND(G1525+0.1,1)</f>
        <v/>
      </c>
      <c r="H1526">
        <f>G1526=C1526</f>
        <v/>
      </c>
      <c r="I1526">
        <f>TEXT(B1526,"0.00000000000000")</f>
        <v/>
      </c>
    </row>
    <row r="1527">
      <c r="A1527" t="n">
        <v>1520</v>
      </c>
      <c r="B1527">
        <f>B1526+0.1</f>
        <v/>
      </c>
      <c r="C1527">
        <f>A1527/10</f>
        <v/>
      </c>
      <c r="D1527">
        <f>B1527=C1527</f>
        <v/>
      </c>
      <c r="E1527">
        <f>INT(B1527*10)=A1527</f>
        <v/>
      </c>
      <c r="F1527">
        <f>B1527&gt;=C1527</f>
        <v/>
      </c>
      <c r="G1527">
        <f>ROUND(G1526+0.1,1)</f>
        <v/>
      </c>
      <c r="H1527">
        <f>G1527=C1527</f>
        <v/>
      </c>
      <c r="I1527">
        <f>TEXT(B1527,"0.00000000000000")</f>
        <v/>
      </c>
    </row>
    <row r="1528">
      <c r="A1528" t="n">
        <v>1521</v>
      </c>
      <c r="B1528">
        <f>B1527+0.1</f>
        <v/>
      </c>
      <c r="C1528">
        <f>A1528/10</f>
        <v/>
      </c>
      <c r="D1528">
        <f>B1528=C1528</f>
        <v/>
      </c>
      <c r="E1528">
        <f>INT(B1528*10)=A1528</f>
        <v/>
      </c>
      <c r="F1528">
        <f>B1528&gt;=C1528</f>
        <v/>
      </c>
      <c r="G1528">
        <f>ROUND(G1527+0.1,1)</f>
        <v/>
      </c>
      <c r="H1528">
        <f>G1528=C1528</f>
        <v/>
      </c>
      <c r="I1528">
        <f>TEXT(B1528,"0.00000000000000")</f>
        <v/>
      </c>
    </row>
    <row r="1529">
      <c r="A1529" t="n">
        <v>1522</v>
      </c>
      <c r="B1529">
        <f>B1528+0.1</f>
        <v/>
      </c>
      <c r="C1529">
        <f>A1529/10</f>
        <v/>
      </c>
      <c r="D1529">
        <f>B1529=C1529</f>
        <v/>
      </c>
      <c r="E1529">
        <f>INT(B1529*10)=A1529</f>
        <v/>
      </c>
      <c r="F1529">
        <f>B1529&gt;=C1529</f>
        <v/>
      </c>
      <c r="G1529">
        <f>ROUND(G1528+0.1,1)</f>
        <v/>
      </c>
      <c r="H1529">
        <f>G1529=C1529</f>
        <v/>
      </c>
      <c r="I1529">
        <f>TEXT(B1529,"0.00000000000000")</f>
        <v/>
      </c>
    </row>
    <row r="1530">
      <c r="A1530" t="n">
        <v>1523</v>
      </c>
      <c r="B1530">
        <f>B1529+0.1</f>
        <v/>
      </c>
      <c r="C1530">
        <f>A1530/10</f>
        <v/>
      </c>
      <c r="D1530">
        <f>B1530=C1530</f>
        <v/>
      </c>
      <c r="E1530">
        <f>INT(B1530*10)=A1530</f>
        <v/>
      </c>
      <c r="F1530">
        <f>B1530&gt;=C1530</f>
        <v/>
      </c>
      <c r="G1530">
        <f>ROUND(G1529+0.1,1)</f>
        <v/>
      </c>
      <c r="H1530">
        <f>G1530=C1530</f>
        <v/>
      </c>
      <c r="I1530">
        <f>TEXT(B1530,"0.00000000000000")</f>
        <v/>
      </c>
    </row>
    <row r="1531">
      <c r="A1531" t="n">
        <v>1524</v>
      </c>
      <c r="B1531">
        <f>B1530+0.1</f>
        <v/>
      </c>
      <c r="C1531">
        <f>A1531/10</f>
        <v/>
      </c>
      <c r="D1531">
        <f>B1531=C1531</f>
        <v/>
      </c>
      <c r="E1531">
        <f>INT(B1531*10)=A1531</f>
        <v/>
      </c>
      <c r="F1531">
        <f>B1531&gt;=C1531</f>
        <v/>
      </c>
      <c r="G1531">
        <f>ROUND(G1530+0.1,1)</f>
        <v/>
      </c>
      <c r="H1531">
        <f>G1531=C1531</f>
        <v/>
      </c>
      <c r="I1531">
        <f>TEXT(B1531,"0.00000000000000")</f>
        <v/>
      </c>
    </row>
    <row r="1532">
      <c r="A1532" t="n">
        <v>1525</v>
      </c>
      <c r="B1532">
        <f>B1531+0.1</f>
        <v/>
      </c>
      <c r="C1532">
        <f>A1532/10</f>
        <v/>
      </c>
      <c r="D1532">
        <f>B1532=C1532</f>
        <v/>
      </c>
      <c r="E1532">
        <f>INT(B1532*10)=A1532</f>
        <v/>
      </c>
      <c r="F1532">
        <f>B1532&gt;=C1532</f>
        <v/>
      </c>
      <c r="G1532">
        <f>ROUND(G1531+0.1,1)</f>
        <v/>
      </c>
      <c r="H1532">
        <f>G1532=C1532</f>
        <v/>
      </c>
      <c r="I1532">
        <f>TEXT(B1532,"0.00000000000000")</f>
        <v/>
      </c>
    </row>
    <row r="1533">
      <c r="A1533" t="n">
        <v>1526</v>
      </c>
      <c r="B1533">
        <f>B1532+0.1</f>
        <v/>
      </c>
      <c r="C1533">
        <f>A1533/10</f>
        <v/>
      </c>
      <c r="D1533">
        <f>B1533=C1533</f>
        <v/>
      </c>
      <c r="E1533">
        <f>INT(B1533*10)=A1533</f>
        <v/>
      </c>
      <c r="F1533">
        <f>B1533&gt;=C1533</f>
        <v/>
      </c>
      <c r="G1533">
        <f>ROUND(G1532+0.1,1)</f>
        <v/>
      </c>
      <c r="H1533">
        <f>G1533=C1533</f>
        <v/>
      </c>
      <c r="I1533">
        <f>TEXT(B1533,"0.00000000000000")</f>
        <v/>
      </c>
    </row>
    <row r="1534">
      <c r="A1534" t="n">
        <v>1527</v>
      </c>
      <c r="B1534">
        <f>B1533+0.1</f>
        <v/>
      </c>
      <c r="C1534">
        <f>A1534/10</f>
        <v/>
      </c>
      <c r="D1534">
        <f>B1534=C1534</f>
        <v/>
      </c>
      <c r="E1534">
        <f>INT(B1534*10)=A1534</f>
        <v/>
      </c>
      <c r="F1534">
        <f>B1534&gt;=C1534</f>
        <v/>
      </c>
      <c r="G1534">
        <f>ROUND(G1533+0.1,1)</f>
        <v/>
      </c>
      <c r="H1534">
        <f>G1534=C1534</f>
        <v/>
      </c>
      <c r="I1534">
        <f>TEXT(B1534,"0.00000000000000")</f>
        <v/>
      </c>
    </row>
    <row r="1535">
      <c r="A1535" t="n">
        <v>1528</v>
      </c>
      <c r="B1535">
        <f>B1534+0.1</f>
        <v/>
      </c>
      <c r="C1535">
        <f>A1535/10</f>
        <v/>
      </c>
      <c r="D1535">
        <f>B1535=C1535</f>
        <v/>
      </c>
      <c r="E1535">
        <f>INT(B1535*10)=A1535</f>
        <v/>
      </c>
      <c r="F1535">
        <f>B1535&gt;=C1535</f>
        <v/>
      </c>
      <c r="G1535">
        <f>ROUND(G1534+0.1,1)</f>
        <v/>
      </c>
      <c r="H1535">
        <f>G1535=C1535</f>
        <v/>
      </c>
      <c r="I1535">
        <f>TEXT(B1535,"0.00000000000000")</f>
        <v/>
      </c>
    </row>
    <row r="1536">
      <c r="A1536" t="n">
        <v>1529</v>
      </c>
      <c r="B1536">
        <f>B1535+0.1</f>
        <v/>
      </c>
      <c r="C1536">
        <f>A1536/10</f>
        <v/>
      </c>
      <c r="D1536">
        <f>B1536=C1536</f>
        <v/>
      </c>
      <c r="E1536">
        <f>INT(B1536*10)=A1536</f>
        <v/>
      </c>
      <c r="F1536">
        <f>B1536&gt;=C1536</f>
        <v/>
      </c>
      <c r="G1536">
        <f>ROUND(G1535+0.1,1)</f>
        <v/>
      </c>
      <c r="H1536">
        <f>G1536=C1536</f>
        <v/>
      </c>
      <c r="I1536">
        <f>TEXT(B1536,"0.00000000000000")</f>
        <v/>
      </c>
    </row>
    <row r="1537">
      <c r="A1537" t="n">
        <v>1530</v>
      </c>
      <c r="B1537">
        <f>B1536+0.1</f>
        <v/>
      </c>
      <c r="C1537">
        <f>A1537/10</f>
        <v/>
      </c>
      <c r="D1537">
        <f>B1537=C1537</f>
        <v/>
      </c>
      <c r="E1537">
        <f>INT(B1537*10)=A1537</f>
        <v/>
      </c>
      <c r="F1537">
        <f>B1537&gt;=C1537</f>
        <v/>
      </c>
      <c r="G1537">
        <f>ROUND(G1536+0.1,1)</f>
        <v/>
      </c>
      <c r="H1537">
        <f>G1537=C1537</f>
        <v/>
      </c>
      <c r="I1537">
        <f>TEXT(B1537,"0.00000000000000")</f>
        <v/>
      </c>
    </row>
    <row r="1538">
      <c r="A1538" t="n">
        <v>1531</v>
      </c>
      <c r="B1538">
        <f>B1537+0.1</f>
        <v/>
      </c>
      <c r="C1538">
        <f>A1538/10</f>
        <v/>
      </c>
      <c r="D1538">
        <f>B1538=C1538</f>
        <v/>
      </c>
      <c r="E1538">
        <f>INT(B1538*10)=A1538</f>
        <v/>
      </c>
      <c r="F1538">
        <f>B1538&gt;=C1538</f>
        <v/>
      </c>
      <c r="G1538">
        <f>ROUND(G1537+0.1,1)</f>
        <v/>
      </c>
      <c r="H1538">
        <f>G1538=C1538</f>
        <v/>
      </c>
      <c r="I1538">
        <f>TEXT(B1538,"0.00000000000000")</f>
        <v/>
      </c>
    </row>
    <row r="1539">
      <c r="A1539" t="n">
        <v>1532</v>
      </c>
      <c r="B1539">
        <f>B1538+0.1</f>
        <v/>
      </c>
      <c r="C1539">
        <f>A1539/10</f>
        <v/>
      </c>
      <c r="D1539">
        <f>B1539=C1539</f>
        <v/>
      </c>
      <c r="E1539">
        <f>INT(B1539*10)=A1539</f>
        <v/>
      </c>
      <c r="F1539">
        <f>B1539&gt;=C1539</f>
        <v/>
      </c>
      <c r="G1539">
        <f>ROUND(G1538+0.1,1)</f>
        <v/>
      </c>
      <c r="H1539">
        <f>G1539=C1539</f>
        <v/>
      </c>
      <c r="I1539">
        <f>TEXT(B1539,"0.00000000000000")</f>
        <v/>
      </c>
    </row>
    <row r="1540">
      <c r="A1540" t="n">
        <v>1533</v>
      </c>
      <c r="B1540">
        <f>B1539+0.1</f>
        <v/>
      </c>
      <c r="C1540">
        <f>A1540/10</f>
        <v/>
      </c>
      <c r="D1540">
        <f>B1540=C1540</f>
        <v/>
      </c>
      <c r="E1540">
        <f>INT(B1540*10)=A1540</f>
        <v/>
      </c>
      <c r="F1540">
        <f>B1540&gt;=C1540</f>
        <v/>
      </c>
      <c r="G1540">
        <f>ROUND(G1539+0.1,1)</f>
        <v/>
      </c>
      <c r="H1540">
        <f>G1540=C1540</f>
        <v/>
      </c>
      <c r="I1540">
        <f>TEXT(B1540,"0.00000000000000")</f>
        <v/>
      </c>
    </row>
    <row r="1541">
      <c r="A1541" t="n">
        <v>1534</v>
      </c>
      <c r="B1541">
        <f>B1540+0.1</f>
        <v/>
      </c>
      <c r="C1541">
        <f>A1541/10</f>
        <v/>
      </c>
      <c r="D1541">
        <f>B1541=C1541</f>
        <v/>
      </c>
      <c r="E1541">
        <f>INT(B1541*10)=A1541</f>
        <v/>
      </c>
      <c r="F1541">
        <f>B1541&gt;=C1541</f>
        <v/>
      </c>
      <c r="G1541">
        <f>ROUND(G1540+0.1,1)</f>
        <v/>
      </c>
      <c r="H1541">
        <f>G1541=C1541</f>
        <v/>
      </c>
      <c r="I1541">
        <f>TEXT(B1541,"0.00000000000000")</f>
        <v/>
      </c>
    </row>
    <row r="1542">
      <c r="A1542" t="n">
        <v>1535</v>
      </c>
      <c r="B1542">
        <f>B1541+0.1</f>
        <v/>
      </c>
      <c r="C1542">
        <f>A1542/10</f>
        <v/>
      </c>
      <c r="D1542">
        <f>B1542=C1542</f>
        <v/>
      </c>
      <c r="E1542">
        <f>INT(B1542*10)=A1542</f>
        <v/>
      </c>
      <c r="F1542">
        <f>B1542&gt;=C1542</f>
        <v/>
      </c>
      <c r="G1542">
        <f>ROUND(G1541+0.1,1)</f>
        <v/>
      </c>
      <c r="H1542">
        <f>G1542=C1542</f>
        <v/>
      </c>
      <c r="I1542">
        <f>TEXT(B1542,"0.00000000000000")</f>
        <v/>
      </c>
    </row>
    <row r="1543">
      <c r="A1543" t="n">
        <v>1536</v>
      </c>
      <c r="B1543">
        <f>B1542+0.1</f>
        <v/>
      </c>
      <c r="C1543">
        <f>A1543/10</f>
        <v/>
      </c>
      <c r="D1543">
        <f>B1543=C1543</f>
        <v/>
      </c>
      <c r="E1543">
        <f>INT(B1543*10)=A1543</f>
        <v/>
      </c>
      <c r="F1543">
        <f>B1543&gt;=C1543</f>
        <v/>
      </c>
      <c r="G1543">
        <f>ROUND(G1542+0.1,1)</f>
        <v/>
      </c>
      <c r="H1543">
        <f>G1543=C1543</f>
        <v/>
      </c>
      <c r="I1543">
        <f>TEXT(B1543,"0.00000000000000")</f>
        <v/>
      </c>
    </row>
    <row r="1544">
      <c r="A1544" t="n">
        <v>1537</v>
      </c>
      <c r="B1544">
        <f>B1543+0.1</f>
        <v/>
      </c>
      <c r="C1544">
        <f>A1544/10</f>
        <v/>
      </c>
      <c r="D1544">
        <f>B1544=C1544</f>
        <v/>
      </c>
      <c r="E1544">
        <f>INT(B1544*10)=A1544</f>
        <v/>
      </c>
      <c r="F1544">
        <f>B1544&gt;=C1544</f>
        <v/>
      </c>
      <c r="G1544">
        <f>ROUND(G1543+0.1,1)</f>
        <v/>
      </c>
      <c r="H1544">
        <f>G1544=C1544</f>
        <v/>
      </c>
      <c r="I1544">
        <f>TEXT(B1544,"0.00000000000000")</f>
        <v/>
      </c>
    </row>
    <row r="1545">
      <c r="A1545" t="n">
        <v>1538</v>
      </c>
      <c r="B1545">
        <f>B1544+0.1</f>
        <v/>
      </c>
      <c r="C1545">
        <f>A1545/10</f>
        <v/>
      </c>
      <c r="D1545">
        <f>B1545=C1545</f>
        <v/>
      </c>
      <c r="E1545">
        <f>INT(B1545*10)=A1545</f>
        <v/>
      </c>
      <c r="F1545">
        <f>B1545&gt;=C1545</f>
        <v/>
      </c>
      <c r="G1545">
        <f>ROUND(G1544+0.1,1)</f>
        <v/>
      </c>
      <c r="H1545">
        <f>G1545=C1545</f>
        <v/>
      </c>
      <c r="I1545">
        <f>TEXT(B1545,"0.00000000000000")</f>
        <v/>
      </c>
    </row>
    <row r="1546">
      <c r="A1546" t="n">
        <v>1539</v>
      </c>
      <c r="B1546">
        <f>B1545+0.1</f>
        <v/>
      </c>
      <c r="C1546">
        <f>A1546/10</f>
        <v/>
      </c>
      <c r="D1546">
        <f>B1546=C1546</f>
        <v/>
      </c>
      <c r="E1546">
        <f>INT(B1546*10)=A1546</f>
        <v/>
      </c>
      <c r="F1546">
        <f>B1546&gt;=C1546</f>
        <v/>
      </c>
      <c r="G1546">
        <f>ROUND(G1545+0.1,1)</f>
        <v/>
      </c>
      <c r="H1546">
        <f>G1546=C1546</f>
        <v/>
      </c>
      <c r="I1546">
        <f>TEXT(B1546,"0.00000000000000")</f>
        <v/>
      </c>
    </row>
    <row r="1547">
      <c r="A1547" t="n">
        <v>1540</v>
      </c>
      <c r="B1547">
        <f>B1546+0.1</f>
        <v/>
      </c>
      <c r="C1547">
        <f>A1547/10</f>
        <v/>
      </c>
      <c r="D1547">
        <f>B1547=C1547</f>
        <v/>
      </c>
      <c r="E1547">
        <f>INT(B1547*10)=A1547</f>
        <v/>
      </c>
      <c r="F1547">
        <f>B1547&gt;=C1547</f>
        <v/>
      </c>
      <c r="G1547">
        <f>ROUND(G1546+0.1,1)</f>
        <v/>
      </c>
      <c r="H1547">
        <f>G1547=C1547</f>
        <v/>
      </c>
      <c r="I1547">
        <f>TEXT(B1547,"0.00000000000000")</f>
        <v/>
      </c>
    </row>
    <row r="1548">
      <c r="A1548" t="n">
        <v>1541</v>
      </c>
      <c r="B1548">
        <f>B1547+0.1</f>
        <v/>
      </c>
      <c r="C1548">
        <f>A1548/10</f>
        <v/>
      </c>
      <c r="D1548">
        <f>B1548=C1548</f>
        <v/>
      </c>
      <c r="E1548">
        <f>INT(B1548*10)=A1548</f>
        <v/>
      </c>
      <c r="F1548">
        <f>B1548&gt;=C1548</f>
        <v/>
      </c>
      <c r="G1548">
        <f>ROUND(G1547+0.1,1)</f>
        <v/>
      </c>
      <c r="H1548">
        <f>G1548=C1548</f>
        <v/>
      </c>
      <c r="I1548">
        <f>TEXT(B1548,"0.00000000000000")</f>
        <v/>
      </c>
    </row>
    <row r="1549">
      <c r="A1549" t="n">
        <v>1542</v>
      </c>
      <c r="B1549">
        <f>B1548+0.1</f>
        <v/>
      </c>
      <c r="C1549">
        <f>A1549/10</f>
        <v/>
      </c>
      <c r="D1549">
        <f>B1549=C1549</f>
        <v/>
      </c>
      <c r="E1549">
        <f>INT(B1549*10)=A1549</f>
        <v/>
      </c>
      <c r="F1549">
        <f>B1549&gt;=C1549</f>
        <v/>
      </c>
      <c r="G1549">
        <f>ROUND(G1548+0.1,1)</f>
        <v/>
      </c>
      <c r="H1549">
        <f>G1549=C1549</f>
        <v/>
      </c>
      <c r="I1549">
        <f>TEXT(B1549,"0.00000000000000")</f>
        <v/>
      </c>
    </row>
    <row r="1550">
      <c r="A1550" t="n">
        <v>1543</v>
      </c>
      <c r="B1550">
        <f>B1549+0.1</f>
        <v/>
      </c>
      <c r="C1550">
        <f>A1550/10</f>
        <v/>
      </c>
      <c r="D1550">
        <f>B1550=C1550</f>
        <v/>
      </c>
      <c r="E1550">
        <f>INT(B1550*10)=A1550</f>
        <v/>
      </c>
      <c r="F1550">
        <f>B1550&gt;=C1550</f>
        <v/>
      </c>
      <c r="G1550">
        <f>ROUND(G1549+0.1,1)</f>
        <v/>
      </c>
      <c r="H1550">
        <f>G1550=C1550</f>
        <v/>
      </c>
      <c r="I1550">
        <f>TEXT(B1550,"0.00000000000000")</f>
        <v/>
      </c>
    </row>
    <row r="1551">
      <c r="A1551" t="n">
        <v>1544</v>
      </c>
      <c r="B1551">
        <f>B1550+0.1</f>
        <v/>
      </c>
      <c r="C1551">
        <f>A1551/10</f>
        <v/>
      </c>
      <c r="D1551">
        <f>B1551=C1551</f>
        <v/>
      </c>
      <c r="E1551">
        <f>INT(B1551*10)=A1551</f>
        <v/>
      </c>
      <c r="F1551">
        <f>B1551&gt;=C1551</f>
        <v/>
      </c>
      <c r="G1551">
        <f>ROUND(G1550+0.1,1)</f>
        <v/>
      </c>
      <c r="H1551">
        <f>G1551=C1551</f>
        <v/>
      </c>
      <c r="I1551">
        <f>TEXT(B1551,"0.00000000000000")</f>
        <v/>
      </c>
    </row>
    <row r="1552">
      <c r="A1552" t="n">
        <v>1545</v>
      </c>
      <c r="B1552">
        <f>B1551+0.1</f>
        <v/>
      </c>
      <c r="C1552">
        <f>A1552/10</f>
        <v/>
      </c>
      <c r="D1552">
        <f>B1552=C1552</f>
        <v/>
      </c>
      <c r="E1552">
        <f>INT(B1552*10)=A1552</f>
        <v/>
      </c>
      <c r="F1552">
        <f>B1552&gt;=C1552</f>
        <v/>
      </c>
      <c r="G1552">
        <f>ROUND(G1551+0.1,1)</f>
        <v/>
      </c>
      <c r="H1552">
        <f>G1552=C1552</f>
        <v/>
      </c>
      <c r="I1552">
        <f>TEXT(B1552,"0.00000000000000")</f>
        <v/>
      </c>
    </row>
    <row r="1553">
      <c r="A1553" t="n">
        <v>1546</v>
      </c>
      <c r="B1553">
        <f>B1552+0.1</f>
        <v/>
      </c>
      <c r="C1553">
        <f>A1553/10</f>
        <v/>
      </c>
      <c r="D1553">
        <f>B1553=C1553</f>
        <v/>
      </c>
      <c r="E1553">
        <f>INT(B1553*10)=A1553</f>
        <v/>
      </c>
      <c r="F1553">
        <f>B1553&gt;=C1553</f>
        <v/>
      </c>
      <c r="G1553">
        <f>ROUND(G1552+0.1,1)</f>
        <v/>
      </c>
      <c r="H1553">
        <f>G1553=C1553</f>
        <v/>
      </c>
      <c r="I1553">
        <f>TEXT(B1553,"0.00000000000000")</f>
        <v/>
      </c>
    </row>
    <row r="1554">
      <c r="A1554" t="n">
        <v>1547</v>
      </c>
      <c r="B1554">
        <f>B1553+0.1</f>
        <v/>
      </c>
      <c r="C1554">
        <f>A1554/10</f>
        <v/>
      </c>
      <c r="D1554">
        <f>B1554=C1554</f>
        <v/>
      </c>
      <c r="E1554">
        <f>INT(B1554*10)=A1554</f>
        <v/>
      </c>
      <c r="F1554">
        <f>B1554&gt;=C1554</f>
        <v/>
      </c>
      <c r="G1554">
        <f>ROUND(G1553+0.1,1)</f>
        <v/>
      </c>
      <c r="H1554">
        <f>G1554=C1554</f>
        <v/>
      </c>
      <c r="I1554">
        <f>TEXT(B1554,"0.00000000000000")</f>
        <v/>
      </c>
    </row>
    <row r="1555">
      <c r="A1555" t="n">
        <v>1548</v>
      </c>
      <c r="B1555">
        <f>B1554+0.1</f>
        <v/>
      </c>
      <c r="C1555">
        <f>A1555/10</f>
        <v/>
      </c>
      <c r="D1555">
        <f>B1555=C1555</f>
        <v/>
      </c>
      <c r="E1555">
        <f>INT(B1555*10)=A1555</f>
        <v/>
      </c>
      <c r="F1555">
        <f>B1555&gt;=C1555</f>
        <v/>
      </c>
      <c r="G1555">
        <f>ROUND(G1554+0.1,1)</f>
        <v/>
      </c>
      <c r="H1555">
        <f>G1555=C1555</f>
        <v/>
      </c>
      <c r="I1555">
        <f>TEXT(B1555,"0.00000000000000")</f>
        <v/>
      </c>
    </row>
    <row r="1556">
      <c r="A1556" t="n">
        <v>1549</v>
      </c>
      <c r="B1556">
        <f>B1555+0.1</f>
        <v/>
      </c>
      <c r="C1556">
        <f>A1556/10</f>
        <v/>
      </c>
      <c r="D1556">
        <f>B1556=C1556</f>
        <v/>
      </c>
      <c r="E1556">
        <f>INT(B1556*10)=A1556</f>
        <v/>
      </c>
      <c r="F1556">
        <f>B1556&gt;=C1556</f>
        <v/>
      </c>
      <c r="G1556">
        <f>ROUND(G1555+0.1,1)</f>
        <v/>
      </c>
      <c r="H1556">
        <f>G1556=C1556</f>
        <v/>
      </c>
      <c r="I1556">
        <f>TEXT(B1556,"0.00000000000000")</f>
        <v/>
      </c>
    </row>
    <row r="1557">
      <c r="A1557" t="n">
        <v>1550</v>
      </c>
      <c r="B1557">
        <f>B1556+0.1</f>
        <v/>
      </c>
      <c r="C1557">
        <f>A1557/10</f>
        <v/>
      </c>
      <c r="D1557">
        <f>B1557=C1557</f>
        <v/>
      </c>
      <c r="E1557">
        <f>INT(B1557*10)=A1557</f>
        <v/>
      </c>
      <c r="F1557">
        <f>B1557&gt;=C1557</f>
        <v/>
      </c>
      <c r="G1557">
        <f>ROUND(G1556+0.1,1)</f>
        <v/>
      </c>
      <c r="H1557">
        <f>G1557=C1557</f>
        <v/>
      </c>
      <c r="I1557">
        <f>TEXT(B1557,"0.00000000000000")</f>
        <v/>
      </c>
    </row>
    <row r="1558">
      <c r="A1558" t="n">
        <v>1551</v>
      </c>
      <c r="B1558">
        <f>B1557+0.1</f>
        <v/>
      </c>
      <c r="C1558">
        <f>A1558/10</f>
        <v/>
      </c>
      <c r="D1558">
        <f>B1558=C1558</f>
        <v/>
      </c>
      <c r="E1558">
        <f>INT(B1558*10)=A1558</f>
        <v/>
      </c>
      <c r="F1558">
        <f>B1558&gt;=C1558</f>
        <v/>
      </c>
      <c r="G1558">
        <f>ROUND(G1557+0.1,1)</f>
        <v/>
      </c>
      <c r="H1558">
        <f>G1558=C1558</f>
        <v/>
      </c>
      <c r="I1558">
        <f>TEXT(B1558,"0.00000000000000")</f>
        <v/>
      </c>
    </row>
    <row r="1559">
      <c r="A1559" t="n">
        <v>1552</v>
      </c>
      <c r="B1559">
        <f>B1558+0.1</f>
        <v/>
      </c>
      <c r="C1559">
        <f>A1559/10</f>
        <v/>
      </c>
      <c r="D1559">
        <f>B1559=C1559</f>
        <v/>
      </c>
      <c r="E1559">
        <f>INT(B1559*10)=A1559</f>
        <v/>
      </c>
      <c r="F1559">
        <f>B1559&gt;=C1559</f>
        <v/>
      </c>
      <c r="G1559">
        <f>ROUND(G1558+0.1,1)</f>
        <v/>
      </c>
      <c r="H1559">
        <f>G1559=C1559</f>
        <v/>
      </c>
      <c r="I1559">
        <f>TEXT(B1559,"0.00000000000000")</f>
        <v/>
      </c>
    </row>
    <row r="1560">
      <c r="A1560" t="n">
        <v>1553</v>
      </c>
      <c r="B1560">
        <f>B1559+0.1</f>
        <v/>
      </c>
      <c r="C1560">
        <f>A1560/10</f>
        <v/>
      </c>
      <c r="D1560">
        <f>B1560=C1560</f>
        <v/>
      </c>
      <c r="E1560">
        <f>INT(B1560*10)=A1560</f>
        <v/>
      </c>
      <c r="F1560">
        <f>B1560&gt;=C1560</f>
        <v/>
      </c>
      <c r="G1560">
        <f>ROUND(G1559+0.1,1)</f>
        <v/>
      </c>
      <c r="H1560">
        <f>G1560=C1560</f>
        <v/>
      </c>
      <c r="I1560">
        <f>TEXT(B1560,"0.00000000000000")</f>
        <v/>
      </c>
    </row>
    <row r="1561">
      <c r="A1561" t="n">
        <v>1554</v>
      </c>
      <c r="B1561">
        <f>B1560+0.1</f>
        <v/>
      </c>
      <c r="C1561">
        <f>A1561/10</f>
        <v/>
      </c>
      <c r="D1561">
        <f>B1561=C1561</f>
        <v/>
      </c>
      <c r="E1561">
        <f>INT(B1561*10)=A1561</f>
        <v/>
      </c>
      <c r="F1561">
        <f>B1561&gt;=C1561</f>
        <v/>
      </c>
      <c r="G1561">
        <f>ROUND(G1560+0.1,1)</f>
        <v/>
      </c>
      <c r="H1561">
        <f>G1561=C1561</f>
        <v/>
      </c>
      <c r="I1561">
        <f>TEXT(B1561,"0.00000000000000")</f>
        <v/>
      </c>
    </row>
    <row r="1562">
      <c r="A1562" t="n">
        <v>1555</v>
      </c>
      <c r="B1562">
        <f>B1561+0.1</f>
        <v/>
      </c>
      <c r="C1562">
        <f>A1562/10</f>
        <v/>
      </c>
      <c r="D1562">
        <f>B1562=C1562</f>
        <v/>
      </c>
      <c r="E1562">
        <f>INT(B1562*10)=A1562</f>
        <v/>
      </c>
      <c r="F1562">
        <f>B1562&gt;=C1562</f>
        <v/>
      </c>
      <c r="G1562">
        <f>ROUND(G1561+0.1,1)</f>
        <v/>
      </c>
      <c r="H1562">
        <f>G1562=C1562</f>
        <v/>
      </c>
      <c r="I1562">
        <f>TEXT(B1562,"0.00000000000000")</f>
        <v/>
      </c>
    </row>
    <row r="1563">
      <c r="A1563" t="n">
        <v>1556</v>
      </c>
      <c r="B1563">
        <f>B1562+0.1</f>
        <v/>
      </c>
      <c r="C1563">
        <f>A1563/10</f>
        <v/>
      </c>
      <c r="D1563">
        <f>B1563=C1563</f>
        <v/>
      </c>
      <c r="E1563">
        <f>INT(B1563*10)=A1563</f>
        <v/>
      </c>
      <c r="F1563">
        <f>B1563&gt;=C1563</f>
        <v/>
      </c>
      <c r="G1563">
        <f>ROUND(G1562+0.1,1)</f>
        <v/>
      </c>
      <c r="H1563">
        <f>G1563=C1563</f>
        <v/>
      </c>
      <c r="I1563">
        <f>TEXT(B1563,"0.00000000000000")</f>
        <v/>
      </c>
    </row>
    <row r="1564">
      <c r="A1564" t="n">
        <v>1557</v>
      </c>
      <c r="B1564">
        <f>B1563+0.1</f>
        <v/>
      </c>
      <c r="C1564">
        <f>A1564/10</f>
        <v/>
      </c>
      <c r="D1564">
        <f>B1564=C1564</f>
        <v/>
      </c>
      <c r="E1564">
        <f>INT(B1564*10)=A1564</f>
        <v/>
      </c>
      <c r="F1564">
        <f>B1564&gt;=C1564</f>
        <v/>
      </c>
      <c r="G1564">
        <f>ROUND(G1563+0.1,1)</f>
        <v/>
      </c>
      <c r="H1564">
        <f>G1564=C1564</f>
        <v/>
      </c>
      <c r="I1564">
        <f>TEXT(B1564,"0.00000000000000")</f>
        <v/>
      </c>
    </row>
    <row r="1565">
      <c r="A1565" t="n">
        <v>1558</v>
      </c>
      <c r="B1565">
        <f>B1564+0.1</f>
        <v/>
      </c>
      <c r="C1565">
        <f>A1565/10</f>
        <v/>
      </c>
      <c r="D1565">
        <f>B1565=C1565</f>
        <v/>
      </c>
      <c r="E1565">
        <f>INT(B1565*10)=A1565</f>
        <v/>
      </c>
      <c r="F1565">
        <f>B1565&gt;=C1565</f>
        <v/>
      </c>
      <c r="G1565">
        <f>ROUND(G1564+0.1,1)</f>
        <v/>
      </c>
      <c r="H1565">
        <f>G1565=C1565</f>
        <v/>
      </c>
      <c r="I1565">
        <f>TEXT(B1565,"0.00000000000000")</f>
        <v/>
      </c>
    </row>
    <row r="1566">
      <c r="A1566" t="n">
        <v>1559</v>
      </c>
      <c r="B1566">
        <f>B1565+0.1</f>
        <v/>
      </c>
      <c r="C1566">
        <f>A1566/10</f>
        <v/>
      </c>
      <c r="D1566">
        <f>B1566=C1566</f>
        <v/>
      </c>
      <c r="E1566">
        <f>INT(B1566*10)=A1566</f>
        <v/>
      </c>
      <c r="F1566">
        <f>B1566&gt;=C1566</f>
        <v/>
      </c>
      <c r="G1566">
        <f>ROUND(G1565+0.1,1)</f>
        <v/>
      </c>
      <c r="H1566">
        <f>G1566=C1566</f>
        <v/>
      </c>
      <c r="I1566">
        <f>TEXT(B1566,"0.00000000000000")</f>
        <v/>
      </c>
    </row>
    <row r="1567">
      <c r="A1567" t="n">
        <v>1560</v>
      </c>
      <c r="B1567">
        <f>B1566+0.1</f>
        <v/>
      </c>
      <c r="C1567">
        <f>A1567/10</f>
        <v/>
      </c>
      <c r="D1567">
        <f>B1567=C1567</f>
        <v/>
      </c>
      <c r="E1567">
        <f>INT(B1567*10)=A1567</f>
        <v/>
      </c>
      <c r="F1567">
        <f>B1567&gt;=C1567</f>
        <v/>
      </c>
      <c r="G1567">
        <f>ROUND(G1566+0.1,1)</f>
        <v/>
      </c>
      <c r="H1567">
        <f>G1567=C1567</f>
        <v/>
      </c>
      <c r="I1567">
        <f>TEXT(B1567,"0.00000000000000")</f>
        <v/>
      </c>
    </row>
    <row r="1568">
      <c r="A1568" t="n">
        <v>1561</v>
      </c>
      <c r="B1568">
        <f>B1567+0.1</f>
        <v/>
      </c>
      <c r="C1568">
        <f>A1568/10</f>
        <v/>
      </c>
      <c r="D1568">
        <f>B1568=C1568</f>
        <v/>
      </c>
      <c r="E1568">
        <f>INT(B1568*10)=A1568</f>
        <v/>
      </c>
      <c r="F1568">
        <f>B1568&gt;=C1568</f>
        <v/>
      </c>
      <c r="G1568">
        <f>ROUND(G1567+0.1,1)</f>
        <v/>
      </c>
      <c r="H1568">
        <f>G1568=C1568</f>
        <v/>
      </c>
      <c r="I1568">
        <f>TEXT(B1568,"0.00000000000000")</f>
        <v/>
      </c>
    </row>
    <row r="1569">
      <c r="A1569" t="n">
        <v>1562</v>
      </c>
      <c r="B1569">
        <f>B1568+0.1</f>
        <v/>
      </c>
      <c r="C1569">
        <f>A1569/10</f>
        <v/>
      </c>
      <c r="D1569">
        <f>B1569=C1569</f>
        <v/>
      </c>
      <c r="E1569">
        <f>INT(B1569*10)=A1569</f>
        <v/>
      </c>
      <c r="F1569">
        <f>B1569&gt;=C1569</f>
        <v/>
      </c>
      <c r="G1569">
        <f>ROUND(G1568+0.1,1)</f>
        <v/>
      </c>
      <c r="H1569">
        <f>G1569=C1569</f>
        <v/>
      </c>
      <c r="I1569">
        <f>TEXT(B1569,"0.00000000000000")</f>
        <v/>
      </c>
    </row>
    <row r="1570">
      <c r="A1570" t="n">
        <v>1563</v>
      </c>
      <c r="B1570">
        <f>B1569+0.1</f>
        <v/>
      </c>
      <c r="C1570">
        <f>A1570/10</f>
        <v/>
      </c>
      <c r="D1570">
        <f>B1570=C1570</f>
        <v/>
      </c>
      <c r="E1570">
        <f>INT(B1570*10)=A1570</f>
        <v/>
      </c>
      <c r="F1570">
        <f>B1570&gt;=C1570</f>
        <v/>
      </c>
      <c r="G1570">
        <f>ROUND(G1569+0.1,1)</f>
        <v/>
      </c>
      <c r="H1570">
        <f>G1570=C1570</f>
        <v/>
      </c>
      <c r="I1570">
        <f>TEXT(B1570,"0.00000000000000")</f>
        <v/>
      </c>
    </row>
    <row r="1571">
      <c r="A1571" t="n">
        <v>1564</v>
      </c>
      <c r="B1571">
        <f>B1570+0.1</f>
        <v/>
      </c>
      <c r="C1571">
        <f>A1571/10</f>
        <v/>
      </c>
      <c r="D1571">
        <f>B1571=C1571</f>
        <v/>
      </c>
      <c r="E1571">
        <f>INT(B1571*10)=A1571</f>
        <v/>
      </c>
      <c r="F1571">
        <f>B1571&gt;=C1571</f>
        <v/>
      </c>
      <c r="G1571">
        <f>ROUND(G1570+0.1,1)</f>
        <v/>
      </c>
      <c r="H1571">
        <f>G1571=C1571</f>
        <v/>
      </c>
      <c r="I1571">
        <f>TEXT(B1571,"0.00000000000000")</f>
        <v/>
      </c>
    </row>
    <row r="1572">
      <c r="A1572" t="n">
        <v>1565</v>
      </c>
      <c r="B1572">
        <f>B1571+0.1</f>
        <v/>
      </c>
      <c r="C1572">
        <f>A1572/10</f>
        <v/>
      </c>
      <c r="D1572">
        <f>B1572=C1572</f>
        <v/>
      </c>
      <c r="E1572">
        <f>INT(B1572*10)=A1572</f>
        <v/>
      </c>
      <c r="F1572">
        <f>B1572&gt;=C1572</f>
        <v/>
      </c>
      <c r="G1572">
        <f>ROUND(G1571+0.1,1)</f>
        <v/>
      </c>
      <c r="H1572">
        <f>G1572=C1572</f>
        <v/>
      </c>
      <c r="I1572">
        <f>TEXT(B1572,"0.00000000000000")</f>
        <v/>
      </c>
    </row>
    <row r="1573">
      <c r="A1573" t="n">
        <v>1566</v>
      </c>
      <c r="B1573">
        <f>B1572+0.1</f>
        <v/>
      </c>
      <c r="C1573">
        <f>A1573/10</f>
        <v/>
      </c>
      <c r="D1573">
        <f>B1573=C1573</f>
        <v/>
      </c>
      <c r="E1573">
        <f>INT(B1573*10)=A1573</f>
        <v/>
      </c>
      <c r="F1573">
        <f>B1573&gt;=C1573</f>
        <v/>
      </c>
      <c r="G1573">
        <f>ROUND(G1572+0.1,1)</f>
        <v/>
      </c>
      <c r="H1573">
        <f>G1573=C1573</f>
        <v/>
      </c>
      <c r="I1573">
        <f>TEXT(B1573,"0.00000000000000")</f>
        <v/>
      </c>
    </row>
    <row r="1574">
      <c r="A1574" t="n">
        <v>1567</v>
      </c>
      <c r="B1574">
        <f>B1573+0.1</f>
        <v/>
      </c>
      <c r="C1574">
        <f>A1574/10</f>
        <v/>
      </c>
      <c r="D1574">
        <f>B1574=C1574</f>
        <v/>
      </c>
      <c r="E1574">
        <f>INT(B1574*10)=A1574</f>
        <v/>
      </c>
      <c r="F1574">
        <f>B1574&gt;=C1574</f>
        <v/>
      </c>
      <c r="G1574">
        <f>ROUND(G1573+0.1,1)</f>
        <v/>
      </c>
      <c r="H1574">
        <f>G1574=C1574</f>
        <v/>
      </c>
      <c r="I1574">
        <f>TEXT(B1574,"0.00000000000000")</f>
        <v/>
      </c>
    </row>
    <row r="1575">
      <c r="A1575" t="n">
        <v>1568</v>
      </c>
      <c r="B1575">
        <f>B1574+0.1</f>
        <v/>
      </c>
      <c r="C1575">
        <f>A1575/10</f>
        <v/>
      </c>
      <c r="D1575">
        <f>B1575=C1575</f>
        <v/>
      </c>
      <c r="E1575">
        <f>INT(B1575*10)=A1575</f>
        <v/>
      </c>
      <c r="F1575">
        <f>B1575&gt;=C1575</f>
        <v/>
      </c>
      <c r="G1575">
        <f>ROUND(G1574+0.1,1)</f>
        <v/>
      </c>
      <c r="H1575">
        <f>G1575=C1575</f>
        <v/>
      </c>
      <c r="I1575">
        <f>TEXT(B1575,"0.00000000000000")</f>
        <v/>
      </c>
    </row>
    <row r="1576">
      <c r="A1576" t="n">
        <v>1569</v>
      </c>
      <c r="B1576">
        <f>B1575+0.1</f>
        <v/>
      </c>
      <c r="C1576">
        <f>A1576/10</f>
        <v/>
      </c>
      <c r="D1576">
        <f>B1576=C1576</f>
        <v/>
      </c>
      <c r="E1576">
        <f>INT(B1576*10)=A1576</f>
        <v/>
      </c>
      <c r="F1576">
        <f>B1576&gt;=C1576</f>
        <v/>
      </c>
      <c r="G1576">
        <f>ROUND(G1575+0.1,1)</f>
        <v/>
      </c>
      <c r="H1576">
        <f>G1576=C1576</f>
        <v/>
      </c>
      <c r="I1576">
        <f>TEXT(B1576,"0.00000000000000")</f>
        <v/>
      </c>
    </row>
    <row r="1577">
      <c r="A1577" t="n">
        <v>1570</v>
      </c>
      <c r="B1577">
        <f>B1576+0.1</f>
        <v/>
      </c>
      <c r="C1577">
        <f>A1577/10</f>
        <v/>
      </c>
      <c r="D1577">
        <f>B1577=C1577</f>
        <v/>
      </c>
      <c r="E1577">
        <f>INT(B1577*10)=A1577</f>
        <v/>
      </c>
      <c r="F1577">
        <f>B1577&gt;=C1577</f>
        <v/>
      </c>
      <c r="G1577">
        <f>ROUND(G1576+0.1,1)</f>
        <v/>
      </c>
      <c r="H1577">
        <f>G1577=C1577</f>
        <v/>
      </c>
      <c r="I1577">
        <f>TEXT(B1577,"0.00000000000000")</f>
        <v/>
      </c>
    </row>
    <row r="1578">
      <c r="A1578" t="n">
        <v>1571</v>
      </c>
      <c r="B1578">
        <f>B1577+0.1</f>
        <v/>
      </c>
      <c r="C1578">
        <f>A1578/10</f>
        <v/>
      </c>
      <c r="D1578">
        <f>B1578=C1578</f>
        <v/>
      </c>
      <c r="E1578">
        <f>INT(B1578*10)=A1578</f>
        <v/>
      </c>
      <c r="F1578">
        <f>B1578&gt;=C1578</f>
        <v/>
      </c>
      <c r="G1578">
        <f>ROUND(G1577+0.1,1)</f>
        <v/>
      </c>
      <c r="H1578">
        <f>G1578=C1578</f>
        <v/>
      </c>
      <c r="I1578">
        <f>TEXT(B1578,"0.00000000000000")</f>
        <v/>
      </c>
    </row>
    <row r="1579">
      <c r="A1579" t="n">
        <v>1572</v>
      </c>
      <c r="B1579">
        <f>B1578+0.1</f>
        <v/>
      </c>
      <c r="C1579">
        <f>A1579/10</f>
        <v/>
      </c>
      <c r="D1579">
        <f>B1579=C1579</f>
        <v/>
      </c>
      <c r="E1579">
        <f>INT(B1579*10)=A1579</f>
        <v/>
      </c>
      <c r="F1579">
        <f>B1579&gt;=C1579</f>
        <v/>
      </c>
      <c r="G1579">
        <f>ROUND(G1578+0.1,1)</f>
        <v/>
      </c>
      <c r="H1579">
        <f>G1579=C1579</f>
        <v/>
      </c>
      <c r="I1579">
        <f>TEXT(B1579,"0.00000000000000")</f>
        <v/>
      </c>
    </row>
    <row r="1580">
      <c r="A1580" t="n">
        <v>1573</v>
      </c>
      <c r="B1580">
        <f>B1579+0.1</f>
        <v/>
      </c>
      <c r="C1580">
        <f>A1580/10</f>
        <v/>
      </c>
      <c r="D1580">
        <f>B1580=C1580</f>
        <v/>
      </c>
      <c r="E1580">
        <f>INT(B1580*10)=A1580</f>
        <v/>
      </c>
      <c r="F1580">
        <f>B1580&gt;=C1580</f>
        <v/>
      </c>
      <c r="G1580">
        <f>ROUND(G1579+0.1,1)</f>
        <v/>
      </c>
      <c r="H1580">
        <f>G1580=C1580</f>
        <v/>
      </c>
      <c r="I1580">
        <f>TEXT(B1580,"0.00000000000000")</f>
        <v/>
      </c>
    </row>
    <row r="1581">
      <c r="A1581" t="n">
        <v>1574</v>
      </c>
      <c r="B1581">
        <f>B1580+0.1</f>
        <v/>
      </c>
      <c r="C1581">
        <f>A1581/10</f>
        <v/>
      </c>
      <c r="D1581">
        <f>B1581=C1581</f>
        <v/>
      </c>
      <c r="E1581">
        <f>INT(B1581*10)=A1581</f>
        <v/>
      </c>
      <c r="F1581">
        <f>B1581&gt;=C1581</f>
        <v/>
      </c>
      <c r="G1581">
        <f>ROUND(G1580+0.1,1)</f>
        <v/>
      </c>
      <c r="H1581">
        <f>G1581=C1581</f>
        <v/>
      </c>
      <c r="I1581">
        <f>TEXT(B1581,"0.00000000000000")</f>
        <v/>
      </c>
    </row>
    <row r="1582">
      <c r="A1582" t="n">
        <v>1575</v>
      </c>
      <c r="B1582">
        <f>B1581+0.1</f>
        <v/>
      </c>
      <c r="C1582">
        <f>A1582/10</f>
        <v/>
      </c>
      <c r="D1582">
        <f>B1582=C1582</f>
        <v/>
      </c>
      <c r="E1582">
        <f>INT(B1582*10)=A1582</f>
        <v/>
      </c>
      <c r="F1582">
        <f>B1582&gt;=C1582</f>
        <v/>
      </c>
      <c r="G1582">
        <f>ROUND(G1581+0.1,1)</f>
        <v/>
      </c>
      <c r="H1582">
        <f>G1582=C1582</f>
        <v/>
      </c>
      <c r="I1582">
        <f>TEXT(B1582,"0.00000000000000")</f>
        <v/>
      </c>
    </row>
    <row r="1583">
      <c r="A1583" t="n">
        <v>1576</v>
      </c>
      <c r="B1583">
        <f>B1582+0.1</f>
        <v/>
      </c>
      <c r="C1583">
        <f>A1583/10</f>
        <v/>
      </c>
      <c r="D1583">
        <f>B1583=C1583</f>
        <v/>
      </c>
      <c r="E1583">
        <f>INT(B1583*10)=A1583</f>
        <v/>
      </c>
      <c r="F1583">
        <f>B1583&gt;=C1583</f>
        <v/>
      </c>
      <c r="G1583">
        <f>ROUND(G1582+0.1,1)</f>
        <v/>
      </c>
      <c r="H1583">
        <f>G1583=C1583</f>
        <v/>
      </c>
      <c r="I1583">
        <f>TEXT(B1583,"0.00000000000000")</f>
        <v/>
      </c>
    </row>
    <row r="1584">
      <c r="A1584" t="n">
        <v>1577</v>
      </c>
      <c r="B1584">
        <f>B1583+0.1</f>
        <v/>
      </c>
      <c r="C1584">
        <f>A1584/10</f>
        <v/>
      </c>
      <c r="D1584">
        <f>B1584=C1584</f>
        <v/>
      </c>
      <c r="E1584">
        <f>INT(B1584*10)=A1584</f>
        <v/>
      </c>
      <c r="F1584">
        <f>B1584&gt;=C1584</f>
        <v/>
      </c>
      <c r="G1584">
        <f>ROUND(G1583+0.1,1)</f>
        <v/>
      </c>
      <c r="H1584">
        <f>G1584=C1584</f>
        <v/>
      </c>
      <c r="I1584">
        <f>TEXT(B1584,"0.00000000000000")</f>
        <v/>
      </c>
    </row>
    <row r="1585">
      <c r="A1585" t="n">
        <v>1578</v>
      </c>
      <c r="B1585">
        <f>B1584+0.1</f>
        <v/>
      </c>
      <c r="C1585">
        <f>A1585/10</f>
        <v/>
      </c>
      <c r="D1585">
        <f>B1585=C1585</f>
        <v/>
      </c>
      <c r="E1585">
        <f>INT(B1585*10)=A1585</f>
        <v/>
      </c>
      <c r="F1585">
        <f>B1585&gt;=C1585</f>
        <v/>
      </c>
      <c r="G1585">
        <f>ROUND(G1584+0.1,1)</f>
        <v/>
      </c>
      <c r="H1585">
        <f>G1585=C1585</f>
        <v/>
      </c>
      <c r="I1585">
        <f>TEXT(B1585,"0.00000000000000")</f>
        <v/>
      </c>
    </row>
    <row r="1586">
      <c r="A1586" t="n">
        <v>1579</v>
      </c>
      <c r="B1586">
        <f>B1585+0.1</f>
        <v/>
      </c>
      <c r="C1586">
        <f>A1586/10</f>
        <v/>
      </c>
      <c r="D1586">
        <f>B1586=C1586</f>
        <v/>
      </c>
      <c r="E1586">
        <f>INT(B1586*10)=A1586</f>
        <v/>
      </c>
      <c r="F1586">
        <f>B1586&gt;=C1586</f>
        <v/>
      </c>
      <c r="G1586">
        <f>ROUND(G1585+0.1,1)</f>
        <v/>
      </c>
      <c r="H1586">
        <f>G1586=C1586</f>
        <v/>
      </c>
      <c r="I1586">
        <f>TEXT(B1586,"0.00000000000000")</f>
        <v/>
      </c>
    </row>
    <row r="1587">
      <c r="A1587" t="n">
        <v>1580</v>
      </c>
      <c r="B1587">
        <f>B1586+0.1</f>
        <v/>
      </c>
      <c r="C1587">
        <f>A1587/10</f>
        <v/>
      </c>
      <c r="D1587">
        <f>B1587=C1587</f>
        <v/>
      </c>
      <c r="E1587">
        <f>INT(B1587*10)=A1587</f>
        <v/>
      </c>
      <c r="F1587">
        <f>B1587&gt;=C1587</f>
        <v/>
      </c>
      <c r="G1587">
        <f>ROUND(G1586+0.1,1)</f>
        <v/>
      </c>
      <c r="H1587">
        <f>G1587=C1587</f>
        <v/>
      </c>
      <c r="I1587">
        <f>TEXT(B1587,"0.00000000000000")</f>
        <v/>
      </c>
    </row>
    <row r="1588">
      <c r="A1588" t="n">
        <v>1581</v>
      </c>
      <c r="B1588">
        <f>B1587+0.1</f>
        <v/>
      </c>
      <c r="C1588">
        <f>A1588/10</f>
        <v/>
      </c>
      <c r="D1588">
        <f>B1588=C1588</f>
        <v/>
      </c>
      <c r="E1588">
        <f>INT(B1588*10)=A1588</f>
        <v/>
      </c>
      <c r="F1588">
        <f>B1588&gt;=C1588</f>
        <v/>
      </c>
      <c r="G1588">
        <f>ROUND(G1587+0.1,1)</f>
        <v/>
      </c>
      <c r="H1588">
        <f>G1588=C1588</f>
        <v/>
      </c>
      <c r="I1588">
        <f>TEXT(B1588,"0.00000000000000")</f>
        <v/>
      </c>
    </row>
    <row r="1589">
      <c r="A1589" t="n">
        <v>1582</v>
      </c>
      <c r="B1589">
        <f>B1588+0.1</f>
        <v/>
      </c>
      <c r="C1589">
        <f>A1589/10</f>
        <v/>
      </c>
      <c r="D1589">
        <f>B1589=C1589</f>
        <v/>
      </c>
      <c r="E1589">
        <f>INT(B1589*10)=A1589</f>
        <v/>
      </c>
      <c r="F1589">
        <f>B1589&gt;=C1589</f>
        <v/>
      </c>
      <c r="G1589">
        <f>ROUND(G1588+0.1,1)</f>
        <v/>
      </c>
      <c r="H1589">
        <f>G1589=C1589</f>
        <v/>
      </c>
      <c r="I1589">
        <f>TEXT(B1589,"0.00000000000000")</f>
        <v/>
      </c>
    </row>
    <row r="1590">
      <c r="A1590" t="n">
        <v>1583</v>
      </c>
      <c r="B1590">
        <f>B1589+0.1</f>
        <v/>
      </c>
      <c r="C1590">
        <f>A1590/10</f>
        <v/>
      </c>
      <c r="D1590">
        <f>B1590=C1590</f>
        <v/>
      </c>
      <c r="E1590">
        <f>INT(B1590*10)=A1590</f>
        <v/>
      </c>
      <c r="F1590">
        <f>B1590&gt;=C1590</f>
        <v/>
      </c>
      <c r="G1590">
        <f>ROUND(G1589+0.1,1)</f>
        <v/>
      </c>
      <c r="H1590">
        <f>G1590=C1590</f>
        <v/>
      </c>
      <c r="I1590">
        <f>TEXT(B1590,"0.00000000000000")</f>
        <v/>
      </c>
    </row>
    <row r="1591">
      <c r="A1591" t="n">
        <v>1584</v>
      </c>
      <c r="B1591">
        <f>B1590+0.1</f>
        <v/>
      </c>
      <c r="C1591">
        <f>A1591/10</f>
        <v/>
      </c>
      <c r="D1591">
        <f>B1591=C1591</f>
        <v/>
      </c>
      <c r="E1591">
        <f>INT(B1591*10)=A1591</f>
        <v/>
      </c>
      <c r="F1591">
        <f>B1591&gt;=C1591</f>
        <v/>
      </c>
      <c r="G1591">
        <f>ROUND(G1590+0.1,1)</f>
        <v/>
      </c>
      <c r="H1591">
        <f>G1591=C1591</f>
        <v/>
      </c>
      <c r="I1591">
        <f>TEXT(B1591,"0.00000000000000")</f>
        <v/>
      </c>
    </row>
    <row r="1592">
      <c r="A1592" t="n">
        <v>1585</v>
      </c>
      <c r="B1592">
        <f>B1591+0.1</f>
        <v/>
      </c>
      <c r="C1592">
        <f>A1592/10</f>
        <v/>
      </c>
      <c r="D1592">
        <f>B1592=C1592</f>
        <v/>
      </c>
      <c r="E1592">
        <f>INT(B1592*10)=A1592</f>
        <v/>
      </c>
      <c r="F1592">
        <f>B1592&gt;=C1592</f>
        <v/>
      </c>
      <c r="G1592">
        <f>ROUND(G1591+0.1,1)</f>
        <v/>
      </c>
      <c r="H1592">
        <f>G1592=C1592</f>
        <v/>
      </c>
      <c r="I1592">
        <f>TEXT(B1592,"0.00000000000000")</f>
        <v/>
      </c>
    </row>
    <row r="1593">
      <c r="A1593" t="n">
        <v>1586</v>
      </c>
      <c r="B1593">
        <f>B1592+0.1</f>
        <v/>
      </c>
      <c r="C1593">
        <f>A1593/10</f>
        <v/>
      </c>
      <c r="D1593">
        <f>B1593=C1593</f>
        <v/>
      </c>
      <c r="E1593">
        <f>INT(B1593*10)=A1593</f>
        <v/>
      </c>
      <c r="F1593">
        <f>B1593&gt;=C1593</f>
        <v/>
      </c>
      <c r="G1593">
        <f>ROUND(G1592+0.1,1)</f>
        <v/>
      </c>
      <c r="H1593">
        <f>G1593=C1593</f>
        <v/>
      </c>
      <c r="I1593">
        <f>TEXT(B1593,"0.00000000000000")</f>
        <v/>
      </c>
    </row>
    <row r="1594">
      <c r="A1594" t="n">
        <v>1587</v>
      </c>
      <c r="B1594">
        <f>B1593+0.1</f>
        <v/>
      </c>
      <c r="C1594">
        <f>A1594/10</f>
        <v/>
      </c>
      <c r="D1594">
        <f>B1594=C1594</f>
        <v/>
      </c>
      <c r="E1594">
        <f>INT(B1594*10)=A1594</f>
        <v/>
      </c>
      <c r="F1594">
        <f>B1594&gt;=C1594</f>
        <v/>
      </c>
      <c r="G1594">
        <f>ROUND(G1593+0.1,1)</f>
        <v/>
      </c>
      <c r="H1594">
        <f>G1594=C1594</f>
        <v/>
      </c>
      <c r="I1594">
        <f>TEXT(B1594,"0.00000000000000")</f>
        <v/>
      </c>
    </row>
    <row r="1595">
      <c r="A1595" t="n">
        <v>1588</v>
      </c>
      <c r="B1595">
        <f>B1594+0.1</f>
        <v/>
      </c>
      <c r="C1595">
        <f>A1595/10</f>
        <v/>
      </c>
      <c r="D1595">
        <f>B1595=C1595</f>
        <v/>
      </c>
      <c r="E1595">
        <f>INT(B1595*10)=A1595</f>
        <v/>
      </c>
      <c r="F1595">
        <f>B1595&gt;=C1595</f>
        <v/>
      </c>
      <c r="G1595">
        <f>ROUND(G1594+0.1,1)</f>
        <v/>
      </c>
      <c r="H1595">
        <f>G1595=C1595</f>
        <v/>
      </c>
      <c r="I1595">
        <f>TEXT(B1595,"0.00000000000000")</f>
        <v/>
      </c>
    </row>
    <row r="1596">
      <c r="A1596" t="n">
        <v>1589</v>
      </c>
      <c r="B1596">
        <f>B1595+0.1</f>
        <v/>
      </c>
      <c r="C1596">
        <f>A1596/10</f>
        <v/>
      </c>
      <c r="D1596">
        <f>B1596=C1596</f>
        <v/>
      </c>
      <c r="E1596">
        <f>INT(B1596*10)=A1596</f>
        <v/>
      </c>
      <c r="F1596">
        <f>B1596&gt;=C1596</f>
        <v/>
      </c>
      <c r="G1596">
        <f>ROUND(G1595+0.1,1)</f>
        <v/>
      </c>
      <c r="H1596">
        <f>G1596=C1596</f>
        <v/>
      </c>
      <c r="I1596">
        <f>TEXT(B1596,"0.00000000000000")</f>
        <v/>
      </c>
    </row>
    <row r="1597">
      <c r="A1597" t="n">
        <v>1590</v>
      </c>
      <c r="B1597">
        <f>B1596+0.1</f>
        <v/>
      </c>
      <c r="C1597">
        <f>A1597/10</f>
        <v/>
      </c>
      <c r="D1597">
        <f>B1597=C1597</f>
        <v/>
      </c>
      <c r="E1597">
        <f>INT(B1597*10)=A1597</f>
        <v/>
      </c>
      <c r="F1597">
        <f>B1597&gt;=C1597</f>
        <v/>
      </c>
      <c r="G1597">
        <f>ROUND(G1596+0.1,1)</f>
        <v/>
      </c>
      <c r="H1597">
        <f>G1597=C1597</f>
        <v/>
      </c>
      <c r="I1597">
        <f>TEXT(B1597,"0.00000000000000")</f>
        <v/>
      </c>
    </row>
    <row r="1598">
      <c r="A1598" t="n">
        <v>1591</v>
      </c>
      <c r="B1598">
        <f>B1597+0.1</f>
        <v/>
      </c>
      <c r="C1598">
        <f>A1598/10</f>
        <v/>
      </c>
      <c r="D1598">
        <f>B1598=C1598</f>
        <v/>
      </c>
      <c r="E1598">
        <f>INT(B1598*10)=A1598</f>
        <v/>
      </c>
      <c r="F1598">
        <f>B1598&gt;=C1598</f>
        <v/>
      </c>
      <c r="G1598">
        <f>ROUND(G1597+0.1,1)</f>
        <v/>
      </c>
      <c r="H1598">
        <f>G1598=C1598</f>
        <v/>
      </c>
      <c r="I1598">
        <f>TEXT(B1598,"0.00000000000000")</f>
        <v/>
      </c>
    </row>
    <row r="1599">
      <c r="A1599" t="n">
        <v>1592</v>
      </c>
      <c r="B1599">
        <f>B1598+0.1</f>
        <v/>
      </c>
      <c r="C1599">
        <f>A1599/10</f>
        <v/>
      </c>
      <c r="D1599">
        <f>B1599=C1599</f>
        <v/>
      </c>
      <c r="E1599">
        <f>INT(B1599*10)=A1599</f>
        <v/>
      </c>
      <c r="F1599">
        <f>B1599&gt;=C1599</f>
        <v/>
      </c>
      <c r="G1599">
        <f>ROUND(G1598+0.1,1)</f>
        <v/>
      </c>
      <c r="H1599">
        <f>G1599=C1599</f>
        <v/>
      </c>
      <c r="I1599">
        <f>TEXT(B1599,"0.00000000000000")</f>
        <v/>
      </c>
    </row>
    <row r="1600">
      <c r="A1600" t="n">
        <v>1593</v>
      </c>
      <c r="B1600">
        <f>B1599+0.1</f>
        <v/>
      </c>
      <c r="C1600">
        <f>A1600/10</f>
        <v/>
      </c>
      <c r="D1600">
        <f>B1600=C1600</f>
        <v/>
      </c>
      <c r="E1600">
        <f>INT(B1600*10)=A1600</f>
        <v/>
      </c>
      <c r="F1600">
        <f>B1600&gt;=C1600</f>
        <v/>
      </c>
      <c r="G1600">
        <f>ROUND(G1599+0.1,1)</f>
        <v/>
      </c>
      <c r="H1600">
        <f>G1600=C1600</f>
        <v/>
      </c>
      <c r="I1600">
        <f>TEXT(B1600,"0.00000000000000")</f>
        <v/>
      </c>
    </row>
    <row r="1601">
      <c r="A1601" t="n">
        <v>1594</v>
      </c>
      <c r="B1601">
        <f>B1600+0.1</f>
        <v/>
      </c>
      <c r="C1601">
        <f>A1601/10</f>
        <v/>
      </c>
      <c r="D1601">
        <f>B1601=C1601</f>
        <v/>
      </c>
      <c r="E1601">
        <f>INT(B1601*10)=A1601</f>
        <v/>
      </c>
      <c r="F1601">
        <f>B1601&gt;=C1601</f>
        <v/>
      </c>
      <c r="G1601">
        <f>ROUND(G1600+0.1,1)</f>
        <v/>
      </c>
      <c r="H1601">
        <f>G1601=C1601</f>
        <v/>
      </c>
      <c r="I1601">
        <f>TEXT(B1601,"0.00000000000000")</f>
        <v/>
      </c>
    </row>
    <row r="1602">
      <c r="A1602" t="n">
        <v>1595</v>
      </c>
      <c r="B1602">
        <f>B1601+0.1</f>
        <v/>
      </c>
      <c r="C1602">
        <f>A1602/10</f>
        <v/>
      </c>
      <c r="D1602">
        <f>B1602=C1602</f>
        <v/>
      </c>
      <c r="E1602">
        <f>INT(B1602*10)=A1602</f>
        <v/>
      </c>
      <c r="F1602">
        <f>B1602&gt;=C1602</f>
        <v/>
      </c>
      <c r="G1602">
        <f>ROUND(G1601+0.1,1)</f>
        <v/>
      </c>
      <c r="H1602">
        <f>G1602=C1602</f>
        <v/>
      </c>
      <c r="I1602">
        <f>TEXT(B1602,"0.00000000000000")</f>
        <v/>
      </c>
    </row>
    <row r="1603">
      <c r="A1603" t="n">
        <v>1596</v>
      </c>
      <c r="B1603">
        <f>B1602+0.1</f>
        <v/>
      </c>
      <c r="C1603">
        <f>A1603/10</f>
        <v/>
      </c>
      <c r="D1603">
        <f>B1603=C1603</f>
        <v/>
      </c>
      <c r="E1603">
        <f>INT(B1603*10)=A1603</f>
        <v/>
      </c>
      <c r="F1603">
        <f>B1603&gt;=C1603</f>
        <v/>
      </c>
      <c r="G1603">
        <f>ROUND(G1602+0.1,1)</f>
        <v/>
      </c>
      <c r="H1603">
        <f>G1603=C1603</f>
        <v/>
      </c>
      <c r="I1603">
        <f>TEXT(B1603,"0.00000000000000")</f>
        <v/>
      </c>
    </row>
    <row r="1604">
      <c r="A1604" t="n">
        <v>1597</v>
      </c>
      <c r="B1604">
        <f>B1603+0.1</f>
        <v/>
      </c>
      <c r="C1604">
        <f>A1604/10</f>
        <v/>
      </c>
      <c r="D1604">
        <f>B1604=C1604</f>
        <v/>
      </c>
      <c r="E1604">
        <f>INT(B1604*10)=A1604</f>
        <v/>
      </c>
      <c r="F1604">
        <f>B1604&gt;=C1604</f>
        <v/>
      </c>
      <c r="G1604">
        <f>ROUND(G1603+0.1,1)</f>
        <v/>
      </c>
      <c r="H1604">
        <f>G1604=C1604</f>
        <v/>
      </c>
      <c r="I1604">
        <f>TEXT(B1604,"0.00000000000000")</f>
        <v/>
      </c>
    </row>
    <row r="1605">
      <c r="A1605" t="n">
        <v>1598</v>
      </c>
      <c r="B1605">
        <f>B1604+0.1</f>
        <v/>
      </c>
      <c r="C1605">
        <f>A1605/10</f>
        <v/>
      </c>
      <c r="D1605">
        <f>B1605=C1605</f>
        <v/>
      </c>
      <c r="E1605">
        <f>INT(B1605*10)=A1605</f>
        <v/>
      </c>
      <c r="F1605">
        <f>B1605&gt;=C1605</f>
        <v/>
      </c>
      <c r="G1605">
        <f>ROUND(G1604+0.1,1)</f>
        <v/>
      </c>
      <c r="H1605">
        <f>G1605=C1605</f>
        <v/>
      </c>
      <c r="I1605">
        <f>TEXT(B1605,"0.00000000000000")</f>
        <v/>
      </c>
    </row>
    <row r="1606">
      <c r="A1606" t="n">
        <v>1599</v>
      </c>
      <c r="B1606">
        <f>B1605+0.1</f>
        <v/>
      </c>
      <c r="C1606">
        <f>A1606/10</f>
        <v/>
      </c>
      <c r="D1606">
        <f>B1606=C1606</f>
        <v/>
      </c>
      <c r="E1606">
        <f>INT(B1606*10)=A1606</f>
        <v/>
      </c>
      <c r="F1606">
        <f>B1606&gt;=C1606</f>
        <v/>
      </c>
      <c r="G1606">
        <f>ROUND(G1605+0.1,1)</f>
        <v/>
      </c>
      <c r="H1606">
        <f>G1606=C1606</f>
        <v/>
      </c>
      <c r="I1606">
        <f>TEXT(B1606,"0.00000000000000")</f>
        <v/>
      </c>
    </row>
    <row r="1607">
      <c r="A1607" t="n">
        <v>1600</v>
      </c>
      <c r="B1607">
        <f>B1606+0.1</f>
        <v/>
      </c>
      <c r="C1607">
        <f>A1607/10</f>
        <v/>
      </c>
      <c r="D1607">
        <f>B1607=C1607</f>
        <v/>
      </c>
      <c r="E1607">
        <f>INT(B1607*10)=A1607</f>
        <v/>
      </c>
      <c r="F1607">
        <f>B1607&gt;=C1607</f>
        <v/>
      </c>
      <c r="G1607">
        <f>ROUND(G1606+0.1,1)</f>
        <v/>
      </c>
      <c r="H1607">
        <f>G1607=C1607</f>
        <v/>
      </c>
      <c r="I1607">
        <f>TEXT(B1607,"0.00000000000000")</f>
        <v/>
      </c>
    </row>
    <row r="1608">
      <c r="A1608" t="n">
        <v>1601</v>
      </c>
      <c r="B1608">
        <f>B1607+0.1</f>
        <v/>
      </c>
      <c r="C1608">
        <f>A1608/10</f>
        <v/>
      </c>
      <c r="D1608">
        <f>B1608=C1608</f>
        <v/>
      </c>
      <c r="E1608">
        <f>INT(B1608*10)=A1608</f>
        <v/>
      </c>
      <c r="F1608">
        <f>B1608&gt;=C1608</f>
        <v/>
      </c>
      <c r="G1608">
        <f>ROUND(G1607+0.1,1)</f>
        <v/>
      </c>
      <c r="H1608">
        <f>G1608=C1608</f>
        <v/>
      </c>
      <c r="I1608">
        <f>TEXT(B1608,"0.00000000000000")</f>
        <v/>
      </c>
    </row>
    <row r="1609">
      <c r="A1609" t="n">
        <v>1602</v>
      </c>
      <c r="B1609">
        <f>B1608+0.1</f>
        <v/>
      </c>
      <c r="C1609">
        <f>A1609/10</f>
        <v/>
      </c>
      <c r="D1609">
        <f>B1609=C1609</f>
        <v/>
      </c>
      <c r="E1609">
        <f>INT(B1609*10)=A1609</f>
        <v/>
      </c>
      <c r="F1609">
        <f>B1609&gt;=C1609</f>
        <v/>
      </c>
      <c r="G1609">
        <f>ROUND(G1608+0.1,1)</f>
        <v/>
      </c>
      <c r="H1609">
        <f>G1609=C1609</f>
        <v/>
      </c>
      <c r="I1609">
        <f>TEXT(B1609,"0.00000000000000")</f>
        <v/>
      </c>
    </row>
    <row r="1610">
      <c r="A1610" t="n">
        <v>1603</v>
      </c>
      <c r="B1610">
        <f>B1609+0.1</f>
        <v/>
      </c>
      <c r="C1610">
        <f>A1610/10</f>
        <v/>
      </c>
      <c r="D1610">
        <f>B1610=C1610</f>
        <v/>
      </c>
      <c r="E1610">
        <f>INT(B1610*10)=A1610</f>
        <v/>
      </c>
      <c r="F1610">
        <f>B1610&gt;=C1610</f>
        <v/>
      </c>
      <c r="G1610">
        <f>ROUND(G1609+0.1,1)</f>
        <v/>
      </c>
      <c r="H1610">
        <f>G1610=C1610</f>
        <v/>
      </c>
      <c r="I1610">
        <f>TEXT(B1610,"0.00000000000000")</f>
        <v/>
      </c>
    </row>
    <row r="1611">
      <c r="A1611" t="n">
        <v>1604</v>
      </c>
      <c r="B1611">
        <f>B1610+0.1</f>
        <v/>
      </c>
      <c r="C1611">
        <f>A1611/10</f>
        <v/>
      </c>
      <c r="D1611">
        <f>B1611=C1611</f>
        <v/>
      </c>
      <c r="E1611">
        <f>INT(B1611*10)=A1611</f>
        <v/>
      </c>
      <c r="F1611">
        <f>B1611&gt;=C1611</f>
        <v/>
      </c>
      <c r="G1611">
        <f>ROUND(G1610+0.1,1)</f>
        <v/>
      </c>
      <c r="H1611">
        <f>G1611=C1611</f>
        <v/>
      </c>
      <c r="I1611">
        <f>TEXT(B1611,"0.00000000000000")</f>
        <v/>
      </c>
    </row>
    <row r="1612">
      <c r="A1612" t="n">
        <v>1605</v>
      </c>
      <c r="B1612">
        <f>B1611+0.1</f>
        <v/>
      </c>
      <c r="C1612">
        <f>A1612/10</f>
        <v/>
      </c>
      <c r="D1612">
        <f>B1612=C1612</f>
        <v/>
      </c>
      <c r="E1612">
        <f>INT(B1612*10)=A1612</f>
        <v/>
      </c>
      <c r="F1612">
        <f>B1612&gt;=C1612</f>
        <v/>
      </c>
      <c r="G1612">
        <f>ROUND(G1611+0.1,1)</f>
        <v/>
      </c>
      <c r="H1612">
        <f>G1612=C1612</f>
        <v/>
      </c>
      <c r="I1612">
        <f>TEXT(B1612,"0.00000000000000")</f>
        <v/>
      </c>
    </row>
    <row r="1613">
      <c r="A1613" t="n">
        <v>1606</v>
      </c>
      <c r="B1613">
        <f>B1612+0.1</f>
        <v/>
      </c>
      <c r="C1613">
        <f>A1613/10</f>
        <v/>
      </c>
      <c r="D1613">
        <f>B1613=C1613</f>
        <v/>
      </c>
      <c r="E1613">
        <f>INT(B1613*10)=A1613</f>
        <v/>
      </c>
      <c r="F1613">
        <f>B1613&gt;=C1613</f>
        <v/>
      </c>
      <c r="G1613">
        <f>ROUND(G1612+0.1,1)</f>
        <v/>
      </c>
      <c r="H1613">
        <f>G1613=C1613</f>
        <v/>
      </c>
      <c r="I1613">
        <f>TEXT(B1613,"0.00000000000000")</f>
        <v/>
      </c>
    </row>
    <row r="1614">
      <c r="A1614" t="n">
        <v>1607</v>
      </c>
      <c r="B1614">
        <f>B1613+0.1</f>
        <v/>
      </c>
      <c r="C1614">
        <f>A1614/10</f>
        <v/>
      </c>
      <c r="D1614">
        <f>B1614=C1614</f>
        <v/>
      </c>
      <c r="E1614">
        <f>INT(B1614*10)=A1614</f>
        <v/>
      </c>
      <c r="F1614">
        <f>B1614&gt;=C1614</f>
        <v/>
      </c>
      <c r="G1614">
        <f>ROUND(G1613+0.1,1)</f>
        <v/>
      </c>
      <c r="H1614">
        <f>G1614=C1614</f>
        <v/>
      </c>
      <c r="I1614">
        <f>TEXT(B1614,"0.00000000000000")</f>
        <v/>
      </c>
    </row>
    <row r="1615">
      <c r="A1615" t="n">
        <v>1608</v>
      </c>
      <c r="B1615">
        <f>B1614+0.1</f>
        <v/>
      </c>
      <c r="C1615">
        <f>A1615/10</f>
        <v/>
      </c>
      <c r="D1615">
        <f>B1615=C1615</f>
        <v/>
      </c>
      <c r="E1615">
        <f>INT(B1615*10)=A1615</f>
        <v/>
      </c>
      <c r="F1615">
        <f>B1615&gt;=C1615</f>
        <v/>
      </c>
      <c r="G1615">
        <f>ROUND(G1614+0.1,1)</f>
        <v/>
      </c>
      <c r="H1615">
        <f>G1615=C1615</f>
        <v/>
      </c>
      <c r="I1615">
        <f>TEXT(B1615,"0.00000000000000")</f>
        <v/>
      </c>
    </row>
    <row r="1616">
      <c r="A1616" t="n">
        <v>1609</v>
      </c>
      <c r="B1616">
        <f>B1615+0.1</f>
        <v/>
      </c>
      <c r="C1616">
        <f>A1616/10</f>
        <v/>
      </c>
      <c r="D1616">
        <f>B1616=C1616</f>
        <v/>
      </c>
      <c r="E1616">
        <f>INT(B1616*10)=A1616</f>
        <v/>
      </c>
      <c r="F1616">
        <f>B1616&gt;=C1616</f>
        <v/>
      </c>
      <c r="G1616">
        <f>ROUND(G1615+0.1,1)</f>
        <v/>
      </c>
      <c r="H1616">
        <f>G1616=C1616</f>
        <v/>
      </c>
      <c r="I1616">
        <f>TEXT(B1616,"0.00000000000000")</f>
        <v/>
      </c>
    </row>
    <row r="1617">
      <c r="A1617" t="n">
        <v>1610</v>
      </c>
      <c r="B1617">
        <f>B1616+0.1</f>
        <v/>
      </c>
      <c r="C1617">
        <f>A1617/10</f>
        <v/>
      </c>
      <c r="D1617">
        <f>B1617=C1617</f>
        <v/>
      </c>
      <c r="E1617">
        <f>INT(B1617*10)=A1617</f>
        <v/>
      </c>
      <c r="F1617">
        <f>B1617&gt;=C1617</f>
        <v/>
      </c>
      <c r="G1617">
        <f>ROUND(G1616+0.1,1)</f>
        <v/>
      </c>
      <c r="H1617">
        <f>G1617=C1617</f>
        <v/>
      </c>
      <c r="I1617">
        <f>TEXT(B1617,"0.00000000000000")</f>
        <v/>
      </c>
    </row>
    <row r="1618">
      <c r="A1618" t="n">
        <v>1611</v>
      </c>
      <c r="B1618">
        <f>B1617+0.1</f>
        <v/>
      </c>
      <c r="C1618">
        <f>A1618/10</f>
        <v/>
      </c>
      <c r="D1618">
        <f>B1618=C1618</f>
        <v/>
      </c>
      <c r="E1618">
        <f>INT(B1618*10)=A1618</f>
        <v/>
      </c>
      <c r="F1618">
        <f>B1618&gt;=C1618</f>
        <v/>
      </c>
      <c r="G1618">
        <f>ROUND(G1617+0.1,1)</f>
        <v/>
      </c>
      <c r="H1618">
        <f>G1618=C1618</f>
        <v/>
      </c>
      <c r="I1618">
        <f>TEXT(B1618,"0.00000000000000")</f>
        <v/>
      </c>
    </row>
    <row r="1619">
      <c r="A1619" t="n">
        <v>1612</v>
      </c>
      <c r="B1619">
        <f>B1618+0.1</f>
        <v/>
      </c>
      <c r="C1619">
        <f>A1619/10</f>
        <v/>
      </c>
      <c r="D1619">
        <f>B1619=C1619</f>
        <v/>
      </c>
      <c r="E1619">
        <f>INT(B1619*10)=A1619</f>
        <v/>
      </c>
      <c r="F1619">
        <f>B1619&gt;=C1619</f>
        <v/>
      </c>
      <c r="G1619">
        <f>ROUND(G1618+0.1,1)</f>
        <v/>
      </c>
      <c r="H1619">
        <f>G1619=C1619</f>
        <v/>
      </c>
      <c r="I1619">
        <f>TEXT(B1619,"0.00000000000000")</f>
        <v/>
      </c>
    </row>
    <row r="1620">
      <c r="A1620" t="n">
        <v>1613</v>
      </c>
      <c r="B1620">
        <f>B1619+0.1</f>
        <v/>
      </c>
      <c r="C1620">
        <f>A1620/10</f>
        <v/>
      </c>
      <c r="D1620">
        <f>B1620=C1620</f>
        <v/>
      </c>
      <c r="E1620">
        <f>INT(B1620*10)=A1620</f>
        <v/>
      </c>
      <c r="F1620">
        <f>B1620&gt;=C1620</f>
        <v/>
      </c>
      <c r="G1620">
        <f>ROUND(G1619+0.1,1)</f>
        <v/>
      </c>
      <c r="H1620">
        <f>G1620=C1620</f>
        <v/>
      </c>
      <c r="I1620">
        <f>TEXT(B1620,"0.00000000000000")</f>
        <v/>
      </c>
    </row>
    <row r="1621">
      <c r="A1621" t="n">
        <v>1614</v>
      </c>
      <c r="B1621">
        <f>B1620+0.1</f>
        <v/>
      </c>
      <c r="C1621">
        <f>A1621/10</f>
        <v/>
      </c>
      <c r="D1621">
        <f>B1621=C1621</f>
        <v/>
      </c>
      <c r="E1621">
        <f>INT(B1621*10)=A1621</f>
        <v/>
      </c>
      <c r="F1621">
        <f>B1621&gt;=C1621</f>
        <v/>
      </c>
      <c r="G1621">
        <f>ROUND(G1620+0.1,1)</f>
        <v/>
      </c>
      <c r="H1621">
        <f>G1621=C1621</f>
        <v/>
      </c>
      <c r="I1621">
        <f>TEXT(B1621,"0.00000000000000")</f>
        <v/>
      </c>
    </row>
    <row r="1622">
      <c r="A1622" t="n">
        <v>1615</v>
      </c>
      <c r="B1622">
        <f>B1621+0.1</f>
        <v/>
      </c>
      <c r="C1622">
        <f>A1622/10</f>
        <v/>
      </c>
      <c r="D1622">
        <f>B1622=C1622</f>
        <v/>
      </c>
      <c r="E1622">
        <f>INT(B1622*10)=A1622</f>
        <v/>
      </c>
      <c r="F1622">
        <f>B1622&gt;=C1622</f>
        <v/>
      </c>
      <c r="G1622">
        <f>ROUND(G1621+0.1,1)</f>
        <v/>
      </c>
      <c r="H1622">
        <f>G1622=C1622</f>
        <v/>
      </c>
      <c r="I1622">
        <f>TEXT(B1622,"0.00000000000000")</f>
        <v/>
      </c>
    </row>
    <row r="1623">
      <c r="A1623" t="n">
        <v>1616</v>
      </c>
      <c r="B1623">
        <f>B1622+0.1</f>
        <v/>
      </c>
      <c r="C1623">
        <f>A1623/10</f>
        <v/>
      </c>
      <c r="D1623">
        <f>B1623=C1623</f>
        <v/>
      </c>
      <c r="E1623">
        <f>INT(B1623*10)=A1623</f>
        <v/>
      </c>
      <c r="F1623">
        <f>B1623&gt;=C1623</f>
        <v/>
      </c>
      <c r="G1623">
        <f>ROUND(G1622+0.1,1)</f>
        <v/>
      </c>
      <c r="H1623">
        <f>G1623=C1623</f>
        <v/>
      </c>
      <c r="I1623">
        <f>TEXT(B1623,"0.00000000000000")</f>
        <v/>
      </c>
    </row>
    <row r="1624">
      <c r="A1624" t="n">
        <v>1617</v>
      </c>
      <c r="B1624">
        <f>B1623+0.1</f>
        <v/>
      </c>
      <c r="C1624">
        <f>A1624/10</f>
        <v/>
      </c>
      <c r="D1624">
        <f>B1624=C1624</f>
        <v/>
      </c>
      <c r="E1624">
        <f>INT(B1624*10)=A1624</f>
        <v/>
      </c>
      <c r="F1624">
        <f>B1624&gt;=C1624</f>
        <v/>
      </c>
      <c r="G1624">
        <f>ROUND(G1623+0.1,1)</f>
        <v/>
      </c>
      <c r="H1624">
        <f>G1624=C1624</f>
        <v/>
      </c>
      <c r="I1624">
        <f>TEXT(B1624,"0.00000000000000")</f>
        <v/>
      </c>
    </row>
    <row r="1625">
      <c r="A1625" t="n">
        <v>1618</v>
      </c>
      <c r="B1625">
        <f>B1624+0.1</f>
        <v/>
      </c>
      <c r="C1625">
        <f>A1625/10</f>
        <v/>
      </c>
      <c r="D1625">
        <f>B1625=C1625</f>
        <v/>
      </c>
      <c r="E1625">
        <f>INT(B1625*10)=A1625</f>
        <v/>
      </c>
      <c r="F1625">
        <f>B1625&gt;=C1625</f>
        <v/>
      </c>
      <c r="G1625">
        <f>ROUND(G1624+0.1,1)</f>
        <v/>
      </c>
      <c r="H1625">
        <f>G1625=C1625</f>
        <v/>
      </c>
      <c r="I1625">
        <f>TEXT(B1625,"0.00000000000000")</f>
        <v/>
      </c>
    </row>
    <row r="1626">
      <c r="A1626" t="n">
        <v>1619</v>
      </c>
      <c r="B1626">
        <f>B1625+0.1</f>
        <v/>
      </c>
      <c r="C1626">
        <f>A1626/10</f>
        <v/>
      </c>
      <c r="D1626">
        <f>B1626=C1626</f>
        <v/>
      </c>
      <c r="E1626">
        <f>INT(B1626*10)=A1626</f>
        <v/>
      </c>
      <c r="F1626">
        <f>B1626&gt;=C1626</f>
        <v/>
      </c>
      <c r="G1626">
        <f>ROUND(G1625+0.1,1)</f>
        <v/>
      </c>
      <c r="H1626">
        <f>G1626=C1626</f>
        <v/>
      </c>
      <c r="I1626">
        <f>TEXT(B1626,"0.00000000000000")</f>
        <v/>
      </c>
    </row>
    <row r="1627">
      <c r="A1627" t="n">
        <v>1620</v>
      </c>
      <c r="B1627">
        <f>B1626+0.1</f>
        <v/>
      </c>
      <c r="C1627">
        <f>A1627/10</f>
        <v/>
      </c>
      <c r="D1627">
        <f>B1627=C1627</f>
        <v/>
      </c>
      <c r="E1627">
        <f>INT(B1627*10)=A1627</f>
        <v/>
      </c>
      <c r="F1627">
        <f>B1627&gt;=C1627</f>
        <v/>
      </c>
      <c r="G1627">
        <f>ROUND(G1626+0.1,1)</f>
        <v/>
      </c>
      <c r="H1627">
        <f>G1627=C1627</f>
        <v/>
      </c>
      <c r="I1627">
        <f>TEXT(B1627,"0.00000000000000")</f>
        <v/>
      </c>
    </row>
    <row r="1628">
      <c r="A1628" t="n">
        <v>1621</v>
      </c>
      <c r="B1628">
        <f>B1627+0.1</f>
        <v/>
      </c>
      <c r="C1628">
        <f>A1628/10</f>
        <v/>
      </c>
      <c r="D1628">
        <f>B1628=C1628</f>
        <v/>
      </c>
      <c r="E1628">
        <f>INT(B1628*10)=A1628</f>
        <v/>
      </c>
      <c r="F1628">
        <f>B1628&gt;=C1628</f>
        <v/>
      </c>
      <c r="G1628">
        <f>ROUND(G1627+0.1,1)</f>
        <v/>
      </c>
      <c r="H1628">
        <f>G1628=C1628</f>
        <v/>
      </c>
      <c r="I1628">
        <f>TEXT(B1628,"0.00000000000000")</f>
        <v/>
      </c>
    </row>
    <row r="1629">
      <c r="A1629" t="n">
        <v>1622</v>
      </c>
      <c r="B1629">
        <f>B1628+0.1</f>
        <v/>
      </c>
      <c r="C1629">
        <f>A1629/10</f>
        <v/>
      </c>
      <c r="D1629">
        <f>B1629=C1629</f>
        <v/>
      </c>
      <c r="E1629">
        <f>INT(B1629*10)=A1629</f>
        <v/>
      </c>
      <c r="F1629">
        <f>B1629&gt;=C1629</f>
        <v/>
      </c>
      <c r="G1629">
        <f>ROUND(G1628+0.1,1)</f>
        <v/>
      </c>
      <c r="H1629">
        <f>G1629=C1629</f>
        <v/>
      </c>
      <c r="I1629">
        <f>TEXT(B1629,"0.00000000000000")</f>
        <v/>
      </c>
    </row>
    <row r="1630">
      <c r="A1630" t="n">
        <v>1623</v>
      </c>
      <c r="B1630">
        <f>B1629+0.1</f>
        <v/>
      </c>
      <c r="C1630">
        <f>A1630/10</f>
        <v/>
      </c>
      <c r="D1630">
        <f>B1630=C1630</f>
        <v/>
      </c>
      <c r="E1630">
        <f>INT(B1630*10)=A1630</f>
        <v/>
      </c>
      <c r="F1630">
        <f>B1630&gt;=C1630</f>
        <v/>
      </c>
      <c r="G1630">
        <f>ROUND(G1629+0.1,1)</f>
        <v/>
      </c>
      <c r="H1630">
        <f>G1630=C1630</f>
        <v/>
      </c>
      <c r="I1630">
        <f>TEXT(B1630,"0.00000000000000")</f>
        <v/>
      </c>
    </row>
    <row r="1631">
      <c r="A1631" t="n">
        <v>1624</v>
      </c>
      <c r="B1631">
        <f>B1630+0.1</f>
        <v/>
      </c>
      <c r="C1631">
        <f>A1631/10</f>
        <v/>
      </c>
      <c r="D1631">
        <f>B1631=C1631</f>
        <v/>
      </c>
      <c r="E1631">
        <f>INT(B1631*10)=A1631</f>
        <v/>
      </c>
      <c r="F1631">
        <f>B1631&gt;=C1631</f>
        <v/>
      </c>
      <c r="G1631">
        <f>ROUND(G1630+0.1,1)</f>
        <v/>
      </c>
      <c r="H1631">
        <f>G1631=C1631</f>
        <v/>
      </c>
      <c r="I1631">
        <f>TEXT(B1631,"0.00000000000000")</f>
        <v/>
      </c>
    </row>
    <row r="1632">
      <c r="A1632" t="n">
        <v>1625</v>
      </c>
      <c r="B1632">
        <f>B1631+0.1</f>
        <v/>
      </c>
      <c r="C1632">
        <f>A1632/10</f>
        <v/>
      </c>
      <c r="D1632">
        <f>B1632=C1632</f>
        <v/>
      </c>
      <c r="E1632">
        <f>INT(B1632*10)=A1632</f>
        <v/>
      </c>
      <c r="F1632">
        <f>B1632&gt;=C1632</f>
        <v/>
      </c>
      <c r="G1632">
        <f>ROUND(G1631+0.1,1)</f>
        <v/>
      </c>
      <c r="H1632">
        <f>G1632=C1632</f>
        <v/>
      </c>
      <c r="I1632">
        <f>TEXT(B1632,"0.00000000000000")</f>
        <v/>
      </c>
    </row>
    <row r="1633">
      <c r="A1633" t="n">
        <v>1626</v>
      </c>
      <c r="B1633">
        <f>B1632+0.1</f>
        <v/>
      </c>
      <c r="C1633">
        <f>A1633/10</f>
        <v/>
      </c>
      <c r="D1633">
        <f>B1633=C1633</f>
        <v/>
      </c>
      <c r="E1633">
        <f>INT(B1633*10)=A1633</f>
        <v/>
      </c>
      <c r="F1633">
        <f>B1633&gt;=C1633</f>
        <v/>
      </c>
      <c r="G1633">
        <f>ROUND(G1632+0.1,1)</f>
        <v/>
      </c>
      <c r="H1633">
        <f>G1633=C1633</f>
        <v/>
      </c>
      <c r="I1633">
        <f>TEXT(B1633,"0.00000000000000")</f>
        <v/>
      </c>
    </row>
    <row r="1634">
      <c r="A1634" t="n">
        <v>1627</v>
      </c>
      <c r="B1634">
        <f>B1633+0.1</f>
        <v/>
      </c>
      <c r="C1634">
        <f>A1634/10</f>
        <v/>
      </c>
      <c r="D1634">
        <f>B1634=C1634</f>
        <v/>
      </c>
      <c r="E1634">
        <f>INT(B1634*10)=A1634</f>
        <v/>
      </c>
      <c r="F1634">
        <f>B1634&gt;=C1634</f>
        <v/>
      </c>
      <c r="G1634">
        <f>ROUND(G1633+0.1,1)</f>
        <v/>
      </c>
      <c r="H1634">
        <f>G1634=C1634</f>
        <v/>
      </c>
      <c r="I1634">
        <f>TEXT(B1634,"0.00000000000000")</f>
        <v/>
      </c>
    </row>
    <row r="1635">
      <c r="A1635" t="n">
        <v>1628</v>
      </c>
      <c r="B1635">
        <f>B1634+0.1</f>
        <v/>
      </c>
      <c r="C1635">
        <f>A1635/10</f>
        <v/>
      </c>
      <c r="D1635">
        <f>B1635=C1635</f>
        <v/>
      </c>
      <c r="E1635">
        <f>INT(B1635*10)=A1635</f>
        <v/>
      </c>
      <c r="F1635">
        <f>B1635&gt;=C1635</f>
        <v/>
      </c>
      <c r="G1635">
        <f>ROUND(G1634+0.1,1)</f>
        <v/>
      </c>
      <c r="H1635">
        <f>G1635=C1635</f>
        <v/>
      </c>
      <c r="I1635">
        <f>TEXT(B1635,"0.00000000000000")</f>
        <v/>
      </c>
    </row>
    <row r="1636">
      <c r="A1636" t="n">
        <v>1629</v>
      </c>
      <c r="B1636">
        <f>B1635+0.1</f>
        <v/>
      </c>
      <c r="C1636">
        <f>A1636/10</f>
        <v/>
      </c>
      <c r="D1636">
        <f>B1636=C1636</f>
        <v/>
      </c>
      <c r="E1636">
        <f>INT(B1636*10)=A1636</f>
        <v/>
      </c>
      <c r="F1636">
        <f>B1636&gt;=C1636</f>
        <v/>
      </c>
      <c r="G1636">
        <f>ROUND(G1635+0.1,1)</f>
        <v/>
      </c>
      <c r="H1636">
        <f>G1636=C1636</f>
        <v/>
      </c>
      <c r="I1636">
        <f>TEXT(B1636,"0.00000000000000")</f>
        <v/>
      </c>
    </row>
    <row r="1637">
      <c r="A1637" t="n">
        <v>1630</v>
      </c>
      <c r="B1637">
        <f>B1636+0.1</f>
        <v/>
      </c>
      <c r="C1637">
        <f>A1637/10</f>
        <v/>
      </c>
      <c r="D1637">
        <f>B1637=C1637</f>
        <v/>
      </c>
      <c r="E1637">
        <f>INT(B1637*10)=A1637</f>
        <v/>
      </c>
      <c r="F1637">
        <f>B1637&gt;=C1637</f>
        <v/>
      </c>
      <c r="G1637">
        <f>ROUND(G1636+0.1,1)</f>
        <v/>
      </c>
      <c r="H1637">
        <f>G1637=C1637</f>
        <v/>
      </c>
      <c r="I1637">
        <f>TEXT(B1637,"0.00000000000000")</f>
        <v/>
      </c>
    </row>
    <row r="1638">
      <c r="A1638" t="n">
        <v>1631</v>
      </c>
      <c r="B1638">
        <f>B1637+0.1</f>
        <v/>
      </c>
      <c r="C1638">
        <f>A1638/10</f>
        <v/>
      </c>
      <c r="D1638">
        <f>B1638=C1638</f>
        <v/>
      </c>
      <c r="E1638">
        <f>INT(B1638*10)=A1638</f>
        <v/>
      </c>
      <c r="F1638">
        <f>B1638&gt;=C1638</f>
        <v/>
      </c>
      <c r="G1638">
        <f>ROUND(G1637+0.1,1)</f>
        <v/>
      </c>
      <c r="H1638">
        <f>G1638=C1638</f>
        <v/>
      </c>
      <c r="I1638">
        <f>TEXT(B1638,"0.00000000000000")</f>
        <v/>
      </c>
    </row>
    <row r="1639">
      <c r="A1639" t="n">
        <v>1632</v>
      </c>
      <c r="B1639">
        <f>B1638+0.1</f>
        <v/>
      </c>
      <c r="C1639">
        <f>A1639/10</f>
        <v/>
      </c>
      <c r="D1639">
        <f>B1639=C1639</f>
        <v/>
      </c>
      <c r="E1639">
        <f>INT(B1639*10)=A1639</f>
        <v/>
      </c>
      <c r="F1639">
        <f>B1639&gt;=C1639</f>
        <v/>
      </c>
      <c r="G1639">
        <f>ROUND(G1638+0.1,1)</f>
        <v/>
      </c>
      <c r="H1639">
        <f>G1639=C1639</f>
        <v/>
      </c>
      <c r="I1639">
        <f>TEXT(B1639,"0.00000000000000")</f>
        <v/>
      </c>
    </row>
    <row r="1640">
      <c r="A1640" t="n">
        <v>1633</v>
      </c>
      <c r="B1640">
        <f>B1639+0.1</f>
        <v/>
      </c>
      <c r="C1640">
        <f>A1640/10</f>
        <v/>
      </c>
      <c r="D1640">
        <f>B1640=C1640</f>
        <v/>
      </c>
      <c r="E1640">
        <f>INT(B1640*10)=A1640</f>
        <v/>
      </c>
      <c r="F1640">
        <f>B1640&gt;=C1640</f>
        <v/>
      </c>
      <c r="G1640">
        <f>ROUND(G1639+0.1,1)</f>
        <v/>
      </c>
      <c r="H1640">
        <f>G1640=C1640</f>
        <v/>
      </c>
      <c r="I1640">
        <f>TEXT(B1640,"0.00000000000000")</f>
        <v/>
      </c>
    </row>
    <row r="1641">
      <c r="A1641" t="n">
        <v>1634</v>
      </c>
      <c r="B1641">
        <f>B1640+0.1</f>
        <v/>
      </c>
      <c r="C1641">
        <f>A1641/10</f>
        <v/>
      </c>
      <c r="D1641">
        <f>B1641=C1641</f>
        <v/>
      </c>
      <c r="E1641">
        <f>INT(B1641*10)=A1641</f>
        <v/>
      </c>
      <c r="F1641">
        <f>B1641&gt;=C1641</f>
        <v/>
      </c>
      <c r="G1641">
        <f>ROUND(G1640+0.1,1)</f>
        <v/>
      </c>
      <c r="H1641">
        <f>G1641=C1641</f>
        <v/>
      </c>
      <c r="I1641">
        <f>TEXT(B1641,"0.00000000000000")</f>
        <v/>
      </c>
    </row>
    <row r="1642">
      <c r="A1642" t="n">
        <v>1635</v>
      </c>
      <c r="B1642">
        <f>B1641+0.1</f>
        <v/>
      </c>
      <c r="C1642">
        <f>A1642/10</f>
        <v/>
      </c>
      <c r="D1642">
        <f>B1642=C1642</f>
        <v/>
      </c>
      <c r="E1642">
        <f>INT(B1642*10)=A1642</f>
        <v/>
      </c>
      <c r="F1642">
        <f>B1642&gt;=C1642</f>
        <v/>
      </c>
      <c r="G1642">
        <f>ROUND(G1641+0.1,1)</f>
        <v/>
      </c>
      <c r="H1642">
        <f>G1642=C1642</f>
        <v/>
      </c>
      <c r="I1642">
        <f>TEXT(B1642,"0.00000000000000")</f>
        <v/>
      </c>
    </row>
    <row r="1643">
      <c r="A1643" t="n">
        <v>1636</v>
      </c>
      <c r="B1643">
        <f>B1642+0.1</f>
        <v/>
      </c>
      <c r="C1643">
        <f>A1643/10</f>
        <v/>
      </c>
      <c r="D1643">
        <f>B1643=C1643</f>
        <v/>
      </c>
      <c r="E1643">
        <f>INT(B1643*10)=A1643</f>
        <v/>
      </c>
      <c r="F1643">
        <f>B1643&gt;=C1643</f>
        <v/>
      </c>
      <c r="G1643">
        <f>ROUND(G1642+0.1,1)</f>
        <v/>
      </c>
      <c r="H1643">
        <f>G1643=C1643</f>
        <v/>
      </c>
      <c r="I1643">
        <f>TEXT(B1643,"0.00000000000000")</f>
        <v/>
      </c>
    </row>
    <row r="1644">
      <c r="A1644" t="n">
        <v>1637</v>
      </c>
      <c r="B1644">
        <f>B1643+0.1</f>
        <v/>
      </c>
      <c r="C1644">
        <f>A1644/10</f>
        <v/>
      </c>
      <c r="D1644">
        <f>B1644=C1644</f>
        <v/>
      </c>
      <c r="E1644">
        <f>INT(B1644*10)=A1644</f>
        <v/>
      </c>
      <c r="F1644">
        <f>B1644&gt;=C1644</f>
        <v/>
      </c>
      <c r="G1644">
        <f>ROUND(G1643+0.1,1)</f>
        <v/>
      </c>
      <c r="H1644">
        <f>G1644=C1644</f>
        <v/>
      </c>
      <c r="I1644">
        <f>TEXT(B1644,"0.00000000000000")</f>
        <v/>
      </c>
    </row>
    <row r="1645">
      <c r="A1645" t="n">
        <v>1638</v>
      </c>
      <c r="B1645">
        <f>B1644+0.1</f>
        <v/>
      </c>
      <c r="C1645">
        <f>A1645/10</f>
        <v/>
      </c>
      <c r="D1645">
        <f>B1645=C1645</f>
        <v/>
      </c>
      <c r="E1645">
        <f>INT(B1645*10)=A1645</f>
        <v/>
      </c>
      <c r="F1645">
        <f>B1645&gt;=C1645</f>
        <v/>
      </c>
      <c r="G1645">
        <f>ROUND(G1644+0.1,1)</f>
        <v/>
      </c>
      <c r="H1645">
        <f>G1645=C1645</f>
        <v/>
      </c>
      <c r="I1645">
        <f>TEXT(B1645,"0.00000000000000")</f>
        <v/>
      </c>
    </row>
    <row r="1646">
      <c r="A1646" t="n">
        <v>1639</v>
      </c>
      <c r="B1646">
        <f>B1645+0.1</f>
        <v/>
      </c>
      <c r="C1646">
        <f>A1646/10</f>
        <v/>
      </c>
      <c r="D1646">
        <f>B1646=C1646</f>
        <v/>
      </c>
      <c r="E1646">
        <f>INT(B1646*10)=A1646</f>
        <v/>
      </c>
      <c r="F1646">
        <f>B1646&gt;=C1646</f>
        <v/>
      </c>
      <c r="G1646">
        <f>ROUND(G1645+0.1,1)</f>
        <v/>
      </c>
      <c r="H1646">
        <f>G1646=C1646</f>
        <v/>
      </c>
      <c r="I1646">
        <f>TEXT(B1646,"0.00000000000000")</f>
        <v/>
      </c>
    </row>
    <row r="1647">
      <c r="A1647" t="n">
        <v>1640</v>
      </c>
      <c r="B1647">
        <f>B1646+0.1</f>
        <v/>
      </c>
      <c r="C1647">
        <f>A1647/10</f>
        <v/>
      </c>
      <c r="D1647">
        <f>B1647=C1647</f>
        <v/>
      </c>
      <c r="E1647">
        <f>INT(B1647*10)=A1647</f>
        <v/>
      </c>
      <c r="F1647">
        <f>B1647&gt;=C1647</f>
        <v/>
      </c>
      <c r="G1647">
        <f>ROUND(G1646+0.1,1)</f>
        <v/>
      </c>
      <c r="H1647">
        <f>G1647=C1647</f>
        <v/>
      </c>
      <c r="I1647">
        <f>TEXT(B1647,"0.00000000000000")</f>
        <v/>
      </c>
    </row>
    <row r="1648">
      <c r="A1648" t="n">
        <v>1641</v>
      </c>
      <c r="B1648">
        <f>B1647+0.1</f>
        <v/>
      </c>
      <c r="C1648">
        <f>A1648/10</f>
        <v/>
      </c>
      <c r="D1648">
        <f>B1648=C1648</f>
        <v/>
      </c>
      <c r="E1648">
        <f>INT(B1648*10)=A1648</f>
        <v/>
      </c>
      <c r="F1648">
        <f>B1648&gt;=C1648</f>
        <v/>
      </c>
      <c r="G1648">
        <f>ROUND(G1647+0.1,1)</f>
        <v/>
      </c>
      <c r="H1648">
        <f>G1648=C1648</f>
        <v/>
      </c>
      <c r="I1648">
        <f>TEXT(B1648,"0.00000000000000")</f>
        <v/>
      </c>
    </row>
    <row r="1649">
      <c r="A1649" t="n">
        <v>1642</v>
      </c>
      <c r="B1649">
        <f>B1648+0.1</f>
        <v/>
      </c>
      <c r="C1649">
        <f>A1649/10</f>
        <v/>
      </c>
      <c r="D1649">
        <f>B1649=C1649</f>
        <v/>
      </c>
      <c r="E1649">
        <f>INT(B1649*10)=A1649</f>
        <v/>
      </c>
      <c r="F1649">
        <f>B1649&gt;=C1649</f>
        <v/>
      </c>
      <c r="G1649">
        <f>ROUND(G1648+0.1,1)</f>
        <v/>
      </c>
      <c r="H1649">
        <f>G1649=C1649</f>
        <v/>
      </c>
      <c r="I1649">
        <f>TEXT(B1649,"0.00000000000000")</f>
        <v/>
      </c>
    </row>
    <row r="1650">
      <c r="A1650" t="n">
        <v>1643</v>
      </c>
      <c r="B1650">
        <f>B1649+0.1</f>
        <v/>
      </c>
      <c r="C1650">
        <f>A1650/10</f>
        <v/>
      </c>
      <c r="D1650">
        <f>B1650=C1650</f>
        <v/>
      </c>
      <c r="E1650">
        <f>INT(B1650*10)=A1650</f>
        <v/>
      </c>
      <c r="F1650">
        <f>B1650&gt;=C1650</f>
        <v/>
      </c>
      <c r="G1650">
        <f>ROUND(G1649+0.1,1)</f>
        <v/>
      </c>
      <c r="H1650">
        <f>G1650=C1650</f>
        <v/>
      </c>
      <c r="I1650">
        <f>TEXT(B1650,"0.00000000000000")</f>
        <v/>
      </c>
    </row>
    <row r="1651">
      <c r="A1651" t="n">
        <v>1644</v>
      </c>
      <c r="B1651">
        <f>B1650+0.1</f>
        <v/>
      </c>
      <c r="C1651">
        <f>A1651/10</f>
        <v/>
      </c>
      <c r="D1651">
        <f>B1651=C1651</f>
        <v/>
      </c>
      <c r="E1651">
        <f>INT(B1651*10)=A1651</f>
        <v/>
      </c>
      <c r="F1651">
        <f>B1651&gt;=C1651</f>
        <v/>
      </c>
      <c r="G1651">
        <f>ROUND(G1650+0.1,1)</f>
        <v/>
      </c>
      <c r="H1651">
        <f>G1651=C1651</f>
        <v/>
      </c>
      <c r="I1651">
        <f>TEXT(B1651,"0.00000000000000")</f>
        <v/>
      </c>
    </row>
    <row r="1652">
      <c r="A1652" t="n">
        <v>1645</v>
      </c>
      <c r="B1652">
        <f>B1651+0.1</f>
        <v/>
      </c>
      <c r="C1652">
        <f>A1652/10</f>
        <v/>
      </c>
      <c r="D1652">
        <f>B1652=C1652</f>
        <v/>
      </c>
      <c r="E1652">
        <f>INT(B1652*10)=A1652</f>
        <v/>
      </c>
      <c r="F1652">
        <f>B1652&gt;=C1652</f>
        <v/>
      </c>
      <c r="G1652">
        <f>ROUND(G1651+0.1,1)</f>
        <v/>
      </c>
      <c r="H1652">
        <f>G1652=C1652</f>
        <v/>
      </c>
      <c r="I1652">
        <f>TEXT(B1652,"0.00000000000000")</f>
        <v/>
      </c>
    </row>
    <row r="1653">
      <c r="A1653" t="n">
        <v>1646</v>
      </c>
      <c r="B1653">
        <f>B1652+0.1</f>
        <v/>
      </c>
      <c r="C1653">
        <f>A1653/10</f>
        <v/>
      </c>
      <c r="D1653">
        <f>B1653=C1653</f>
        <v/>
      </c>
      <c r="E1653">
        <f>INT(B1653*10)=A1653</f>
        <v/>
      </c>
      <c r="F1653">
        <f>B1653&gt;=C1653</f>
        <v/>
      </c>
      <c r="G1653">
        <f>ROUND(G1652+0.1,1)</f>
        <v/>
      </c>
      <c r="H1653">
        <f>G1653=C1653</f>
        <v/>
      </c>
      <c r="I1653">
        <f>TEXT(B1653,"0.00000000000000")</f>
        <v/>
      </c>
    </row>
    <row r="1654">
      <c r="A1654" t="n">
        <v>1647</v>
      </c>
      <c r="B1654">
        <f>B1653+0.1</f>
        <v/>
      </c>
      <c r="C1654">
        <f>A1654/10</f>
        <v/>
      </c>
      <c r="D1654">
        <f>B1654=C1654</f>
        <v/>
      </c>
      <c r="E1654">
        <f>INT(B1654*10)=A1654</f>
        <v/>
      </c>
      <c r="F1654">
        <f>B1654&gt;=C1654</f>
        <v/>
      </c>
      <c r="G1654">
        <f>ROUND(G1653+0.1,1)</f>
        <v/>
      </c>
      <c r="H1654">
        <f>G1654=C1654</f>
        <v/>
      </c>
      <c r="I1654">
        <f>TEXT(B1654,"0.00000000000000")</f>
        <v/>
      </c>
    </row>
    <row r="1655">
      <c r="A1655" t="n">
        <v>1648</v>
      </c>
      <c r="B1655">
        <f>B1654+0.1</f>
        <v/>
      </c>
      <c r="C1655">
        <f>A1655/10</f>
        <v/>
      </c>
      <c r="D1655">
        <f>B1655=C1655</f>
        <v/>
      </c>
      <c r="E1655">
        <f>INT(B1655*10)=A1655</f>
        <v/>
      </c>
      <c r="F1655">
        <f>B1655&gt;=C1655</f>
        <v/>
      </c>
      <c r="G1655">
        <f>ROUND(G1654+0.1,1)</f>
        <v/>
      </c>
      <c r="H1655">
        <f>G1655=C1655</f>
        <v/>
      </c>
      <c r="I1655">
        <f>TEXT(B1655,"0.00000000000000")</f>
        <v/>
      </c>
    </row>
    <row r="1656">
      <c r="A1656" t="n">
        <v>1649</v>
      </c>
      <c r="B1656">
        <f>B1655+0.1</f>
        <v/>
      </c>
      <c r="C1656">
        <f>A1656/10</f>
        <v/>
      </c>
      <c r="D1656">
        <f>B1656=C1656</f>
        <v/>
      </c>
      <c r="E1656">
        <f>INT(B1656*10)=A1656</f>
        <v/>
      </c>
      <c r="F1656">
        <f>B1656&gt;=C1656</f>
        <v/>
      </c>
      <c r="G1656">
        <f>ROUND(G1655+0.1,1)</f>
        <v/>
      </c>
      <c r="H1656">
        <f>G1656=C1656</f>
        <v/>
      </c>
      <c r="I1656">
        <f>TEXT(B1656,"0.00000000000000")</f>
        <v/>
      </c>
    </row>
    <row r="1657">
      <c r="A1657" t="n">
        <v>1650</v>
      </c>
      <c r="B1657">
        <f>B1656+0.1</f>
        <v/>
      </c>
      <c r="C1657">
        <f>A1657/10</f>
        <v/>
      </c>
      <c r="D1657">
        <f>B1657=C1657</f>
        <v/>
      </c>
      <c r="E1657">
        <f>INT(B1657*10)=A1657</f>
        <v/>
      </c>
      <c r="F1657">
        <f>B1657&gt;=C1657</f>
        <v/>
      </c>
      <c r="G1657">
        <f>ROUND(G1656+0.1,1)</f>
        <v/>
      </c>
      <c r="H1657">
        <f>G1657=C1657</f>
        <v/>
      </c>
      <c r="I1657">
        <f>TEXT(B1657,"0.00000000000000")</f>
        <v/>
      </c>
    </row>
    <row r="1658">
      <c r="A1658" t="n">
        <v>1651</v>
      </c>
      <c r="B1658">
        <f>B1657+0.1</f>
        <v/>
      </c>
      <c r="C1658">
        <f>A1658/10</f>
        <v/>
      </c>
      <c r="D1658">
        <f>B1658=C1658</f>
        <v/>
      </c>
      <c r="E1658">
        <f>INT(B1658*10)=A1658</f>
        <v/>
      </c>
      <c r="F1658">
        <f>B1658&gt;=C1658</f>
        <v/>
      </c>
      <c r="G1658">
        <f>ROUND(G1657+0.1,1)</f>
        <v/>
      </c>
      <c r="H1658">
        <f>G1658=C1658</f>
        <v/>
      </c>
      <c r="I1658">
        <f>TEXT(B1658,"0.00000000000000")</f>
        <v/>
      </c>
    </row>
    <row r="1659">
      <c r="A1659" t="n">
        <v>1652</v>
      </c>
      <c r="B1659">
        <f>B1658+0.1</f>
        <v/>
      </c>
      <c r="C1659">
        <f>A1659/10</f>
        <v/>
      </c>
      <c r="D1659">
        <f>B1659=C1659</f>
        <v/>
      </c>
      <c r="E1659">
        <f>INT(B1659*10)=A1659</f>
        <v/>
      </c>
      <c r="F1659">
        <f>B1659&gt;=C1659</f>
        <v/>
      </c>
      <c r="G1659">
        <f>ROUND(G1658+0.1,1)</f>
        <v/>
      </c>
      <c r="H1659">
        <f>G1659=C1659</f>
        <v/>
      </c>
      <c r="I1659">
        <f>TEXT(B1659,"0.00000000000000")</f>
        <v/>
      </c>
    </row>
    <row r="1660">
      <c r="A1660" t="n">
        <v>1653</v>
      </c>
      <c r="B1660">
        <f>B1659+0.1</f>
        <v/>
      </c>
      <c r="C1660">
        <f>A1660/10</f>
        <v/>
      </c>
      <c r="D1660">
        <f>B1660=C1660</f>
        <v/>
      </c>
      <c r="E1660">
        <f>INT(B1660*10)=A1660</f>
        <v/>
      </c>
      <c r="F1660">
        <f>B1660&gt;=C1660</f>
        <v/>
      </c>
      <c r="G1660">
        <f>ROUND(G1659+0.1,1)</f>
        <v/>
      </c>
      <c r="H1660">
        <f>G1660=C1660</f>
        <v/>
      </c>
      <c r="I1660">
        <f>TEXT(B1660,"0.00000000000000")</f>
        <v/>
      </c>
    </row>
    <row r="1661">
      <c r="A1661" t="n">
        <v>1654</v>
      </c>
      <c r="B1661">
        <f>B1660+0.1</f>
        <v/>
      </c>
      <c r="C1661">
        <f>A1661/10</f>
        <v/>
      </c>
      <c r="D1661">
        <f>B1661=C1661</f>
        <v/>
      </c>
      <c r="E1661">
        <f>INT(B1661*10)=A1661</f>
        <v/>
      </c>
      <c r="F1661">
        <f>B1661&gt;=C1661</f>
        <v/>
      </c>
      <c r="G1661">
        <f>ROUND(G1660+0.1,1)</f>
        <v/>
      </c>
      <c r="H1661">
        <f>G1661=C1661</f>
        <v/>
      </c>
      <c r="I1661">
        <f>TEXT(B1661,"0.00000000000000")</f>
        <v/>
      </c>
    </row>
    <row r="1662">
      <c r="A1662" t="n">
        <v>1655</v>
      </c>
      <c r="B1662">
        <f>B1661+0.1</f>
        <v/>
      </c>
      <c r="C1662">
        <f>A1662/10</f>
        <v/>
      </c>
      <c r="D1662">
        <f>B1662=C1662</f>
        <v/>
      </c>
      <c r="E1662">
        <f>INT(B1662*10)=A1662</f>
        <v/>
      </c>
      <c r="F1662">
        <f>B1662&gt;=C1662</f>
        <v/>
      </c>
      <c r="G1662">
        <f>ROUND(G1661+0.1,1)</f>
        <v/>
      </c>
      <c r="H1662">
        <f>G1662=C1662</f>
        <v/>
      </c>
      <c r="I1662">
        <f>TEXT(B1662,"0.00000000000000")</f>
        <v/>
      </c>
    </row>
    <row r="1663">
      <c r="A1663" t="n">
        <v>1656</v>
      </c>
      <c r="B1663">
        <f>B1662+0.1</f>
        <v/>
      </c>
      <c r="C1663">
        <f>A1663/10</f>
        <v/>
      </c>
      <c r="D1663">
        <f>B1663=C1663</f>
        <v/>
      </c>
      <c r="E1663">
        <f>INT(B1663*10)=A1663</f>
        <v/>
      </c>
      <c r="F1663">
        <f>B1663&gt;=C1663</f>
        <v/>
      </c>
      <c r="G1663">
        <f>ROUND(G1662+0.1,1)</f>
        <v/>
      </c>
      <c r="H1663">
        <f>G1663=C1663</f>
        <v/>
      </c>
      <c r="I1663">
        <f>TEXT(B1663,"0.00000000000000")</f>
        <v/>
      </c>
    </row>
    <row r="1664">
      <c r="A1664" t="n">
        <v>1657</v>
      </c>
      <c r="B1664">
        <f>B1663+0.1</f>
        <v/>
      </c>
      <c r="C1664">
        <f>A1664/10</f>
        <v/>
      </c>
      <c r="D1664">
        <f>B1664=C1664</f>
        <v/>
      </c>
      <c r="E1664">
        <f>INT(B1664*10)=A1664</f>
        <v/>
      </c>
      <c r="F1664">
        <f>B1664&gt;=C1664</f>
        <v/>
      </c>
      <c r="G1664">
        <f>ROUND(G1663+0.1,1)</f>
        <v/>
      </c>
      <c r="H1664">
        <f>G1664=C1664</f>
        <v/>
      </c>
      <c r="I1664">
        <f>TEXT(B1664,"0.00000000000000")</f>
        <v/>
      </c>
    </row>
    <row r="1665">
      <c r="A1665" t="n">
        <v>1658</v>
      </c>
      <c r="B1665">
        <f>B1664+0.1</f>
        <v/>
      </c>
      <c r="C1665">
        <f>A1665/10</f>
        <v/>
      </c>
      <c r="D1665">
        <f>B1665=C1665</f>
        <v/>
      </c>
      <c r="E1665">
        <f>INT(B1665*10)=A1665</f>
        <v/>
      </c>
      <c r="F1665">
        <f>B1665&gt;=C1665</f>
        <v/>
      </c>
      <c r="G1665">
        <f>ROUND(G1664+0.1,1)</f>
        <v/>
      </c>
      <c r="H1665">
        <f>G1665=C1665</f>
        <v/>
      </c>
      <c r="I1665">
        <f>TEXT(B1665,"0.00000000000000")</f>
        <v/>
      </c>
    </row>
    <row r="1666">
      <c r="A1666" t="n">
        <v>1659</v>
      </c>
      <c r="B1666">
        <f>B1665+0.1</f>
        <v/>
      </c>
      <c r="C1666">
        <f>A1666/10</f>
        <v/>
      </c>
      <c r="D1666">
        <f>B1666=C1666</f>
        <v/>
      </c>
      <c r="E1666">
        <f>INT(B1666*10)=A1666</f>
        <v/>
      </c>
      <c r="F1666">
        <f>B1666&gt;=C1666</f>
        <v/>
      </c>
      <c r="G1666">
        <f>ROUND(G1665+0.1,1)</f>
        <v/>
      </c>
      <c r="H1666">
        <f>G1666=C1666</f>
        <v/>
      </c>
      <c r="I1666">
        <f>TEXT(B1666,"0.00000000000000")</f>
        <v/>
      </c>
    </row>
    <row r="1667">
      <c r="A1667" t="n">
        <v>1660</v>
      </c>
      <c r="B1667">
        <f>B1666+0.1</f>
        <v/>
      </c>
      <c r="C1667">
        <f>A1667/10</f>
        <v/>
      </c>
      <c r="D1667">
        <f>B1667=C1667</f>
        <v/>
      </c>
      <c r="E1667">
        <f>INT(B1667*10)=A1667</f>
        <v/>
      </c>
      <c r="F1667">
        <f>B1667&gt;=C1667</f>
        <v/>
      </c>
      <c r="G1667">
        <f>ROUND(G1666+0.1,1)</f>
        <v/>
      </c>
      <c r="H1667">
        <f>G1667=C1667</f>
        <v/>
      </c>
      <c r="I1667">
        <f>TEXT(B1667,"0.00000000000000")</f>
        <v/>
      </c>
    </row>
    <row r="1668">
      <c r="A1668" t="n">
        <v>1661</v>
      </c>
      <c r="B1668">
        <f>B1667+0.1</f>
        <v/>
      </c>
      <c r="C1668">
        <f>A1668/10</f>
        <v/>
      </c>
      <c r="D1668">
        <f>B1668=C1668</f>
        <v/>
      </c>
      <c r="E1668">
        <f>INT(B1668*10)=A1668</f>
        <v/>
      </c>
      <c r="F1668">
        <f>B1668&gt;=C1668</f>
        <v/>
      </c>
      <c r="G1668">
        <f>ROUND(G1667+0.1,1)</f>
        <v/>
      </c>
      <c r="H1668">
        <f>G1668=C1668</f>
        <v/>
      </c>
      <c r="I1668">
        <f>TEXT(B1668,"0.00000000000000")</f>
        <v/>
      </c>
    </row>
    <row r="1669">
      <c r="A1669" t="n">
        <v>1662</v>
      </c>
      <c r="B1669">
        <f>B1668+0.1</f>
        <v/>
      </c>
      <c r="C1669">
        <f>A1669/10</f>
        <v/>
      </c>
      <c r="D1669">
        <f>B1669=C1669</f>
        <v/>
      </c>
      <c r="E1669">
        <f>INT(B1669*10)=A1669</f>
        <v/>
      </c>
      <c r="F1669">
        <f>B1669&gt;=C1669</f>
        <v/>
      </c>
      <c r="G1669">
        <f>ROUND(G1668+0.1,1)</f>
        <v/>
      </c>
      <c r="H1669">
        <f>G1669=C1669</f>
        <v/>
      </c>
      <c r="I1669">
        <f>TEXT(B1669,"0.00000000000000")</f>
        <v/>
      </c>
    </row>
    <row r="1670">
      <c r="A1670" t="n">
        <v>1663</v>
      </c>
      <c r="B1670">
        <f>B1669+0.1</f>
        <v/>
      </c>
      <c r="C1670">
        <f>A1670/10</f>
        <v/>
      </c>
      <c r="D1670">
        <f>B1670=C1670</f>
        <v/>
      </c>
      <c r="E1670">
        <f>INT(B1670*10)=A1670</f>
        <v/>
      </c>
      <c r="F1670">
        <f>B1670&gt;=C1670</f>
        <v/>
      </c>
      <c r="G1670">
        <f>ROUND(G1669+0.1,1)</f>
        <v/>
      </c>
      <c r="H1670">
        <f>G1670=C1670</f>
        <v/>
      </c>
      <c r="I1670">
        <f>TEXT(B1670,"0.00000000000000")</f>
        <v/>
      </c>
    </row>
    <row r="1671">
      <c r="A1671" t="n">
        <v>1664</v>
      </c>
      <c r="B1671">
        <f>B1670+0.1</f>
        <v/>
      </c>
      <c r="C1671">
        <f>A1671/10</f>
        <v/>
      </c>
      <c r="D1671">
        <f>B1671=C1671</f>
        <v/>
      </c>
      <c r="E1671">
        <f>INT(B1671*10)=A1671</f>
        <v/>
      </c>
      <c r="F1671">
        <f>B1671&gt;=C1671</f>
        <v/>
      </c>
      <c r="G1671">
        <f>ROUND(G1670+0.1,1)</f>
        <v/>
      </c>
      <c r="H1671">
        <f>G1671=C1671</f>
        <v/>
      </c>
      <c r="I1671">
        <f>TEXT(B1671,"0.00000000000000")</f>
        <v/>
      </c>
    </row>
    <row r="1672">
      <c r="A1672" t="n">
        <v>1665</v>
      </c>
      <c r="B1672">
        <f>B1671+0.1</f>
        <v/>
      </c>
      <c r="C1672">
        <f>A1672/10</f>
        <v/>
      </c>
      <c r="D1672">
        <f>B1672=C1672</f>
        <v/>
      </c>
      <c r="E1672">
        <f>INT(B1672*10)=A1672</f>
        <v/>
      </c>
      <c r="F1672">
        <f>B1672&gt;=C1672</f>
        <v/>
      </c>
      <c r="G1672">
        <f>ROUND(G1671+0.1,1)</f>
        <v/>
      </c>
      <c r="H1672">
        <f>G1672=C1672</f>
        <v/>
      </c>
      <c r="I1672">
        <f>TEXT(B1672,"0.00000000000000")</f>
        <v/>
      </c>
    </row>
    <row r="1673">
      <c r="A1673" t="n">
        <v>1666</v>
      </c>
      <c r="B1673">
        <f>B1672+0.1</f>
        <v/>
      </c>
      <c r="C1673">
        <f>A1673/10</f>
        <v/>
      </c>
      <c r="D1673">
        <f>B1673=C1673</f>
        <v/>
      </c>
      <c r="E1673">
        <f>INT(B1673*10)=A1673</f>
        <v/>
      </c>
      <c r="F1673">
        <f>B1673&gt;=C1673</f>
        <v/>
      </c>
      <c r="G1673">
        <f>ROUND(G1672+0.1,1)</f>
        <v/>
      </c>
      <c r="H1673">
        <f>G1673=C1673</f>
        <v/>
      </c>
      <c r="I1673">
        <f>TEXT(B1673,"0.00000000000000")</f>
        <v/>
      </c>
    </row>
    <row r="1674">
      <c r="A1674" t="n">
        <v>1667</v>
      </c>
      <c r="B1674">
        <f>B1673+0.1</f>
        <v/>
      </c>
      <c r="C1674">
        <f>A1674/10</f>
        <v/>
      </c>
      <c r="D1674">
        <f>B1674=C1674</f>
        <v/>
      </c>
      <c r="E1674">
        <f>INT(B1674*10)=A1674</f>
        <v/>
      </c>
      <c r="F1674">
        <f>B1674&gt;=C1674</f>
        <v/>
      </c>
      <c r="G1674">
        <f>ROUND(G1673+0.1,1)</f>
        <v/>
      </c>
      <c r="H1674">
        <f>G1674=C1674</f>
        <v/>
      </c>
      <c r="I1674">
        <f>TEXT(B1674,"0.00000000000000")</f>
        <v/>
      </c>
    </row>
    <row r="1675">
      <c r="A1675" t="n">
        <v>1668</v>
      </c>
      <c r="B1675">
        <f>B1674+0.1</f>
        <v/>
      </c>
      <c r="C1675">
        <f>A1675/10</f>
        <v/>
      </c>
      <c r="D1675">
        <f>B1675=C1675</f>
        <v/>
      </c>
      <c r="E1675">
        <f>INT(B1675*10)=A1675</f>
        <v/>
      </c>
      <c r="F1675">
        <f>B1675&gt;=C1675</f>
        <v/>
      </c>
      <c r="G1675">
        <f>ROUND(G1674+0.1,1)</f>
        <v/>
      </c>
      <c r="H1675">
        <f>G1675=C1675</f>
        <v/>
      </c>
      <c r="I1675">
        <f>TEXT(B1675,"0.00000000000000")</f>
        <v/>
      </c>
    </row>
    <row r="1676">
      <c r="A1676" t="n">
        <v>1669</v>
      </c>
      <c r="B1676">
        <f>B1675+0.1</f>
        <v/>
      </c>
      <c r="C1676">
        <f>A1676/10</f>
        <v/>
      </c>
      <c r="D1676">
        <f>B1676=C1676</f>
        <v/>
      </c>
      <c r="E1676">
        <f>INT(B1676*10)=A1676</f>
        <v/>
      </c>
      <c r="F1676">
        <f>B1676&gt;=C1676</f>
        <v/>
      </c>
      <c r="G1676">
        <f>ROUND(G1675+0.1,1)</f>
        <v/>
      </c>
      <c r="H1676">
        <f>G1676=C1676</f>
        <v/>
      </c>
      <c r="I1676">
        <f>TEXT(B1676,"0.00000000000000")</f>
        <v/>
      </c>
    </row>
    <row r="1677">
      <c r="A1677" t="n">
        <v>1670</v>
      </c>
      <c r="B1677">
        <f>B1676+0.1</f>
        <v/>
      </c>
      <c r="C1677">
        <f>A1677/10</f>
        <v/>
      </c>
      <c r="D1677">
        <f>B1677=C1677</f>
        <v/>
      </c>
      <c r="E1677">
        <f>INT(B1677*10)=A1677</f>
        <v/>
      </c>
      <c r="F1677">
        <f>B1677&gt;=C1677</f>
        <v/>
      </c>
      <c r="G1677">
        <f>ROUND(G1676+0.1,1)</f>
        <v/>
      </c>
      <c r="H1677">
        <f>G1677=C1677</f>
        <v/>
      </c>
      <c r="I1677">
        <f>TEXT(B1677,"0.00000000000000")</f>
        <v/>
      </c>
    </row>
    <row r="1678">
      <c r="A1678" t="n">
        <v>1671</v>
      </c>
      <c r="B1678">
        <f>B1677+0.1</f>
        <v/>
      </c>
      <c r="C1678">
        <f>A1678/10</f>
        <v/>
      </c>
      <c r="D1678">
        <f>B1678=C1678</f>
        <v/>
      </c>
      <c r="E1678">
        <f>INT(B1678*10)=A1678</f>
        <v/>
      </c>
      <c r="F1678">
        <f>B1678&gt;=C1678</f>
        <v/>
      </c>
      <c r="G1678">
        <f>ROUND(G1677+0.1,1)</f>
        <v/>
      </c>
      <c r="H1678">
        <f>G1678=C1678</f>
        <v/>
      </c>
      <c r="I1678">
        <f>TEXT(B1678,"0.00000000000000")</f>
        <v/>
      </c>
    </row>
    <row r="1679">
      <c r="A1679" t="n">
        <v>1672</v>
      </c>
      <c r="B1679">
        <f>B1678+0.1</f>
        <v/>
      </c>
      <c r="C1679">
        <f>A1679/10</f>
        <v/>
      </c>
      <c r="D1679">
        <f>B1679=C1679</f>
        <v/>
      </c>
      <c r="E1679">
        <f>INT(B1679*10)=A1679</f>
        <v/>
      </c>
      <c r="F1679">
        <f>B1679&gt;=C1679</f>
        <v/>
      </c>
      <c r="G1679">
        <f>ROUND(G1678+0.1,1)</f>
        <v/>
      </c>
      <c r="H1679">
        <f>G1679=C1679</f>
        <v/>
      </c>
      <c r="I1679">
        <f>TEXT(B1679,"0.00000000000000")</f>
        <v/>
      </c>
    </row>
    <row r="1680">
      <c r="A1680" t="n">
        <v>1673</v>
      </c>
      <c r="B1680">
        <f>B1679+0.1</f>
        <v/>
      </c>
      <c r="C1680">
        <f>A1680/10</f>
        <v/>
      </c>
      <c r="D1680">
        <f>B1680=C1680</f>
        <v/>
      </c>
      <c r="E1680">
        <f>INT(B1680*10)=A1680</f>
        <v/>
      </c>
      <c r="F1680">
        <f>B1680&gt;=C1680</f>
        <v/>
      </c>
      <c r="G1680">
        <f>ROUND(G1679+0.1,1)</f>
        <v/>
      </c>
      <c r="H1680">
        <f>G1680=C1680</f>
        <v/>
      </c>
      <c r="I1680">
        <f>TEXT(B1680,"0.00000000000000")</f>
        <v/>
      </c>
    </row>
    <row r="1681">
      <c r="A1681" t="n">
        <v>1674</v>
      </c>
      <c r="B1681">
        <f>B1680+0.1</f>
        <v/>
      </c>
      <c r="C1681">
        <f>A1681/10</f>
        <v/>
      </c>
      <c r="D1681">
        <f>B1681=C1681</f>
        <v/>
      </c>
      <c r="E1681">
        <f>INT(B1681*10)=A1681</f>
        <v/>
      </c>
      <c r="F1681">
        <f>B1681&gt;=C1681</f>
        <v/>
      </c>
      <c r="G1681">
        <f>ROUND(G1680+0.1,1)</f>
        <v/>
      </c>
      <c r="H1681">
        <f>G1681=C1681</f>
        <v/>
      </c>
      <c r="I1681">
        <f>TEXT(B1681,"0.00000000000000")</f>
        <v/>
      </c>
    </row>
    <row r="1682">
      <c r="A1682" t="n">
        <v>1675</v>
      </c>
      <c r="B1682">
        <f>B1681+0.1</f>
        <v/>
      </c>
      <c r="C1682">
        <f>A1682/10</f>
        <v/>
      </c>
      <c r="D1682">
        <f>B1682=C1682</f>
        <v/>
      </c>
      <c r="E1682">
        <f>INT(B1682*10)=A1682</f>
        <v/>
      </c>
      <c r="F1682">
        <f>B1682&gt;=C1682</f>
        <v/>
      </c>
      <c r="G1682">
        <f>ROUND(G1681+0.1,1)</f>
        <v/>
      </c>
      <c r="H1682">
        <f>G1682=C1682</f>
        <v/>
      </c>
      <c r="I1682">
        <f>TEXT(B1682,"0.00000000000000")</f>
        <v/>
      </c>
    </row>
    <row r="1683">
      <c r="A1683" t="n">
        <v>1676</v>
      </c>
      <c r="B1683">
        <f>B1682+0.1</f>
        <v/>
      </c>
      <c r="C1683">
        <f>A1683/10</f>
        <v/>
      </c>
      <c r="D1683">
        <f>B1683=C1683</f>
        <v/>
      </c>
      <c r="E1683">
        <f>INT(B1683*10)=A1683</f>
        <v/>
      </c>
      <c r="F1683">
        <f>B1683&gt;=C1683</f>
        <v/>
      </c>
      <c r="G1683">
        <f>ROUND(G1682+0.1,1)</f>
        <v/>
      </c>
      <c r="H1683">
        <f>G1683=C1683</f>
        <v/>
      </c>
      <c r="I1683">
        <f>TEXT(B1683,"0.00000000000000")</f>
        <v/>
      </c>
    </row>
    <row r="1684">
      <c r="A1684" t="n">
        <v>1677</v>
      </c>
      <c r="B1684">
        <f>B1683+0.1</f>
        <v/>
      </c>
      <c r="C1684">
        <f>A1684/10</f>
        <v/>
      </c>
      <c r="D1684">
        <f>B1684=C1684</f>
        <v/>
      </c>
      <c r="E1684">
        <f>INT(B1684*10)=A1684</f>
        <v/>
      </c>
      <c r="F1684">
        <f>B1684&gt;=C1684</f>
        <v/>
      </c>
      <c r="G1684">
        <f>ROUND(G1683+0.1,1)</f>
        <v/>
      </c>
      <c r="H1684">
        <f>G1684=C1684</f>
        <v/>
      </c>
      <c r="I1684">
        <f>TEXT(B1684,"0.00000000000000")</f>
        <v/>
      </c>
    </row>
    <row r="1685">
      <c r="A1685" t="n">
        <v>1678</v>
      </c>
      <c r="B1685">
        <f>B1684+0.1</f>
        <v/>
      </c>
      <c r="C1685">
        <f>A1685/10</f>
        <v/>
      </c>
      <c r="D1685">
        <f>B1685=C1685</f>
        <v/>
      </c>
      <c r="E1685">
        <f>INT(B1685*10)=A1685</f>
        <v/>
      </c>
      <c r="F1685">
        <f>B1685&gt;=C1685</f>
        <v/>
      </c>
      <c r="G1685">
        <f>ROUND(G1684+0.1,1)</f>
        <v/>
      </c>
      <c r="H1685">
        <f>G1685=C1685</f>
        <v/>
      </c>
      <c r="I1685">
        <f>TEXT(B1685,"0.00000000000000")</f>
        <v/>
      </c>
    </row>
    <row r="1686">
      <c r="A1686" t="n">
        <v>1679</v>
      </c>
      <c r="B1686">
        <f>B1685+0.1</f>
        <v/>
      </c>
      <c r="C1686">
        <f>A1686/10</f>
        <v/>
      </c>
      <c r="D1686">
        <f>B1686=C1686</f>
        <v/>
      </c>
      <c r="E1686">
        <f>INT(B1686*10)=A1686</f>
        <v/>
      </c>
      <c r="F1686">
        <f>B1686&gt;=C1686</f>
        <v/>
      </c>
      <c r="G1686">
        <f>ROUND(G1685+0.1,1)</f>
        <v/>
      </c>
      <c r="H1686">
        <f>G1686=C1686</f>
        <v/>
      </c>
      <c r="I1686">
        <f>TEXT(B1686,"0.00000000000000")</f>
        <v/>
      </c>
    </row>
    <row r="1687">
      <c r="A1687" t="n">
        <v>1680</v>
      </c>
      <c r="B1687">
        <f>B1686+0.1</f>
        <v/>
      </c>
      <c r="C1687">
        <f>A1687/10</f>
        <v/>
      </c>
      <c r="D1687">
        <f>B1687=C1687</f>
        <v/>
      </c>
      <c r="E1687">
        <f>INT(B1687*10)=A1687</f>
        <v/>
      </c>
      <c r="F1687">
        <f>B1687&gt;=C1687</f>
        <v/>
      </c>
      <c r="G1687">
        <f>ROUND(G1686+0.1,1)</f>
        <v/>
      </c>
      <c r="H1687">
        <f>G1687=C1687</f>
        <v/>
      </c>
      <c r="I1687">
        <f>TEXT(B1687,"0.00000000000000")</f>
        <v/>
      </c>
    </row>
    <row r="1688">
      <c r="A1688" t="n">
        <v>1681</v>
      </c>
      <c r="B1688">
        <f>B1687+0.1</f>
        <v/>
      </c>
      <c r="C1688">
        <f>A1688/10</f>
        <v/>
      </c>
      <c r="D1688">
        <f>B1688=C1688</f>
        <v/>
      </c>
      <c r="E1688">
        <f>INT(B1688*10)=A1688</f>
        <v/>
      </c>
      <c r="F1688">
        <f>B1688&gt;=C1688</f>
        <v/>
      </c>
      <c r="G1688">
        <f>ROUND(G1687+0.1,1)</f>
        <v/>
      </c>
      <c r="H1688">
        <f>G1688=C1688</f>
        <v/>
      </c>
      <c r="I1688">
        <f>TEXT(B1688,"0.00000000000000")</f>
        <v/>
      </c>
    </row>
    <row r="1689">
      <c r="A1689" t="n">
        <v>1682</v>
      </c>
      <c r="B1689">
        <f>B1688+0.1</f>
        <v/>
      </c>
      <c r="C1689">
        <f>A1689/10</f>
        <v/>
      </c>
      <c r="D1689">
        <f>B1689=C1689</f>
        <v/>
      </c>
      <c r="E1689">
        <f>INT(B1689*10)=A1689</f>
        <v/>
      </c>
      <c r="F1689">
        <f>B1689&gt;=C1689</f>
        <v/>
      </c>
      <c r="G1689">
        <f>ROUND(G1688+0.1,1)</f>
        <v/>
      </c>
      <c r="H1689">
        <f>G1689=C1689</f>
        <v/>
      </c>
      <c r="I1689">
        <f>TEXT(B1689,"0.00000000000000")</f>
        <v/>
      </c>
    </row>
    <row r="1690">
      <c r="A1690" t="n">
        <v>1683</v>
      </c>
      <c r="B1690">
        <f>B1689+0.1</f>
        <v/>
      </c>
      <c r="C1690">
        <f>A1690/10</f>
        <v/>
      </c>
      <c r="D1690">
        <f>B1690=C1690</f>
        <v/>
      </c>
      <c r="E1690">
        <f>INT(B1690*10)=A1690</f>
        <v/>
      </c>
      <c r="F1690">
        <f>B1690&gt;=C1690</f>
        <v/>
      </c>
      <c r="G1690">
        <f>ROUND(G1689+0.1,1)</f>
        <v/>
      </c>
      <c r="H1690">
        <f>G1690=C1690</f>
        <v/>
      </c>
      <c r="I1690">
        <f>TEXT(B1690,"0.00000000000000")</f>
        <v/>
      </c>
    </row>
    <row r="1691">
      <c r="A1691" t="n">
        <v>1684</v>
      </c>
      <c r="B1691">
        <f>B1690+0.1</f>
        <v/>
      </c>
      <c r="C1691">
        <f>A1691/10</f>
        <v/>
      </c>
      <c r="D1691">
        <f>B1691=C1691</f>
        <v/>
      </c>
      <c r="E1691">
        <f>INT(B1691*10)=A1691</f>
        <v/>
      </c>
      <c r="F1691">
        <f>B1691&gt;=C1691</f>
        <v/>
      </c>
      <c r="G1691">
        <f>ROUND(G1690+0.1,1)</f>
        <v/>
      </c>
      <c r="H1691">
        <f>G1691=C1691</f>
        <v/>
      </c>
      <c r="I1691">
        <f>TEXT(B1691,"0.00000000000000")</f>
        <v/>
      </c>
    </row>
    <row r="1692">
      <c r="A1692" t="n">
        <v>1685</v>
      </c>
      <c r="B1692">
        <f>B1691+0.1</f>
        <v/>
      </c>
      <c r="C1692">
        <f>A1692/10</f>
        <v/>
      </c>
      <c r="D1692">
        <f>B1692=C1692</f>
        <v/>
      </c>
      <c r="E1692">
        <f>INT(B1692*10)=A1692</f>
        <v/>
      </c>
      <c r="F1692">
        <f>B1692&gt;=C1692</f>
        <v/>
      </c>
      <c r="G1692">
        <f>ROUND(G1691+0.1,1)</f>
        <v/>
      </c>
      <c r="H1692">
        <f>G1692=C1692</f>
        <v/>
      </c>
      <c r="I1692">
        <f>TEXT(B1692,"0.00000000000000")</f>
        <v/>
      </c>
    </row>
    <row r="1693">
      <c r="A1693" t="n">
        <v>1686</v>
      </c>
      <c r="B1693">
        <f>B1692+0.1</f>
        <v/>
      </c>
      <c r="C1693">
        <f>A1693/10</f>
        <v/>
      </c>
      <c r="D1693">
        <f>B1693=C1693</f>
        <v/>
      </c>
      <c r="E1693">
        <f>INT(B1693*10)=A1693</f>
        <v/>
      </c>
      <c r="F1693">
        <f>B1693&gt;=C1693</f>
        <v/>
      </c>
      <c r="G1693">
        <f>ROUND(G1692+0.1,1)</f>
        <v/>
      </c>
      <c r="H1693">
        <f>G1693=C1693</f>
        <v/>
      </c>
      <c r="I1693">
        <f>TEXT(B1693,"0.00000000000000")</f>
        <v/>
      </c>
    </row>
    <row r="1694">
      <c r="A1694" t="n">
        <v>1687</v>
      </c>
      <c r="B1694">
        <f>B1693+0.1</f>
        <v/>
      </c>
      <c r="C1694">
        <f>A1694/10</f>
        <v/>
      </c>
      <c r="D1694">
        <f>B1694=C1694</f>
        <v/>
      </c>
      <c r="E1694">
        <f>INT(B1694*10)=A1694</f>
        <v/>
      </c>
      <c r="F1694">
        <f>B1694&gt;=C1694</f>
        <v/>
      </c>
      <c r="G1694">
        <f>ROUND(G1693+0.1,1)</f>
        <v/>
      </c>
      <c r="H1694">
        <f>G1694=C1694</f>
        <v/>
      </c>
      <c r="I1694">
        <f>TEXT(B1694,"0.00000000000000")</f>
        <v/>
      </c>
    </row>
    <row r="1695">
      <c r="A1695" t="n">
        <v>1688</v>
      </c>
      <c r="B1695">
        <f>B1694+0.1</f>
        <v/>
      </c>
      <c r="C1695">
        <f>A1695/10</f>
        <v/>
      </c>
      <c r="D1695">
        <f>B1695=C1695</f>
        <v/>
      </c>
      <c r="E1695">
        <f>INT(B1695*10)=A1695</f>
        <v/>
      </c>
      <c r="F1695">
        <f>B1695&gt;=C1695</f>
        <v/>
      </c>
      <c r="G1695">
        <f>ROUND(G1694+0.1,1)</f>
        <v/>
      </c>
      <c r="H1695">
        <f>G1695=C1695</f>
        <v/>
      </c>
      <c r="I1695">
        <f>TEXT(B1695,"0.00000000000000")</f>
        <v/>
      </c>
    </row>
    <row r="1696">
      <c r="A1696" t="n">
        <v>1689</v>
      </c>
      <c r="B1696">
        <f>B1695+0.1</f>
        <v/>
      </c>
      <c r="C1696">
        <f>A1696/10</f>
        <v/>
      </c>
      <c r="D1696">
        <f>B1696=C1696</f>
        <v/>
      </c>
      <c r="E1696">
        <f>INT(B1696*10)=A1696</f>
        <v/>
      </c>
      <c r="F1696">
        <f>B1696&gt;=C1696</f>
        <v/>
      </c>
      <c r="G1696">
        <f>ROUND(G1695+0.1,1)</f>
        <v/>
      </c>
      <c r="H1696">
        <f>G1696=C1696</f>
        <v/>
      </c>
      <c r="I1696">
        <f>TEXT(B1696,"0.00000000000000")</f>
        <v/>
      </c>
    </row>
    <row r="1697">
      <c r="A1697" t="n">
        <v>1690</v>
      </c>
      <c r="B1697">
        <f>B1696+0.1</f>
        <v/>
      </c>
      <c r="C1697">
        <f>A1697/10</f>
        <v/>
      </c>
      <c r="D1697">
        <f>B1697=C1697</f>
        <v/>
      </c>
      <c r="E1697">
        <f>INT(B1697*10)=A1697</f>
        <v/>
      </c>
      <c r="F1697">
        <f>B1697&gt;=C1697</f>
        <v/>
      </c>
      <c r="G1697">
        <f>ROUND(G1696+0.1,1)</f>
        <v/>
      </c>
      <c r="H1697">
        <f>G1697=C1697</f>
        <v/>
      </c>
      <c r="I1697">
        <f>TEXT(B1697,"0.00000000000000")</f>
        <v/>
      </c>
    </row>
    <row r="1698">
      <c r="A1698" t="n">
        <v>1691</v>
      </c>
      <c r="B1698">
        <f>B1697+0.1</f>
        <v/>
      </c>
      <c r="C1698">
        <f>A1698/10</f>
        <v/>
      </c>
      <c r="D1698">
        <f>B1698=C1698</f>
        <v/>
      </c>
      <c r="E1698">
        <f>INT(B1698*10)=A1698</f>
        <v/>
      </c>
      <c r="F1698">
        <f>B1698&gt;=C1698</f>
        <v/>
      </c>
      <c r="G1698">
        <f>ROUND(G1697+0.1,1)</f>
        <v/>
      </c>
      <c r="H1698">
        <f>G1698=C1698</f>
        <v/>
      </c>
      <c r="I1698">
        <f>TEXT(B1698,"0.00000000000000")</f>
        <v/>
      </c>
    </row>
    <row r="1699">
      <c r="A1699" t="n">
        <v>1692</v>
      </c>
      <c r="B1699">
        <f>B1698+0.1</f>
        <v/>
      </c>
      <c r="C1699">
        <f>A1699/10</f>
        <v/>
      </c>
      <c r="D1699">
        <f>B1699=C1699</f>
        <v/>
      </c>
      <c r="E1699">
        <f>INT(B1699*10)=A1699</f>
        <v/>
      </c>
      <c r="F1699">
        <f>B1699&gt;=C1699</f>
        <v/>
      </c>
      <c r="G1699">
        <f>ROUND(G1698+0.1,1)</f>
        <v/>
      </c>
      <c r="H1699">
        <f>G1699=C1699</f>
        <v/>
      </c>
      <c r="I1699">
        <f>TEXT(B1699,"0.00000000000000")</f>
        <v/>
      </c>
    </row>
    <row r="1700">
      <c r="A1700" t="n">
        <v>1693</v>
      </c>
      <c r="B1700">
        <f>B1699+0.1</f>
        <v/>
      </c>
      <c r="C1700">
        <f>A1700/10</f>
        <v/>
      </c>
      <c r="D1700">
        <f>B1700=C1700</f>
        <v/>
      </c>
      <c r="E1700">
        <f>INT(B1700*10)=A1700</f>
        <v/>
      </c>
      <c r="F1700">
        <f>B1700&gt;=C1700</f>
        <v/>
      </c>
      <c r="G1700">
        <f>ROUND(G1699+0.1,1)</f>
        <v/>
      </c>
      <c r="H1700">
        <f>G1700=C1700</f>
        <v/>
      </c>
      <c r="I1700">
        <f>TEXT(B1700,"0.00000000000000")</f>
        <v/>
      </c>
    </row>
    <row r="1701">
      <c r="A1701" t="n">
        <v>1694</v>
      </c>
      <c r="B1701">
        <f>B1700+0.1</f>
        <v/>
      </c>
      <c r="C1701">
        <f>A1701/10</f>
        <v/>
      </c>
      <c r="D1701">
        <f>B1701=C1701</f>
        <v/>
      </c>
      <c r="E1701">
        <f>INT(B1701*10)=A1701</f>
        <v/>
      </c>
      <c r="F1701">
        <f>B1701&gt;=C1701</f>
        <v/>
      </c>
      <c r="G1701">
        <f>ROUND(G1700+0.1,1)</f>
        <v/>
      </c>
      <c r="H1701">
        <f>G1701=C1701</f>
        <v/>
      </c>
      <c r="I1701">
        <f>TEXT(B1701,"0.00000000000000")</f>
        <v/>
      </c>
    </row>
    <row r="1702">
      <c r="A1702" t="n">
        <v>1695</v>
      </c>
      <c r="B1702">
        <f>B1701+0.1</f>
        <v/>
      </c>
      <c r="C1702">
        <f>A1702/10</f>
        <v/>
      </c>
      <c r="D1702">
        <f>B1702=C1702</f>
        <v/>
      </c>
      <c r="E1702">
        <f>INT(B1702*10)=A1702</f>
        <v/>
      </c>
      <c r="F1702">
        <f>B1702&gt;=C1702</f>
        <v/>
      </c>
      <c r="G1702">
        <f>ROUND(G1701+0.1,1)</f>
        <v/>
      </c>
      <c r="H1702">
        <f>G1702=C1702</f>
        <v/>
      </c>
      <c r="I1702">
        <f>TEXT(B1702,"0.00000000000000")</f>
        <v/>
      </c>
    </row>
    <row r="1703">
      <c r="A1703" t="n">
        <v>1696</v>
      </c>
      <c r="B1703">
        <f>B1702+0.1</f>
        <v/>
      </c>
      <c r="C1703">
        <f>A1703/10</f>
        <v/>
      </c>
      <c r="D1703">
        <f>B1703=C1703</f>
        <v/>
      </c>
      <c r="E1703">
        <f>INT(B1703*10)=A1703</f>
        <v/>
      </c>
      <c r="F1703">
        <f>B1703&gt;=C1703</f>
        <v/>
      </c>
      <c r="G1703">
        <f>ROUND(G1702+0.1,1)</f>
        <v/>
      </c>
      <c r="H1703">
        <f>G1703=C1703</f>
        <v/>
      </c>
      <c r="I1703">
        <f>TEXT(B1703,"0.00000000000000")</f>
        <v/>
      </c>
    </row>
    <row r="1704">
      <c r="A1704" t="n">
        <v>1697</v>
      </c>
      <c r="B1704">
        <f>B1703+0.1</f>
        <v/>
      </c>
      <c r="C1704">
        <f>A1704/10</f>
        <v/>
      </c>
      <c r="D1704">
        <f>B1704=C1704</f>
        <v/>
      </c>
      <c r="E1704">
        <f>INT(B1704*10)=A1704</f>
        <v/>
      </c>
      <c r="F1704">
        <f>B1704&gt;=C1704</f>
        <v/>
      </c>
      <c r="G1704">
        <f>ROUND(G1703+0.1,1)</f>
        <v/>
      </c>
      <c r="H1704">
        <f>G1704=C1704</f>
        <v/>
      </c>
      <c r="I1704">
        <f>TEXT(B1704,"0.00000000000000")</f>
        <v/>
      </c>
    </row>
    <row r="1705">
      <c r="A1705" t="n">
        <v>1698</v>
      </c>
      <c r="B1705">
        <f>B1704+0.1</f>
        <v/>
      </c>
      <c r="C1705">
        <f>A1705/10</f>
        <v/>
      </c>
      <c r="D1705">
        <f>B1705=C1705</f>
        <v/>
      </c>
      <c r="E1705">
        <f>INT(B1705*10)=A1705</f>
        <v/>
      </c>
      <c r="F1705">
        <f>B1705&gt;=C1705</f>
        <v/>
      </c>
      <c r="G1705">
        <f>ROUND(G1704+0.1,1)</f>
        <v/>
      </c>
      <c r="H1705">
        <f>G1705=C1705</f>
        <v/>
      </c>
      <c r="I1705">
        <f>TEXT(B1705,"0.00000000000000")</f>
        <v/>
      </c>
    </row>
    <row r="1706">
      <c r="A1706" t="n">
        <v>1699</v>
      </c>
      <c r="B1706">
        <f>B1705+0.1</f>
        <v/>
      </c>
      <c r="C1706">
        <f>A1706/10</f>
        <v/>
      </c>
      <c r="D1706">
        <f>B1706=C1706</f>
        <v/>
      </c>
      <c r="E1706">
        <f>INT(B1706*10)=A1706</f>
        <v/>
      </c>
      <c r="F1706">
        <f>B1706&gt;=C1706</f>
        <v/>
      </c>
      <c r="G1706">
        <f>ROUND(G1705+0.1,1)</f>
        <v/>
      </c>
      <c r="H1706">
        <f>G1706=C1706</f>
        <v/>
      </c>
      <c r="I1706">
        <f>TEXT(B1706,"0.00000000000000")</f>
        <v/>
      </c>
    </row>
    <row r="1707">
      <c r="A1707" t="n">
        <v>1700</v>
      </c>
      <c r="B1707">
        <f>B1706+0.1</f>
        <v/>
      </c>
      <c r="C1707">
        <f>A1707/10</f>
        <v/>
      </c>
      <c r="D1707">
        <f>B1707=C1707</f>
        <v/>
      </c>
      <c r="E1707">
        <f>INT(B1707*10)=A1707</f>
        <v/>
      </c>
      <c r="F1707">
        <f>B1707&gt;=C1707</f>
        <v/>
      </c>
      <c r="G1707">
        <f>ROUND(G1706+0.1,1)</f>
        <v/>
      </c>
      <c r="H1707">
        <f>G1707=C1707</f>
        <v/>
      </c>
      <c r="I1707">
        <f>TEXT(B1707,"0.00000000000000")</f>
        <v/>
      </c>
    </row>
    <row r="1708">
      <c r="A1708" t="n">
        <v>1701</v>
      </c>
      <c r="B1708">
        <f>B1707+0.1</f>
        <v/>
      </c>
      <c r="C1708">
        <f>A1708/10</f>
        <v/>
      </c>
      <c r="D1708">
        <f>B1708=C1708</f>
        <v/>
      </c>
      <c r="E1708">
        <f>INT(B1708*10)=A1708</f>
        <v/>
      </c>
      <c r="F1708">
        <f>B1708&gt;=C1708</f>
        <v/>
      </c>
      <c r="G1708">
        <f>ROUND(G1707+0.1,1)</f>
        <v/>
      </c>
      <c r="H1708">
        <f>G1708=C1708</f>
        <v/>
      </c>
      <c r="I1708">
        <f>TEXT(B1708,"0.00000000000000")</f>
        <v/>
      </c>
    </row>
    <row r="1709">
      <c r="A1709" t="n">
        <v>1702</v>
      </c>
      <c r="B1709">
        <f>B1708+0.1</f>
        <v/>
      </c>
      <c r="C1709">
        <f>A1709/10</f>
        <v/>
      </c>
      <c r="D1709">
        <f>B1709=C1709</f>
        <v/>
      </c>
      <c r="E1709">
        <f>INT(B1709*10)=A1709</f>
        <v/>
      </c>
      <c r="F1709">
        <f>B1709&gt;=C1709</f>
        <v/>
      </c>
      <c r="G1709">
        <f>ROUND(G1708+0.1,1)</f>
        <v/>
      </c>
      <c r="H1709">
        <f>G1709=C1709</f>
        <v/>
      </c>
      <c r="I1709">
        <f>TEXT(B1709,"0.00000000000000")</f>
        <v/>
      </c>
    </row>
    <row r="1710">
      <c r="A1710" t="n">
        <v>1703</v>
      </c>
      <c r="B1710">
        <f>B1709+0.1</f>
        <v/>
      </c>
      <c r="C1710">
        <f>A1710/10</f>
        <v/>
      </c>
      <c r="D1710">
        <f>B1710=C1710</f>
        <v/>
      </c>
      <c r="E1710">
        <f>INT(B1710*10)=A1710</f>
        <v/>
      </c>
      <c r="F1710">
        <f>B1710&gt;=C1710</f>
        <v/>
      </c>
      <c r="G1710">
        <f>ROUND(G1709+0.1,1)</f>
        <v/>
      </c>
      <c r="H1710">
        <f>G1710=C1710</f>
        <v/>
      </c>
      <c r="I1710">
        <f>TEXT(B1710,"0.00000000000000")</f>
        <v/>
      </c>
    </row>
    <row r="1711">
      <c r="A1711" t="n">
        <v>1704</v>
      </c>
      <c r="B1711">
        <f>B1710+0.1</f>
        <v/>
      </c>
      <c r="C1711">
        <f>A1711/10</f>
        <v/>
      </c>
      <c r="D1711">
        <f>B1711=C1711</f>
        <v/>
      </c>
      <c r="E1711">
        <f>INT(B1711*10)=A1711</f>
        <v/>
      </c>
      <c r="F1711">
        <f>B1711&gt;=C1711</f>
        <v/>
      </c>
      <c r="G1711">
        <f>ROUND(G1710+0.1,1)</f>
        <v/>
      </c>
      <c r="H1711">
        <f>G1711=C1711</f>
        <v/>
      </c>
      <c r="I1711">
        <f>TEXT(B1711,"0.00000000000000")</f>
        <v/>
      </c>
    </row>
    <row r="1712">
      <c r="A1712" t="n">
        <v>1705</v>
      </c>
      <c r="B1712">
        <f>B1711+0.1</f>
        <v/>
      </c>
      <c r="C1712">
        <f>A1712/10</f>
        <v/>
      </c>
      <c r="D1712">
        <f>B1712=C1712</f>
        <v/>
      </c>
      <c r="E1712">
        <f>INT(B1712*10)=A1712</f>
        <v/>
      </c>
      <c r="F1712">
        <f>B1712&gt;=C1712</f>
        <v/>
      </c>
      <c r="G1712">
        <f>ROUND(G1711+0.1,1)</f>
        <v/>
      </c>
      <c r="H1712">
        <f>G1712=C1712</f>
        <v/>
      </c>
      <c r="I1712">
        <f>TEXT(B1712,"0.00000000000000")</f>
        <v/>
      </c>
    </row>
    <row r="1713">
      <c r="A1713" t="n">
        <v>1706</v>
      </c>
      <c r="B1713">
        <f>B1712+0.1</f>
        <v/>
      </c>
      <c r="C1713">
        <f>A1713/10</f>
        <v/>
      </c>
      <c r="D1713">
        <f>B1713=C1713</f>
        <v/>
      </c>
      <c r="E1713">
        <f>INT(B1713*10)=A1713</f>
        <v/>
      </c>
      <c r="F1713">
        <f>B1713&gt;=C1713</f>
        <v/>
      </c>
      <c r="G1713">
        <f>ROUND(G1712+0.1,1)</f>
        <v/>
      </c>
      <c r="H1713">
        <f>G1713=C1713</f>
        <v/>
      </c>
      <c r="I1713">
        <f>TEXT(B1713,"0.00000000000000")</f>
        <v/>
      </c>
    </row>
    <row r="1714">
      <c r="A1714" t="n">
        <v>1707</v>
      </c>
      <c r="B1714">
        <f>B1713+0.1</f>
        <v/>
      </c>
      <c r="C1714">
        <f>A1714/10</f>
        <v/>
      </c>
      <c r="D1714">
        <f>B1714=C1714</f>
        <v/>
      </c>
      <c r="E1714">
        <f>INT(B1714*10)=A1714</f>
        <v/>
      </c>
      <c r="F1714">
        <f>B1714&gt;=C1714</f>
        <v/>
      </c>
      <c r="G1714">
        <f>ROUND(G1713+0.1,1)</f>
        <v/>
      </c>
      <c r="H1714">
        <f>G1714=C1714</f>
        <v/>
      </c>
      <c r="I1714">
        <f>TEXT(B1714,"0.00000000000000")</f>
        <v/>
      </c>
    </row>
    <row r="1715">
      <c r="A1715" t="n">
        <v>1708</v>
      </c>
      <c r="B1715">
        <f>B1714+0.1</f>
        <v/>
      </c>
      <c r="C1715">
        <f>A1715/10</f>
        <v/>
      </c>
      <c r="D1715">
        <f>B1715=C1715</f>
        <v/>
      </c>
      <c r="E1715">
        <f>INT(B1715*10)=A1715</f>
        <v/>
      </c>
      <c r="F1715">
        <f>B1715&gt;=C1715</f>
        <v/>
      </c>
      <c r="G1715">
        <f>ROUND(G1714+0.1,1)</f>
        <v/>
      </c>
      <c r="H1715">
        <f>G1715=C1715</f>
        <v/>
      </c>
      <c r="I1715">
        <f>TEXT(B1715,"0.00000000000000")</f>
        <v/>
      </c>
    </row>
    <row r="1716">
      <c r="A1716" t="n">
        <v>1709</v>
      </c>
      <c r="B1716">
        <f>B1715+0.1</f>
        <v/>
      </c>
      <c r="C1716">
        <f>A1716/10</f>
        <v/>
      </c>
      <c r="D1716">
        <f>B1716=C1716</f>
        <v/>
      </c>
      <c r="E1716">
        <f>INT(B1716*10)=A1716</f>
        <v/>
      </c>
      <c r="F1716">
        <f>B1716&gt;=C1716</f>
        <v/>
      </c>
      <c r="G1716">
        <f>ROUND(G1715+0.1,1)</f>
        <v/>
      </c>
      <c r="H1716">
        <f>G1716=C1716</f>
        <v/>
      </c>
      <c r="I1716">
        <f>TEXT(B1716,"0.00000000000000")</f>
        <v/>
      </c>
    </row>
    <row r="1717">
      <c r="A1717" t="n">
        <v>1710</v>
      </c>
      <c r="B1717">
        <f>B1716+0.1</f>
        <v/>
      </c>
      <c r="C1717">
        <f>A1717/10</f>
        <v/>
      </c>
      <c r="D1717">
        <f>B1717=C1717</f>
        <v/>
      </c>
      <c r="E1717">
        <f>INT(B1717*10)=A1717</f>
        <v/>
      </c>
      <c r="F1717">
        <f>B1717&gt;=C1717</f>
        <v/>
      </c>
      <c r="G1717">
        <f>ROUND(G1716+0.1,1)</f>
        <v/>
      </c>
      <c r="H1717">
        <f>G1717=C1717</f>
        <v/>
      </c>
      <c r="I1717">
        <f>TEXT(B1717,"0.00000000000000")</f>
        <v/>
      </c>
    </row>
    <row r="1718">
      <c r="A1718" t="n">
        <v>1711</v>
      </c>
      <c r="B1718">
        <f>B1717+0.1</f>
        <v/>
      </c>
      <c r="C1718">
        <f>A1718/10</f>
        <v/>
      </c>
      <c r="D1718">
        <f>B1718=C1718</f>
        <v/>
      </c>
      <c r="E1718">
        <f>INT(B1718*10)=A1718</f>
        <v/>
      </c>
      <c r="F1718">
        <f>B1718&gt;=C1718</f>
        <v/>
      </c>
      <c r="G1718">
        <f>ROUND(G1717+0.1,1)</f>
        <v/>
      </c>
      <c r="H1718">
        <f>G1718=C1718</f>
        <v/>
      </c>
      <c r="I1718">
        <f>TEXT(B1718,"0.00000000000000")</f>
        <v/>
      </c>
    </row>
    <row r="1719">
      <c r="A1719" t="n">
        <v>1712</v>
      </c>
      <c r="B1719">
        <f>B1718+0.1</f>
        <v/>
      </c>
      <c r="C1719">
        <f>A1719/10</f>
        <v/>
      </c>
      <c r="D1719">
        <f>B1719=C1719</f>
        <v/>
      </c>
      <c r="E1719">
        <f>INT(B1719*10)=A1719</f>
        <v/>
      </c>
      <c r="F1719">
        <f>B1719&gt;=C1719</f>
        <v/>
      </c>
      <c r="G1719">
        <f>ROUND(G1718+0.1,1)</f>
        <v/>
      </c>
      <c r="H1719">
        <f>G1719=C1719</f>
        <v/>
      </c>
      <c r="I1719">
        <f>TEXT(B1719,"0.00000000000000")</f>
        <v/>
      </c>
    </row>
    <row r="1720">
      <c r="A1720" t="n">
        <v>1713</v>
      </c>
      <c r="B1720">
        <f>B1719+0.1</f>
        <v/>
      </c>
      <c r="C1720">
        <f>A1720/10</f>
        <v/>
      </c>
      <c r="D1720">
        <f>B1720=C1720</f>
        <v/>
      </c>
      <c r="E1720">
        <f>INT(B1720*10)=A1720</f>
        <v/>
      </c>
      <c r="F1720">
        <f>B1720&gt;=C1720</f>
        <v/>
      </c>
      <c r="G1720">
        <f>ROUND(G1719+0.1,1)</f>
        <v/>
      </c>
      <c r="H1720">
        <f>G1720=C1720</f>
        <v/>
      </c>
      <c r="I1720">
        <f>TEXT(B1720,"0.00000000000000")</f>
        <v/>
      </c>
    </row>
    <row r="1721">
      <c r="A1721" t="n">
        <v>1714</v>
      </c>
      <c r="B1721">
        <f>B1720+0.1</f>
        <v/>
      </c>
      <c r="C1721">
        <f>A1721/10</f>
        <v/>
      </c>
      <c r="D1721">
        <f>B1721=C1721</f>
        <v/>
      </c>
      <c r="E1721">
        <f>INT(B1721*10)=A1721</f>
        <v/>
      </c>
      <c r="F1721">
        <f>B1721&gt;=C1721</f>
        <v/>
      </c>
      <c r="G1721">
        <f>ROUND(G1720+0.1,1)</f>
        <v/>
      </c>
      <c r="H1721">
        <f>G1721=C1721</f>
        <v/>
      </c>
      <c r="I1721">
        <f>TEXT(B1721,"0.00000000000000")</f>
        <v/>
      </c>
    </row>
    <row r="1722">
      <c r="A1722" t="n">
        <v>1715</v>
      </c>
      <c r="B1722">
        <f>B1721+0.1</f>
        <v/>
      </c>
      <c r="C1722">
        <f>A1722/10</f>
        <v/>
      </c>
      <c r="D1722">
        <f>B1722=C1722</f>
        <v/>
      </c>
      <c r="E1722">
        <f>INT(B1722*10)=A1722</f>
        <v/>
      </c>
      <c r="F1722">
        <f>B1722&gt;=C1722</f>
        <v/>
      </c>
      <c r="G1722">
        <f>ROUND(G1721+0.1,1)</f>
        <v/>
      </c>
      <c r="H1722">
        <f>G1722=C1722</f>
        <v/>
      </c>
      <c r="I1722">
        <f>TEXT(B1722,"0.00000000000000")</f>
        <v/>
      </c>
    </row>
    <row r="1723">
      <c r="A1723" t="n">
        <v>1716</v>
      </c>
      <c r="B1723">
        <f>B1722+0.1</f>
        <v/>
      </c>
      <c r="C1723">
        <f>A1723/10</f>
        <v/>
      </c>
      <c r="D1723">
        <f>B1723=C1723</f>
        <v/>
      </c>
      <c r="E1723">
        <f>INT(B1723*10)=A1723</f>
        <v/>
      </c>
      <c r="F1723">
        <f>B1723&gt;=C1723</f>
        <v/>
      </c>
      <c r="G1723">
        <f>ROUND(G1722+0.1,1)</f>
        <v/>
      </c>
      <c r="H1723">
        <f>G1723=C1723</f>
        <v/>
      </c>
      <c r="I1723">
        <f>TEXT(B1723,"0.00000000000000")</f>
        <v/>
      </c>
    </row>
    <row r="1724">
      <c r="A1724" t="n">
        <v>1717</v>
      </c>
      <c r="B1724">
        <f>B1723+0.1</f>
        <v/>
      </c>
      <c r="C1724">
        <f>A1724/10</f>
        <v/>
      </c>
      <c r="D1724">
        <f>B1724=C1724</f>
        <v/>
      </c>
      <c r="E1724">
        <f>INT(B1724*10)=A1724</f>
        <v/>
      </c>
      <c r="F1724">
        <f>B1724&gt;=C1724</f>
        <v/>
      </c>
      <c r="G1724">
        <f>ROUND(G1723+0.1,1)</f>
        <v/>
      </c>
      <c r="H1724">
        <f>G1724=C1724</f>
        <v/>
      </c>
      <c r="I1724">
        <f>TEXT(B1724,"0.00000000000000")</f>
        <v/>
      </c>
    </row>
    <row r="1725">
      <c r="A1725" t="n">
        <v>1718</v>
      </c>
      <c r="B1725">
        <f>B1724+0.1</f>
        <v/>
      </c>
      <c r="C1725">
        <f>A1725/10</f>
        <v/>
      </c>
      <c r="D1725">
        <f>B1725=C1725</f>
        <v/>
      </c>
      <c r="E1725">
        <f>INT(B1725*10)=A1725</f>
        <v/>
      </c>
      <c r="F1725">
        <f>B1725&gt;=C1725</f>
        <v/>
      </c>
      <c r="G1725">
        <f>ROUND(G1724+0.1,1)</f>
        <v/>
      </c>
      <c r="H1725">
        <f>G1725=C1725</f>
        <v/>
      </c>
      <c r="I1725">
        <f>TEXT(B1725,"0.00000000000000")</f>
        <v/>
      </c>
    </row>
    <row r="1726">
      <c r="A1726" t="n">
        <v>1719</v>
      </c>
      <c r="B1726">
        <f>B1725+0.1</f>
        <v/>
      </c>
      <c r="C1726">
        <f>A1726/10</f>
        <v/>
      </c>
      <c r="D1726">
        <f>B1726=C1726</f>
        <v/>
      </c>
      <c r="E1726">
        <f>INT(B1726*10)=A1726</f>
        <v/>
      </c>
      <c r="F1726">
        <f>B1726&gt;=C1726</f>
        <v/>
      </c>
      <c r="G1726">
        <f>ROUND(G1725+0.1,1)</f>
        <v/>
      </c>
      <c r="H1726">
        <f>G1726=C1726</f>
        <v/>
      </c>
      <c r="I1726">
        <f>TEXT(B1726,"0.00000000000000")</f>
        <v/>
      </c>
    </row>
    <row r="1727">
      <c r="A1727" t="n">
        <v>1720</v>
      </c>
      <c r="B1727">
        <f>B1726+0.1</f>
        <v/>
      </c>
      <c r="C1727">
        <f>A1727/10</f>
        <v/>
      </c>
      <c r="D1727">
        <f>B1727=C1727</f>
        <v/>
      </c>
      <c r="E1727">
        <f>INT(B1727*10)=A1727</f>
        <v/>
      </c>
      <c r="F1727">
        <f>B1727&gt;=C1727</f>
        <v/>
      </c>
      <c r="G1727">
        <f>ROUND(G1726+0.1,1)</f>
        <v/>
      </c>
      <c r="H1727">
        <f>G1727=C1727</f>
        <v/>
      </c>
      <c r="I1727">
        <f>TEXT(B1727,"0.00000000000000")</f>
        <v/>
      </c>
    </row>
    <row r="1728">
      <c r="A1728" t="n">
        <v>1721</v>
      </c>
      <c r="B1728">
        <f>B1727+0.1</f>
        <v/>
      </c>
      <c r="C1728">
        <f>A1728/10</f>
        <v/>
      </c>
      <c r="D1728">
        <f>B1728=C1728</f>
        <v/>
      </c>
      <c r="E1728">
        <f>INT(B1728*10)=A1728</f>
        <v/>
      </c>
      <c r="F1728">
        <f>B1728&gt;=C1728</f>
        <v/>
      </c>
      <c r="G1728">
        <f>ROUND(G1727+0.1,1)</f>
        <v/>
      </c>
      <c r="H1728">
        <f>G1728=C1728</f>
        <v/>
      </c>
      <c r="I1728">
        <f>TEXT(B1728,"0.00000000000000")</f>
        <v/>
      </c>
    </row>
    <row r="1729">
      <c r="A1729" t="n">
        <v>1722</v>
      </c>
      <c r="B1729">
        <f>B1728+0.1</f>
        <v/>
      </c>
      <c r="C1729">
        <f>A1729/10</f>
        <v/>
      </c>
      <c r="D1729">
        <f>B1729=C1729</f>
        <v/>
      </c>
      <c r="E1729">
        <f>INT(B1729*10)=A1729</f>
        <v/>
      </c>
      <c r="F1729">
        <f>B1729&gt;=C1729</f>
        <v/>
      </c>
      <c r="G1729">
        <f>ROUND(G1728+0.1,1)</f>
        <v/>
      </c>
      <c r="H1729">
        <f>G1729=C1729</f>
        <v/>
      </c>
      <c r="I1729">
        <f>TEXT(B1729,"0.00000000000000")</f>
        <v/>
      </c>
    </row>
    <row r="1730">
      <c r="A1730" t="n">
        <v>1723</v>
      </c>
      <c r="B1730">
        <f>B1729+0.1</f>
        <v/>
      </c>
      <c r="C1730">
        <f>A1730/10</f>
        <v/>
      </c>
      <c r="D1730">
        <f>B1730=C1730</f>
        <v/>
      </c>
      <c r="E1730">
        <f>INT(B1730*10)=A1730</f>
        <v/>
      </c>
      <c r="F1730">
        <f>B1730&gt;=C1730</f>
        <v/>
      </c>
      <c r="G1730">
        <f>ROUND(G1729+0.1,1)</f>
        <v/>
      </c>
      <c r="H1730">
        <f>G1730=C1730</f>
        <v/>
      </c>
      <c r="I1730">
        <f>TEXT(B1730,"0.00000000000000")</f>
        <v/>
      </c>
    </row>
    <row r="1731">
      <c r="A1731" t="n">
        <v>1724</v>
      </c>
      <c r="B1731">
        <f>B1730+0.1</f>
        <v/>
      </c>
      <c r="C1731">
        <f>A1731/10</f>
        <v/>
      </c>
      <c r="D1731">
        <f>B1731=C1731</f>
        <v/>
      </c>
      <c r="E1731">
        <f>INT(B1731*10)=A1731</f>
        <v/>
      </c>
      <c r="F1731">
        <f>B1731&gt;=C1731</f>
        <v/>
      </c>
      <c r="G1731">
        <f>ROUND(G1730+0.1,1)</f>
        <v/>
      </c>
      <c r="H1731">
        <f>G1731=C1731</f>
        <v/>
      </c>
      <c r="I1731">
        <f>TEXT(B1731,"0.00000000000000")</f>
        <v/>
      </c>
    </row>
    <row r="1732">
      <c r="A1732" t="n">
        <v>1725</v>
      </c>
      <c r="B1732">
        <f>B1731+0.1</f>
        <v/>
      </c>
      <c r="C1732">
        <f>A1732/10</f>
        <v/>
      </c>
      <c r="D1732">
        <f>B1732=C1732</f>
        <v/>
      </c>
      <c r="E1732">
        <f>INT(B1732*10)=A1732</f>
        <v/>
      </c>
      <c r="F1732">
        <f>B1732&gt;=C1732</f>
        <v/>
      </c>
      <c r="G1732">
        <f>ROUND(G1731+0.1,1)</f>
        <v/>
      </c>
      <c r="H1732">
        <f>G1732=C1732</f>
        <v/>
      </c>
      <c r="I1732">
        <f>TEXT(B1732,"0.00000000000000")</f>
        <v/>
      </c>
    </row>
    <row r="1733">
      <c r="A1733" t="n">
        <v>1726</v>
      </c>
      <c r="B1733">
        <f>B1732+0.1</f>
        <v/>
      </c>
      <c r="C1733">
        <f>A1733/10</f>
        <v/>
      </c>
      <c r="D1733">
        <f>B1733=C1733</f>
        <v/>
      </c>
      <c r="E1733">
        <f>INT(B1733*10)=A1733</f>
        <v/>
      </c>
      <c r="F1733">
        <f>B1733&gt;=C1733</f>
        <v/>
      </c>
      <c r="G1733">
        <f>ROUND(G1732+0.1,1)</f>
        <v/>
      </c>
      <c r="H1733">
        <f>G1733=C1733</f>
        <v/>
      </c>
      <c r="I1733">
        <f>TEXT(B1733,"0.00000000000000")</f>
        <v/>
      </c>
    </row>
    <row r="1734">
      <c r="A1734" t="n">
        <v>1727</v>
      </c>
      <c r="B1734">
        <f>B1733+0.1</f>
        <v/>
      </c>
      <c r="C1734">
        <f>A1734/10</f>
        <v/>
      </c>
      <c r="D1734">
        <f>B1734=C1734</f>
        <v/>
      </c>
      <c r="E1734">
        <f>INT(B1734*10)=A1734</f>
        <v/>
      </c>
      <c r="F1734">
        <f>B1734&gt;=C1734</f>
        <v/>
      </c>
      <c r="G1734">
        <f>ROUND(G1733+0.1,1)</f>
        <v/>
      </c>
      <c r="H1734">
        <f>G1734=C1734</f>
        <v/>
      </c>
      <c r="I1734">
        <f>TEXT(B1734,"0.00000000000000")</f>
        <v/>
      </c>
    </row>
    <row r="1735">
      <c r="A1735" t="n">
        <v>1728</v>
      </c>
      <c r="B1735">
        <f>B1734+0.1</f>
        <v/>
      </c>
      <c r="C1735">
        <f>A1735/10</f>
        <v/>
      </c>
      <c r="D1735">
        <f>B1735=C1735</f>
        <v/>
      </c>
      <c r="E1735">
        <f>INT(B1735*10)=A1735</f>
        <v/>
      </c>
      <c r="F1735">
        <f>B1735&gt;=C1735</f>
        <v/>
      </c>
      <c r="G1735">
        <f>ROUND(G1734+0.1,1)</f>
        <v/>
      </c>
      <c r="H1735">
        <f>G1735=C1735</f>
        <v/>
      </c>
      <c r="I1735">
        <f>TEXT(B1735,"0.00000000000000")</f>
        <v/>
      </c>
    </row>
    <row r="1736">
      <c r="A1736" t="n">
        <v>1729</v>
      </c>
      <c r="B1736">
        <f>B1735+0.1</f>
        <v/>
      </c>
      <c r="C1736">
        <f>A1736/10</f>
        <v/>
      </c>
      <c r="D1736">
        <f>B1736=C1736</f>
        <v/>
      </c>
      <c r="E1736">
        <f>INT(B1736*10)=A1736</f>
        <v/>
      </c>
      <c r="F1736">
        <f>B1736&gt;=C1736</f>
        <v/>
      </c>
      <c r="G1736">
        <f>ROUND(G1735+0.1,1)</f>
        <v/>
      </c>
      <c r="H1736">
        <f>G1736=C1736</f>
        <v/>
      </c>
      <c r="I1736">
        <f>TEXT(B1736,"0.00000000000000")</f>
        <v/>
      </c>
    </row>
    <row r="1737">
      <c r="A1737" t="n">
        <v>1730</v>
      </c>
      <c r="B1737">
        <f>B1736+0.1</f>
        <v/>
      </c>
      <c r="C1737">
        <f>A1737/10</f>
        <v/>
      </c>
      <c r="D1737">
        <f>B1737=C1737</f>
        <v/>
      </c>
      <c r="E1737">
        <f>INT(B1737*10)=A1737</f>
        <v/>
      </c>
      <c r="F1737">
        <f>B1737&gt;=C1737</f>
        <v/>
      </c>
      <c r="G1737">
        <f>ROUND(G1736+0.1,1)</f>
        <v/>
      </c>
      <c r="H1737">
        <f>G1737=C1737</f>
        <v/>
      </c>
      <c r="I1737">
        <f>TEXT(B1737,"0.00000000000000")</f>
        <v/>
      </c>
    </row>
    <row r="1738">
      <c r="A1738" t="n">
        <v>1731</v>
      </c>
      <c r="B1738">
        <f>B1737+0.1</f>
        <v/>
      </c>
      <c r="C1738">
        <f>A1738/10</f>
        <v/>
      </c>
      <c r="D1738">
        <f>B1738=C1738</f>
        <v/>
      </c>
      <c r="E1738">
        <f>INT(B1738*10)=A1738</f>
        <v/>
      </c>
      <c r="F1738">
        <f>B1738&gt;=C1738</f>
        <v/>
      </c>
      <c r="G1738">
        <f>ROUND(G1737+0.1,1)</f>
        <v/>
      </c>
      <c r="H1738">
        <f>G1738=C1738</f>
        <v/>
      </c>
      <c r="I1738">
        <f>TEXT(B1738,"0.00000000000000")</f>
        <v/>
      </c>
    </row>
    <row r="1739">
      <c r="A1739" t="n">
        <v>1732</v>
      </c>
      <c r="B1739">
        <f>B1738+0.1</f>
        <v/>
      </c>
      <c r="C1739">
        <f>A1739/10</f>
        <v/>
      </c>
      <c r="D1739">
        <f>B1739=C1739</f>
        <v/>
      </c>
      <c r="E1739">
        <f>INT(B1739*10)=A1739</f>
        <v/>
      </c>
      <c r="F1739">
        <f>B1739&gt;=C1739</f>
        <v/>
      </c>
      <c r="G1739">
        <f>ROUND(G1738+0.1,1)</f>
        <v/>
      </c>
      <c r="H1739">
        <f>G1739=C1739</f>
        <v/>
      </c>
      <c r="I1739">
        <f>TEXT(B1739,"0.00000000000000")</f>
        <v/>
      </c>
    </row>
    <row r="1740">
      <c r="A1740" t="n">
        <v>1733</v>
      </c>
      <c r="B1740">
        <f>B1739+0.1</f>
        <v/>
      </c>
      <c r="C1740">
        <f>A1740/10</f>
        <v/>
      </c>
      <c r="D1740">
        <f>B1740=C1740</f>
        <v/>
      </c>
      <c r="E1740">
        <f>INT(B1740*10)=A1740</f>
        <v/>
      </c>
      <c r="F1740">
        <f>B1740&gt;=C1740</f>
        <v/>
      </c>
      <c r="G1740">
        <f>ROUND(G1739+0.1,1)</f>
        <v/>
      </c>
      <c r="H1740">
        <f>G1740=C1740</f>
        <v/>
      </c>
      <c r="I1740">
        <f>TEXT(B1740,"0.00000000000000")</f>
        <v/>
      </c>
    </row>
    <row r="1741">
      <c r="A1741" t="n">
        <v>1734</v>
      </c>
      <c r="B1741">
        <f>B1740+0.1</f>
        <v/>
      </c>
      <c r="C1741">
        <f>A1741/10</f>
        <v/>
      </c>
      <c r="D1741">
        <f>B1741=C1741</f>
        <v/>
      </c>
      <c r="E1741">
        <f>INT(B1741*10)=A1741</f>
        <v/>
      </c>
      <c r="F1741">
        <f>B1741&gt;=C1741</f>
        <v/>
      </c>
      <c r="G1741">
        <f>ROUND(G1740+0.1,1)</f>
        <v/>
      </c>
      <c r="H1741">
        <f>G1741=C1741</f>
        <v/>
      </c>
      <c r="I1741">
        <f>TEXT(B1741,"0.00000000000000")</f>
        <v/>
      </c>
    </row>
    <row r="1742">
      <c r="A1742" t="n">
        <v>1735</v>
      </c>
      <c r="B1742">
        <f>B1741+0.1</f>
        <v/>
      </c>
      <c r="C1742">
        <f>A1742/10</f>
        <v/>
      </c>
      <c r="D1742">
        <f>B1742=C1742</f>
        <v/>
      </c>
      <c r="E1742">
        <f>INT(B1742*10)=A1742</f>
        <v/>
      </c>
      <c r="F1742">
        <f>B1742&gt;=C1742</f>
        <v/>
      </c>
      <c r="G1742">
        <f>ROUND(G1741+0.1,1)</f>
        <v/>
      </c>
      <c r="H1742">
        <f>G1742=C1742</f>
        <v/>
      </c>
      <c r="I1742">
        <f>TEXT(B1742,"0.00000000000000")</f>
        <v/>
      </c>
    </row>
    <row r="1743">
      <c r="A1743" t="n">
        <v>1736</v>
      </c>
      <c r="B1743">
        <f>B1742+0.1</f>
        <v/>
      </c>
      <c r="C1743">
        <f>A1743/10</f>
        <v/>
      </c>
      <c r="D1743">
        <f>B1743=C1743</f>
        <v/>
      </c>
      <c r="E1743">
        <f>INT(B1743*10)=A1743</f>
        <v/>
      </c>
      <c r="F1743">
        <f>B1743&gt;=C1743</f>
        <v/>
      </c>
      <c r="G1743">
        <f>ROUND(G1742+0.1,1)</f>
        <v/>
      </c>
      <c r="H1743">
        <f>G1743=C1743</f>
        <v/>
      </c>
      <c r="I1743">
        <f>TEXT(B1743,"0.00000000000000")</f>
        <v/>
      </c>
    </row>
    <row r="1744">
      <c r="A1744" t="n">
        <v>1737</v>
      </c>
      <c r="B1744">
        <f>B1743+0.1</f>
        <v/>
      </c>
      <c r="C1744">
        <f>A1744/10</f>
        <v/>
      </c>
      <c r="D1744">
        <f>B1744=C1744</f>
        <v/>
      </c>
      <c r="E1744">
        <f>INT(B1744*10)=A1744</f>
        <v/>
      </c>
      <c r="F1744">
        <f>B1744&gt;=C1744</f>
        <v/>
      </c>
      <c r="G1744">
        <f>ROUND(G1743+0.1,1)</f>
        <v/>
      </c>
      <c r="H1744">
        <f>G1744=C1744</f>
        <v/>
      </c>
      <c r="I1744">
        <f>TEXT(B1744,"0.00000000000000")</f>
        <v/>
      </c>
    </row>
    <row r="1745">
      <c r="A1745" t="n">
        <v>1738</v>
      </c>
      <c r="B1745">
        <f>B1744+0.1</f>
        <v/>
      </c>
      <c r="C1745">
        <f>A1745/10</f>
        <v/>
      </c>
      <c r="D1745">
        <f>B1745=C1745</f>
        <v/>
      </c>
      <c r="E1745">
        <f>INT(B1745*10)=A1745</f>
        <v/>
      </c>
      <c r="F1745">
        <f>B1745&gt;=C1745</f>
        <v/>
      </c>
      <c r="G1745">
        <f>ROUND(G1744+0.1,1)</f>
        <v/>
      </c>
      <c r="H1745">
        <f>G1745=C1745</f>
        <v/>
      </c>
      <c r="I1745">
        <f>TEXT(B1745,"0.00000000000000")</f>
        <v/>
      </c>
    </row>
    <row r="1746">
      <c r="A1746" t="n">
        <v>1739</v>
      </c>
      <c r="B1746">
        <f>B1745+0.1</f>
        <v/>
      </c>
      <c r="C1746">
        <f>A1746/10</f>
        <v/>
      </c>
      <c r="D1746">
        <f>B1746=C1746</f>
        <v/>
      </c>
      <c r="E1746">
        <f>INT(B1746*10)=A1746</f>
        <v/>
      </c>
      <c r="F1746">
        <f>B1746&gt;=C1746</f>
        <v/>
      </c>
      <c r="G1746">
        <f>ROUND(G1745+0.1,1)</f>
        <v/>
      </c>
      <c r="H1746">
        <f>G1746=C1746</f>
        <v/>
      </c>
      <c r="I1746">
        <f>TEXT(B1746,"0.00000000000000")</f>
        <v/>
      </c>
    </row>
    <row r="1747">
      <c r="A1747" t="n">
        <v>1740</v>
      </c>
      <c r="B1747">
        <f>B1746+0.1</f>
        <v/>
      </c>
      <c r="C1747">
        <f>A1747/10</f>
        <v/>
      </c>
      <c r="D1747">
        <f>B1747=C1747</f>
        <v/>
      </c>
      <c r="E1747">
        <f>INT(B1747*10)=A1747</f>
        <v/>
      </c>
      <c r="F1747">
        <f>B1747&gt;=C1747</f>
        <v/>
      </c>
      <c r="G1747">
        <f>ROUND(G1746+0.1,1)</f>
        <v/>
      </c>
      <c r="H1747">
        <f>G1747=C1747</f>
        <v/>
      </c>
      <c r="I1747">
        <f>TEXT(B1747,"0.00000000000000")</f>
        <v/>
      </c>
    </row>
    <row r="1748">
      <c r="A1748" t="n">
        <v>1741</v>
      </c>
      <c r="B1748">
        <f>B1747+0.1</f>
        <v/>
      </c>
      <c r="C1748">
        <f>A1748/10</f>
        <v/>
      </c>
      <c r="D1748">
        <f>B1748=C1748</f>
        <v/>
      </c>
      <c r="E1748">
        <f>INT(B1748*10)=A1748</f>
        <v/>
      </c>
      <c r="F1748">
        <f>B1748&gt;=C1748</f>
        <v/>
      </c>
      <c r="G1748">
        <f>ROUND(G1747+0.1,1)</f>
        <v/>
      </c>
      <c r="H1748">
        <f>G1748=C1748</f>
        <v/>
      </c>
      <c r="I1748">
        <f>TEXT(B1748,"0.00000000000000")</f>
        <v/>
      </c>
    </row>
    <row r="1749">
      <c r="A1749" t="n">
        <v>1742</v>
      </c>
      <c r="B1749">
        <f>B1748+0.1</f>
        <v/>
      </c>
      <c r="C1749">
        <f>A1749/10</f>
        <v/>
      </c>
      <c r="D1749">
        <f>B1749=C1749</f>
        <v/>
      </c>
      <c r="E1749">
        <f>INT(B1749*10)=A1749</f>
        <v/>
      </c>
      <c r="F1749">
        <f>B1749&gt;=C1749</f>
        <v/>
      </c>
      <c r="G1749">
        <f>ROUND(G1748+0.1,1)</f>
        <v/>
      </c>
      <c r="H1749">
        <f>G1749=C1749</f>
        <v/>
      </c>
      <c r="I1749">
        <f>TEXT(B1749,"0.00000000000000")</f>
        <v/>
      </c>
    </row>
    <row r="1750">
      <c r="A1750" t="n">
        <v>1743</v>
      </c>
      <c r="B1750">
        <f>B1749+0.1</f>
        <v/>
      </c>
      <c r="C1750">
        <f>A1750/10</f>
        <v/>
      </c>
      <c r="D1750">
        <f>B1750=C1750</f>
        <v/>
      </c>
      <c r="E1750">
        <f>INT(B1750*10)=A1750</f>
        <v/>
      </c>
      <c r="F1750">
        <f>B1750&gt;=C1750</f>
        <v/>
      </c>
      <c r="G1750">
        <f>ROUND(G1749+0.1,1)</f>
        <v/>
      </c>
      <c r="H1750">
        <f>G1750=C1750</f>
        <v/>
      </c>
      <c r="I1750">
        <f>TEXT(B1750,"0.00000000000000")</f>
        <v/>
      </c>
    </row>
    <row r="1751">
      <c r="A1751" t="n">
        <v>1744</v>
      </c>
      <c r="B1751">
        <f>B1750+0.1</f>
        <v/>
      </c>
      <c r="C1751">
        <f>A1751/10</f>
        <v/>
      </c>
      <c r="D1751">
        <f>B1751=C1751</f>
        <v/>
      </c>
      <c r="E1751">
        <f>INT(B1751*10)=A1751</f>
        <v/>
      </c>
      <c r="F1751">
        <f>B1751&gt;=C1751</f>
        <v/>
      </c>
      <c r="G1751">
        <f>ROUND(G1750+0.1,1)</f>
        <v/>
      </c>
      <c r="H1751">
        <f>G1751=C1751</f>
        <v/>
      </c>
      <c r="I1751">
        <f>TEXT(B1751,"0.00000000000000")</f>
        <v/>
      </c>
    </row>
    <row r="1752">
      <c r="A1752" t="n">
        <v>1745</v>
      </c>
      <c r="B1752">
        <f>B1751+0.1</f>
        <v/>
      </c>
      <c r="C1752">
        <f>A1752/10</f>
        <v/>
      </c>
      <c r="D1752">
        <f>B1752=C1752</f>
        <v/>
      </c>
      <c r="E1752">
        <f>INT(B1752*10)=A1752</f>
        <v/>
      </c>
      <c r="F1752">
        <f>B1752&gt;=C1752</f>
        <v/>
      </c>
      <c r="G1752">
        <f>ROUND(G1751+0.1,1)</f>
        <v/>
      </c>
      <c r="H1752">
        <f>G1752=C1752</f>
        <v/>
      </c>
      <c r="I1752">
        <f>TEXT(B1752,"0.00000000000000")</f>
        <v/>
      </c>
    </row>
    <row r="1753">
      <c r="A1753" t="n">
        <v>1746</v>
      </c>
      <c r="B1753">
        <f>B1752+0.1</f>
        <v/>
      </c>
      <c r="C1753">
        <f>A1753/10</f>
        <v/>
      </c>
      <c r="D1753">
        <f>B1753=C1753</f>
        <v/>
      </c>
      <c r="E1753">
        <f>INT(B1753*10)=A1753</f>
        <v/>
      </c>
      <c r="F1753">
        <f>B1753&gt;=C1753</f>
        <v/>
      </c>
      <c r="G1753">
        <f>ROUND(G1752+0.1,1)</f>
        <v/>
      </c>
      <c r="H1753">
        <f>G1753=C1753</f>
        <v/>
      </c>
      <c r="I1753">
        <f>TEXT(B1753,"0.00000000000000")</f>
        <v/>
      </c>
    </row>
    <row r="1754">
      <c r="A1754" t="n">
        <v>1747</v>
      </c>
      <c r="B1754">
        <f>B1753+0.1</f>
        <v/>
      </c>
      <c r="C1754">
        <f>A1754/10</f>
        <v/>
      </c>
      <c r="D1754">
        <f>B1754=C1754</f>
        <v/>
      </c>
      <c r="E1754">
        <f>INT(B1754*10)=A1754</f>
        <v/>
      </c>
      <c r="F1754">
        <f>B1754&gt;=C1754</f>
        <v/>
      </c>
      <c r="G1754">
        <f>ROUND(G1753+0.1,1)</f>
        <v/>
      </c>
      <c r="H1754">
        <f>G1754=C1754</f>
        <v/>
      </c>
      <c r="I1754">
        <f>TEXT(B1754,"0.00000000000000")</f>
        <v/>
      </c>
    </row>
    <row r="1755">
      <c r="A1755" t="n">
        <v>1748</v>
      </c>
      <c r="B1755">
        <f>B1754+0.1</f>
        <v/>
      </c>
      <c r="C1755">
        <f>A1755/10</f>
        <v/>
      </c>
      <c r="D1755">
        <f>B1755=C1755</f>
        <v/>
      </c>
      <c r="E1755">
        <f>INT(B1755*10)=A1755</f>
        <v/>
      </c>
      <c r="F1755">
        <f>B1755&gt;=C1755</f>
        <v/>
      </c>
      <c r="G1755">
        <f>ROUND(G1754+0.1,1)</f>
        <v/>
      </c>
      <c r="H1755">
        <f>G1755=C1755</f>
        <v/>
      </c>
      <c r="I1755">
        <f>TEXT(B1755,"0.00000000000000")</f>
        <v/>
      </c>
    </row>
    <row r="1756">
      <c r="A1756" t="n">
        <v>1749</v>
      </c>
      <c r="B1756">
        <f>B1755+0.1</f>
        <v/>
      </c>
      <c r="C1756">
        <f>A1756/10</f>
        <v/>
      </c>
      <c r="D1756">
        <f>B1756=C1756</f>
        <v/>
      </c>
      <c r="E1756">
        <f>INT(B1756*10)=A1756</f>
        <v/>
      </c>
      <c r="F1756">
        <f>B1756&gt;=C1756</f>
        <v/>
      </c>
      <c r="G1756">
        <f>ROUND(G1755+0.1,1)</f>
        <v/>
      </c>
      <c r="H1756">
        <f>G1756=C1756</f>
        <v/>
      </c>
      <c r="I1756">
        <f>TEXT(B1756,"0.00000000000000")</f>
        <v/>
      </c>
    </row>
    <row r="1757">
      <c r="A1757" t="n">
        <v>1750</v>
      </c>
      <c r="B1757">
        <f>B1756+0.1</f>
        <v/>
      </c>
      <c r="C1757">
        <f>A1757/10</f>
        <v/>
      </c>
      <c r="D1757">
        <f>B1757=C1757</f>
        <v/>
      </c>
      <c r="E1757">
        <f>INT(B1757*10)=A1757</f>
        <v/>
      </c>
      <c r="F1757">
        <f>B1757&gt;=C1757</f>
        <v/>
      </c>
      <c r="G1757">
        <f>ROUND(G1756+0.1,1)</f>
        <v/>
      </c>
      <c r="H1757">
        <f>G1757=C1757</f>
        <v/>
      </c>
      <c r="I1757">
        <f>TEXT(B1757,"0.00000000000000")</f>
        <v/>
      </c>
    </row>
    <row r="1758">
      <c r="A1758" t="n">
        <v>1751</v>
      </c>
      <c r="B1758">
        <f>B1757+0.1</f>
        <v/>
      </c>
      <c r="C1758">
        <f>A1758/10</f>
        <v/>
      </c>
      <c r="D1758">
        <f>B1758=C1758</f>
        <v/>
      </c>
      <c r="E1758">
        <f>INT(B1758*10)=A1758</f>
        <v/>
      </c>
      <c r="F1758">
        <f>B1758&gt;=C1758</f>
        <v/>
      </c>
      <c r="G1758">
        <f>ROUND(G1757+0.1,1)</f>
        <v/>
      </c>
      <c r="H1758">
        <f>G1758=C1758</f>
        <v/>
      </c>
      <c r="I1758">
        <f>TEXT(B1758,"0.00000000000000")</f>
        <v/>
      </c>
    </row>
    <row r="1759">
      <c r="A1759" t="n">
        <v>1752</v>
      </c>
      <c r="B1759">
        <f>B1758+0.1</f>
        <v/>
      </c>
      <c r="C1759">
        <f>A1759/10</f>
        <v/>
      </c>
      <c r="D1759">
        <f>B1759=C1759</f>
        <v/>
      </c>
      <c r="E1759">
        <f>INT(B1759*10)=A1759</f>
        <v/>
      </c>
      <c r="F1759">
        <f>B1759&gt;=C1759</f>
        <v/>
      </c>
      <c r="G1759">
        <f>ROUND(G1758+0.1,1)</f>
        <v/>
      </c>
      <c r="H1759">
        <f>G1759=C1759</f>
        <v/>
      </c>
      <c r="I1759">
        <f>TEXT(B1759,"0.00000000000000")</f>
        <v/>
      </c>
    </row>
    <row r="1760">
      <c r="A1760" t="n">
        <v>1753</v>
      </c>
      <c r="B1760">
        <f>B1759+0.1</f>
        <v/>
      </c>
      <c r="C1760">
        <f>A1760/10</f>
        <v/>
      </c>
      <c r="D1760">
        <f>B1760=C1760</f>
        <v/>
      </c>
      <c r="E1760">
        <f>INT(B1760*10)=A1760</f>
        <v/>
      </c>
      <c r="F1760">
        <f>B1760&gt;=C1760</f>
        <v/>
      </c>
      <c r="G1760">
        <f>ROUND(G1759+0.1,1)</f>
        <v/>
      </c>
      <c r="H1760">
        <f>G1760=C1760</f>
        <v/>
      </c>
      <c r="I1760">
        <f>TEXT(B1760,"0.00000000000000")</f>
        <v/>
      </c>
    </row>
    <row r="1761">
      <c r="A1761" t="n">
        <v>1754</v>
      </c>
      <c r="B1761">
        <f>B1760+0.1</f>
        <v/>
      </c>
      <c r="C1761">
        <f>A1761/10</f>
        <v/>
      </c>
      <c r="D1761">
        <f>B1761=C1761</f>
        <v/>
      </c>
      <c r="E1761">
        <f>INT(B1761*10)=A1761</f>
        <v/>
      </c>
      <c r="F1761">
        <f>B1761&gt;=C1761</f>
        <v/>
      </c>
      <c r="G1761">
        <f>ROUND(G1760+0.1,1)</f>
        <v/>
      </c>
      <c r="H1761">
        <f>G1761=C1761</f>
        <v/>
      </c>
      <c r="I1761">
        <f>TEXT(B1761,"0.00000000000000")</f>
        <v/>
      </c>
    </row>
    <row r="1762">
      <c r="A1762" t="n">
        <v>1755</v>
      </c>
      <c r="B1762">
        <f>B1761+0.1</f>
        <v/>
      </c>
      <c r="C1762">
        <f>A1762/10</f>
        <v/>
      </c>
      <c r="D1762">
        <f>B1762=C1762</f>
        <v/>
      </c>
      <c r="E1762">
        <f>INT(B1762*10)=A1762</f>
        <v/>
      </c>
      <c r="F1762">
        <f>B1762&gt;=C1762</f>
        <v/>
      </c>
      <c r="G1762">
        <f>ROUND(G1761+0.1,1)</f>
        <v/>
      </c>
      <c r="H1762">
        <f>G1762=C1762</f>
        <v/>
      </c>
      <c r="I1762">
        <f>TEXT(B1762,"0.00000000000000")</f>
        <v/>
      </c>
    </row>
    <row r="1763">
      <c r="A1763" t="n">
        <v>1756</v>
      </c>
      <c r="B1763">
        <f>B1762+0.1</f>
        <v/>
      </c>
      <c r="C1763">
        <f>A1763/10</f>
        <v/>
      </c>
      <c r="D1763">
        <f>B1763=C1763</f>
        <v/>
      </c>
      <c r="E1763">
        <f>INT(B1763*10)=A1763</f>
        <v/>
      </c>
      <c r="F1763">
        <f>B1763&gt;=C1763</f>
        <v/>
      </c>
      <c r="G1763">
        <f>ROUND(G1762+0.1,1)</f>
        <v/>
      </c>
      <c r="H1763">
        <f>G1763=C1763</f>
        <v/>
      </c>
      <c r="I1763">
        <f>TEXT(B1763,"0.00000000000000")</f>
        <v/>
      </c>
    </row>
    <row r="1764">
      <c r="A1764" t="n">
        <v>1757</v>
      </c>
      <c r="B1764">
        <f>B1763+0.1</f>
        <v/>
      </c>
      <c r="C1764">
        <f>A1764/10</f>
        <v/>
      </c>
      <c r="D1764">
        <f>B1764=C1764</f>
        <v/>
      </c>
      <c r="E1764">
        <f>INT(B1764*10)=A1764</f>
        <v/>
      </c>
      <c r="F1764">
        <f>B1764&gt;=C1764</f>
        <v/>
      </c>
      <c r="G1764">
        <f>ROUND(G1763+0.1,1)</f>
        <v/>
      </c>
      <c r="H1764">
        <f>G1764=C1764</f>
        <v/>
      </c>
      <c r="I1764">
        <f>TEXT(B1764,"0.00000000000000")</f>
        <v/>
      </c>
    </row>
    <row r="1765">
      <c r="A1765" t="n">
        <v>1758</v>
      </c>
      <c r="B1765">
        <f>B1764+0.1</f>
        <v/>
      </c>
      <c r="C1765">
        <f>A1765/10</f>
        <v/>
      </c>
      <c r="D1765">
        <f>B1765=C1765</f>
        <v/>
      </c>
      <c r="E1765">
        <f>INT(B1765*10)=A1765</f>
        <v/>
      </c>
      <c r="F1765">
        <f>B1765&gt;=C1765</f>
        <v/>
      </c>
      <c r="G1765">
        <f>ROUND(G1764+0.1,1)</f>
        <v/>
      </c>
      <c r="H1765">
        <f>G1765=C1765</f>
        <v/>
      </c>
      <c r="I1765">
        <f>TEXT(B1765,"0.00000000000000")</f>
        <v/>
      </c>
    </row>
    <row r="1766">
      <c r="A1766" t="n">
        <v>1759</v>
      </c>
      <c r="B1766">
        <f>B1765+0.1</f>
        <v/>
      </c>
      <c r="C1766">
        <f>A1766/10</f>
        <v/>
      </c>
      <c r="D1766">
        <f>B1766=C1766</f>
        <v/>
      </c>
      <c r="E1766">
        <f>INT(B1766*10)=A1766</f>
        <v/>
      </c>
      <c r="F1766">
        <f>B1766&gt;=C1766</f>
        <v/>
      </c>
      <c r="G1766">
        <f>ROUND(G1765+0.1,1)</f>
        <v/>
      </c>
      <c r="H1766">
        <f>G1766=C1766</f>
        <v/>
      </c>
      <c r="I1766">
        <f>TEXT(B1766,"0.00000000000000")</f>
        <v/>
      </c>
    </row>
    <row r="1767">
      <c r="A1767" t="n">
        <v>1760</v>
      </c>
      <c r="B1767">
        <f>B1766+0.1</f>
        <v/>
      </c>
      <c r="C1767">
        <f>A1767/10</f>
        <v/>
      </c>
      <c r="D1767">
        <f>B1767=C1767</f>
        <v/>
      </c>
      <c r="E1767">
        <f>INT(B1767*10)=A1767</f>
        <v/>
      </c>
      <c r="F1767">
        <f>B1767&gt;=C1767</f>
        <v/>
      </c>
      <c r="G1767">
        <f>ROUND(G1766+0.1,1)</f>
        <v/>
      </c>
      <c r="H1767">
        <f>G1767=C1767</f>
        <v/>
      </c>
      <c r="I1767">
        <f>TEXT(B1767,"0.00000000000000")</f>
        <v/>
      </c>
    </row>
    <row r="1768">
      <c r="A1768" t="n">
        <v>1761</v>
      </c>
      <c r="B1768">
        <f>B1767+0.1</f>
        <v/>
      </c>
      <c r="C1768">
        <f>A1768/10</f>
        <v/>
      </c>
      <c r="D1768">
        <f>B1768=C1768</f>
        <v/>
      </c>
      <c r="E1768">
        <f>INT(B1768*10)=A1768</f>
        <v/>
      </c>
      <c r="F1768">
        <f>B1768&gt;=C1768</f>
        <v/>
      </c>
      <c r="G1768">
        <f>ROUND(G1767+0.1,1)</f>
        <v/>
      </c>
      <c r="H1768">
        <f>G1768=C1768</f>
        <v/>
      </c>
      <c r="I1768">
        <f>TEXT(B1768,"0.00000000000000")</f>
        <v/>
      </c>
    </row>
    <row r="1769">
      <c r="A1769" t="n">
        <v>1762</v>
      </c>
      <c r="B1769">
        <f>B1768+0.1</f>
        <v/>
      </c>
      <c r="C1769">
        <f>A1769/10</f>
        <v/>
      </c>
      <c r="D1769">
        <f>B1769=C1769</f>
        <v/>
      </c>
      <c r="E1769">
        <f>INT(B1769*10)=A1769</f>
        <v/>
      </c>
      <c r="F1769">
        <f>B1769&gt;=C1769</f>
        <v/>
      </c>
      <c r="G1769">
        <f>ROUND(G1768+0.1,1)</f>
        <v/>
      </c>
      <c r="H1769">
        <f>G1769=C1769</f>
        <v/>
      </c>
      <c r="I1769">
        <f>TEXT(B1769,"0.00000000000000")</f>
        <v/>
      </c>
    </row>
    <row r="1770">
      <c r="A1770" t="n">
        <v>1763</v>
      </c>
      <c r="B1770">
        <f>B1769+0.1</f>
        <v/>
      </c>
      <c r="C1770">
        <f>A1770/10</f>
        <v/>
      </c>
      <c r="D1770">
        <f>B1770=C1770</f>
        <v/>
      </c>
      <c r="E1770">
        <f>INT(B1770*10)=A1770</f>
        <v/>
      </c>
      <c r="F1770">
        <f>B1770&gt;=C1770</f>
        <v/>
      </c>
      <c r="G1770">
        <f>ROUND(G1769+0.1,1)</f>
        <v/>
      </c>
      <c r="H1770">
        <f>G1770=C1770</f>
        <v/>
      </c>
      <c r="I1770">
        <f>TEXT(B1770,"0.00000000000000")</f>
        <v/>
      </c>
    </row>
    <row r="1771">
      <c r="A1771" t="n">
        <v>1764</v>
      </c>
      <c r="B1771">
        <f>B1770+0.1</f>
        <v/>
      </c>
      <c r="C1771">
        <f>A1771/10</f>
        <v/>
      </c>
      <c r="D1771">
        <f>B1771=C1771</f>
        <v/>
      </c>
      <c r="E1771">
        <f>INT(B1771*10)=A1771</f>
        <v/>
      </c>
      <c r="F1771">
        <f>B1771&gt;=C1771</f>
        <v/>
      </c>
      <c r="G1771">
        <f>ROUND(G1770+0.1,1)</f>
        <v/>
      </c>
      <c r="H1771">
        <f>G1771=C1771</f>
        <v/>
      </c>
      <c r="I1771">
        <f>TEXT(B1771,"0.00000000000000")</f>
        <v/>
      </c>
    </row>
    <row r="1772">
      <c r="A1772" t="n">
        <v>1765</v>
      </c>
      <c r="B1772">
        <f>B1771+0.1</f>
        <v/>
      </c>
      <c r="C1772">
        <f>A1772/10</f>
        <v/>
      </c>
      <c r="D1772">
        <f>B1772=C1772</f>
        <v/>
      </c>
      <c r="E1772">
        <f>INT(B1772*10)=A1772</f>
        <v/>
      </c>
      <c r="F1772">
        <f>B1772&gt;=C1772</f>
        <v/>
      </c>
      <c r="G1772">
        <f>ROUND(G1771+0.1,1)</f>
        <v/>
      </c>
      <c r="H1772">
        <f>G1772=C1772</f>
        <v/>
      </c>
      <c r="I1772">
        <f>TEXT(B1772,"0.00000000000000")</f>
        <v/>
      </c>
    </row>
    <row r="1773">
      <c r="A1773" t="n">
        <v>1766</v>
      </c>
      <c r="B1773">
        <f>B1772+0.1</f>
        <v/>
      </c>
      <c r="C1773">
        <f>A1773/10</f>
        <v/>
      </c>
      <c r="D1773">
        <f>B1773=C1773</f>
        <v/>
      </c>
      <c r="E1773">
        <f>INT(B1773*10)=A1773</f>
        <v/>
      </c>
      <c r="F1773">
        <f>B1773&gt;=C1773</f>
        <v/>
      </c>
      <c r="G1773">
        <f>ROUND(G1772+0.1,1)</f>
        <v/>
      </c>
      <c r="H1773">
        <f>G1773=C1773</f>
        <v/>
      </c>
      <c r="I1773">
        <f>TEXT(B1773,"0.00000000000000")</f>
        <v/>
      </c>
    </row>
    <row r="1774">
      <c r="A1774" t="n">
        <v>1767</v>
      </c>
      <c r="B1774">
        <f>B1773+0.1</f>
        <v/>
      </c>
      <c r="C1774">
        <f>A1774/10</f>
        <v/>
      </c>
      <c r="D1774">
        <f>B1774=C1774</f>
        <v/>
      </c>
      <c r="E1774">
        <f>INT(B1774*10)=A1774</f>
        <v/>
      </c>
      <c r="F1774">
        <f>B1774&gt;=C1774</f>
        <v/>
      </c>
      <c r="G1774">
        <f>ROUND(G1773+0.1,1)</f>
        <v/>
      </c>
      <c r="H1774">
        <f>G1774=C1774</f>
        <v/>
      </c>
      <c r="I1774">
        <f>TEXT(B1774,"0.00000000000000")</f>
        <v/>
      </c>
    </row>
    <row r="1775">
      <c r="A1775" t="n">
        <v>1768</v>
      </c>
      <c r="B1775">
        <f>B1774+0.1</f>
        <v/>
      </c>
      <c r="C1775">
        <f>A1775/10</f>
        <v/>
      </c>
      <c r="D1775">
        <f>B1775=C1775</f>
        <v/>
      </c>
      <c r="E1775">
        <f>INT(B1775*10)=A1775</f>
        <v/>
      </c>
      <c r="F1775">
        <f>B1775&gt;=C1775</f>
        <v/>
      </c>
      <c r="G1775">
        <f>ROUND(G1774+0.1,1)</f>
        <v/>
      </c>
      <c r="H1775">
        <f>G1775=C1775</f>
        <v/>
      </c>
      <c r="I1775">
        <f>TEXT(B1775,"0.00000000000000")</f>
        <v/>
      </c>
    </row>
    <row r="1776">
      <c r="A1776" t="n">
        <v>1769</v>
      </c>
      <c r="B1776">
        <f>B1775+0.1</f>
        <v/>
      </c>
      <c r="C1776">
        <f>A1776/10</f>
        <v/>
      </c>
      <c r="D1776">
        <f>B1776=C1776</f>
        <v/>
      </c>
      <c r="E1776">
        <f>INT(B1776*10)=A1776</f>
        <v/>
      </c>
      <c r="F1776">
        <f>B1776&gt;=C1776</f>
        <v/>
      </c>
      <c r="G1776">
        <f>ROUND(G1775+0.1,1)</f>
        <v/>
      </c>
      <c r="H1776">
        <f>G1776=C1776</f>
        <v/>
      </c>
      <c r="I1776">
        <f>TEXT(B1776,"0.00000000000000")</f>
        <v/>
      </c>
    </row>
    <row r="1777">
      <c r="A1777" t="n">
        <v>1770</v>
      </c>
      <c r="B1777">
        <f>B1776+0.1</f>
        <v/>
      </c>
      <c r="C1777">
        <f>A1777/10</f>
        <v/>
      </c>
      <c r="D1777">
        <f>B1777=C1777</f>
        <v/>
      </c>
      <c r="E1777">
        <f>INT(B1777*10)=A1777</f>
        <v/>
      </c>
      <c r="F1777">
        <f>B1777&gt;=C1777</f>
        <v/>
      </c>
      <c r="G1777">
        <f>ROUND(G1776+0.1,1)</f>
        <v/>
      </c>
      <c r="H1777">
        <f>G1777=C1777</f>
        <v/>
      </c>
      <c r="I1777">
        <f>TEXT(B1777,"0.00000000000000")</f>
        <v/>
      </c>
    </row>
    <row r="1778">
      <c r="A1778" t="n">
        <v>1771</v>
      </c>
      <c r="B1778">
        <f>B1777+0.1</f>
        <v/>
      </c>
      <c r="C1778">
        <f>A1778/10</f>
        <v/>
      </c>
      <c r="D1778">
        <f>B1778=C1778</f>
        <v/>
      </c>
      <c r="E1778">
        <f>INT(B1778*10)=A1778</f>
        <v/>
      </c>
      <c r="F1778">
        <f>B1778&gt;=C1778</f>
        <v/>
      </c>
      <c r="G1778">
        <f>ROUND(G1777+0.1,1)</f>
        <v/>
      </c>
      <c r="H1778">
        <f>G1778=C1778</f>
        <v/>
      </c>
      <c r="I1778">
        <f>TEXT(B1778,"0.00000000000000")</f>
        <v/>
      </c>
    </row>
    <row r="1779">
      <c r="A1779" t="n">
        <v>1772</v>
      </c>
      <c r="B1779">
        <f>B1778+0.1</f>
        <v/>
      </c>
      <c r="C1779">
        <f>A1779/10</f>
        <v/>
      </c>
      <c r="D1779">
        <f>B1779=C1779</f>
        <v/>
      </c>
      <c r="E1779">
        <f>INT(B1779*10)=A1779</f>
        <v/>
      </c>
      <c r="F1779">
        <f>B1779&gt;=C1779</f>
        <v/>
      </c>
      <c r="G1779">
        <f>ROUND(G1778+0.1,1)</f>
        <v/>
      </c>
      <c r="H1779">
        <f>G1779=C1779</f>
        <v/>
      </c>
      <c r="I1779">
        <f>TEXT(B1779,"0.00000000000000")</f>
        <v/>
      </c>
    </row>
    <row r="1780">
      <c r="A1780" t="n">
        <v>1773</v>
      </c>
      <c r="B1780">
        <f>B1779+0.1</f>
        <v/>
      </c>
      <c r="C1780">
        <f>A1780/10</f>
        <v/>
      </c>
      <c r="D1780">
        <f>B1780=C1780</f>
        <v/>
      </c>
      <c r="E1780">
        <f>INT(B1780*10)=A1780</f>
        <v/>
      </c>
      <c r="F1780">
        <f>B1780&gt;=C1780</f>
        <v/>
      </c>
      <c r="G1780">
        <f>ROUND(G1779+0.1,1)</f>
        <v/>
      </c>
      <c r="H1780">
        <f>G1780=C1780</f>
        <v/>
      </c>
      <c r="I1780">
        <f>TEXT(B1780,"0.00000000000000")</f>
        <v/>
      </c>
    </row>
    <row r="1781">
      <c r="A1781" t="n">
        <v>1774</v>
      </c>
      <c r="B1781">
        <f>B1780+0.1</f>
        <v/>
      </c>
      <c r="C1781">
        <f>A1781/10</f>
        <v/>
      </c>
      <c r="D1781">
        <f>B1781=C1781</f>
        <v/>
      </c>
      <c r="E1781">
        <f>INT(B1781*10)=A1781</f>
        <v/>
      </c>
      <c r="F1781">
        <f>B1781&gt;=C1781</f>
        <v/>
      </c>
      <c r="G1781">
        <f>ROUND(G1780+0.1,1)</f>
        <v/>
      </c>
      <c r="H1781">
        <f>G1781=C1781</f>
        <v/>
      </c>
      <c r="I1781">
        <f>TEXT(B1781,"0.00000000000000")</f>
        <v/>
      </c>
    </row>
    <row r="1782">
      <c r="A1782" t="n">
        <v>1775</v>
      </c>
      <c r="B1782">
        <f>B1781+0.1</f>
        <v/>
      </c>
      <c r="C1782">
        <f>A1782/10</f>
        <v/>
      </c>
      <c r="D1782">
        <f>B1782=C1782</f>
        <v/>
      </c>
      <c r="E1782">
        <f>INT(B1782*10)=A1782</f>
        <v/>
      </c>
      <c r="F1782">
        <f>B1782&gt;=C1782</f>
        <v/>
      </c>
      <c r="G1782">
        <f>ROUND(G1781+0.1,1)</f>
        <v/>
      </c>
      <c r="H1782">
        <f>G1782=C1782</f>
        <v/>
      </c>
      <c r="I1782">
        <f>TEXT(B1782,"0.00000000000000")</f>
        <v/>
      </c>
    </row>
    <row r="1783">
      <c r="A1783" t="n">
        <v>1776</v>
      </c>
      <c r="B1783">
        <f>B1782+0.1</f>
        <v/>
      </c>
      <c r="C1783">
        <f>A1783/10</f>
        <v/>
      </c>
      <c r="D1783">
        <f>B1783=C1783</f>
        <v/>
      </c>
      <c r="E1783">
        <f>INT(B1783*10)=A1783</f>
        <v/>
      </c>
      <c r="F1783">
        <f>B1783&gt;=C1783</f>
        <v/>
      </c>
      <c r="G1783">
        <f>ROUND(G1782+0.1,1)</f>
        <v/>
      </c>
      <c r="H1783">
        <f>G1783=C1783</f>
        <v/>
      </c>
      <c r="I1783">
        <f>TEXT(B1783,"0.00000000000000")</f>
        <v/>
      </c>
    </row>
    <row r="1784">
      <c r="A1784" t="n">
        <v>1777</v>
      </c>
      <c r="B1784">
        <f>B1783+0.1</f>
        <v/>
      </c>
      <c r="C1784">
        <f>A1784/10</f>
        <v/>
      </c>
      <c r="D1784">
        <f>B1784=C1784</f>
        <v/>
      </c>
      <c r="E1784">
        <f>INT(B1784*10)=A1784</f>
        <v/>
      </c>
      <c r="F1784">
        <f>B1784&gt;=C1784</f>
        <v/>
      </c>
      <c r="G1784">
        <f>ROUND(G1783+0.1,1)</f>
        <v/>
      </c>
      <c r="H1784">
        <f>G1784=C1784</f>
        <v/>
      </c>
      <c r="I1784">
        <f>TEXT(B1784,"0.00000000000000")</f>
        <v/>
      </c>
    </row>
    <row r="1785">
      <c r="A1785" t="n">
        <v>1778</v>
      </c>
      <c r="B1785">
        <f>B1784+0.1</f>
        <v/>
      </c>
      <c r="C1785">
        <f>A1785/10</f>
        <v/>
      </c>
      <c r="D1785">
        <f>B1785=C1785</f>
        <v/>
      </c>
      <c r="E1785">
        <f>INT(B1785*10)=A1785</f>
        <v/>
      </c>
      <c r="F1785">
        <f>B1785&gt;=C1785</f>
        <v/>
      </c>
      <c r="G1785">
        <f>ROUND(G1784+0.1,1)</f>
        <v/>
      </c>
      <c r="H1785">
        <f>G1785=C1785</f>
        <v/>
      </c>
      <c r="I1785">
        <f>TEXT(B1785,"0.00000000000000")</f>
        <v/>
      </c>
    </row>
    <row r="1786">
      <c r="A1786" t="n">
        <v>1779</v>
      </c>
      <c r="B1786">
        <f>B1785+0.1</f>
        <v/>
      </c>
      <c r="C1786">
        <f>A1786/10</f>
        <v/>
      </c>
      <c r="D1786">
        <f>B1786=C1786</f>
        <v/>
      </c>
      <c r="E1786">
        <f>INT(B1786*10)=A1786</f>
        <v/>
      </c>
      <c r="F1786">
        <f>B1786&gt;=C1786</f>
        <v/>
      </c>
      <c r="G1786">
        <f>ROUND(G1785+0.1,1)</f>
        <v/>
      </c>
      <c r="H1786">
        <f>G1786=C1786</f>
        <v/>
      </c>
      <c r="I1786">
        <f>TEXT(B1786,"0.00000000000000")</f>
        <v/>
      </c>
    </row>
    <row r="1787">
      <c r="A1787" t="n">
        <v>1780</v>
      </c>
      <c r="B1787">
        <f>B1786+0.1</f>
        <v/>
      </c>
      <c r="C1787">
        <f>A1787/10</f>
        <v/>
      </c>
      <c r="D1787">
        <f>B1787=C1787</f>
        <v/>
      </c>
      <c r="E1787">
        <f>INT(B1787*10)=A1787</f>
        <v/>
      </c>
      <c r="F1787">
        <f>B1787&gt;=C1787</f>
        <v/>
      </c>
      <c r="G1787">
        <f>ROUND(G1786+0.1,1)</f>
        <v/>
      </c>
      <c r="H1787">
        <f>G1787=C1787</f>
        <v/>
      </c>
      <c r="I1787">
        <f>TEXT(B1787,"0.00000000000000")</f>
        <v/>
      </c>
    </row>
    <row r="1788">
      <c r="A1788" t="n">
        <v>1781</v>
      </c>
      <c r="B1788">
        <f>B1787+0.1</f>
        <v/>
      </c>
      <c r="C1788">
        <f>A1788/10</f>
        <v/>
      </c>
      <c r="D1788">
        <f>B1788=C1788</f>
        <v/>
      </c>
      <c r="E1788">
        <f>INT(B1788*10)=A1788</f>
        <v/>
      </c>
      <c r="F1788">
        <f>B1788&gt;=C1788</f>
        <v/>
      </c>
      <c r="G1788">
        <f>ROUND(G1787+0.1,1)</f>
        <v/>
      </c>
      <c r="H1788">
        <f>G1788=C1788</f>
        <v/>
      </c>
      <c r="I1788">
        <f>TEXT(B1788,"0.00000000000000")</f>
        <v/>
      </c>
    </row>
    <row r="1789">
      <c r="A1789" t="n">
        <v>1782</v>
      </c>
      <c r="B1789">
        <f>B1788+0.1</f>
        <v/>
      </c>
      <c r="C1789">
        <f>A1789/10</f>
        <v/>
      </c>
      <c r="D1789">
        <f>B1789=C1789</f>
        <v/>
      </c>
      <c r="E1789">
        <f>INT(B1789*10)=A1789</f>
        <v/>
      </c>
      <c r="F1789">
        <f>B1789&gt;=C1789</f>
        <v/>
      </c>
      <c r="G1789">
        <f>ROUND(G1788+0.1,1)</f>
        <v/>
      </c>
      <c r="H1789">
        <f>G1789=C1789</f>
        <v/>
      </c>
      <c r="I1789">
        <f>TEXT(B1789,"0.00000000000000")</f>
        <v/>
      </c>
    </row>
    <row r="1790">
      <c r="A1790" t="n">
        <v>1783</v>
      </c>
      <c r="B1790">
        <f>B1789+0.1</f>
        <v/>
      </c>
      <c r="C1790">
        <f>A1790/10</f>
        <v/>
      </c>
      <c r="D1790">
        <f>B1790=C1790</f>
        <v/>
      </c>
      <c r="E1790">
        <f>INT(B1790*10)=A1790</f>
        <v/>
      </c>
      <c r="F1790">
        <f>B1790&gt;=C1790</f>
        <v/>
      </c>
      <c r="G1790">
        <f>ROUND(G1789+0.1,1)</f>
        <v/>
      </c>
      <c r="H1790">
        <f>G1790=C1790</f>
        <v/>
      </c>
      <c r="I1790">
        <f>TEXT(B1790,"0.00000000000000")</f>
        <v/>
      </c>
    </row>
    <row r="1791">
      <c r="A1791" t="n">
        <v>1784</v>
      </c>
      <c r="B1791">
        <f>B1790+0.1</f>
        <v/>
      </c>
      <c r="C1791">
        <f>A1791/10</f>
        <v/>
      </c>
      <c r="D1791">
        <f>B1791=C1791</f>
        <v/>
      </c>
      <c r="E1791">
        <f>INT(B1791*10)=A1791</f>
        <v/>
      </c>
      <c r="F1791">
        <f>B1791&gt;=C1791</f>
        <v/>
      </c>
      <c r="G1791">
        <f>ROUND(G1790+0.1,1)</f>
        <v/>
      </c>
      <c r="H1791">
        <f>G1791=C1791</f>
        <v/>
      </c>
      <c r="I1791">
        <f>TEXT(B1791,"0.00000000000000")</f>
        <v/>
      </c>
    </row>
    <row r="1792">
      <c r="A1792" t="n">
        <v>1785</v>
      </c>
      <c r="B1792">
        <f>B1791+0.1</f>
        <v/>
      </c>
      <c r="C1792">
        <f>A1792/10</f>
        <v/>
      </c>
      <c r="D1792">
        <f>B1792=C1792</f>
        <v/>
      </c>
      <c r="E1792">
        <f>INT(B1792*10)=A1792</f>
        <v/>
      </c>
      <c r="F1792">
        <f>B1792&gt;=C1792</f>
        <v/>
      </c>
      <c r="G1792">
        <f>ROUND(G1791+0.1,1)</f>
        <v/>
      </c>
      <c r="H1792">
        <f>G1792=C1792</f>
        <v/>
      </c>
      <c r="I1792">
        <f>TEXT(B1792,"0.00000000000000")</f>
        <v/>
      </c>
    </row>
    <row r="1793">
      <c r="A1793" t="n">
        <v>1786</v>
      </c>
      <c r="B1793">
        <f>B1792+0.1</f>
        <v/>
      </c>
      <c r="C1793">
        <f>A1793/10</f>
        <v/>
      </c>
      <c r="D1793">
        <f>B1793=C1793</f>
        <v/>
      </c>
      <c r="E1793">
        <f>INT(B1793*10)=A1793</f>
        <v/>
      </c>
      <c r="F1793">
        <f>B1793&gt;=C1793</f>
        <v/>
      </c>
      <c r="G1793">
        <f>ROUND(G1792+0.1,1)</f>
        <v/>
      </c>
      <c r="H1793">
        <f>G1793=C1793</f>
        <v/>
      </c>
      <c r="I1793">
        <f>TEXT(B1793,"0.00000000000000")</f>
        <v/>
      </c>
    </row>
    <row r="1794">
      <c r="A1794" t="n">
        <v>1787</v>
      </c>
      <c r="B1794">
        <f>B1793+0.1</f>
        <v/>
      </c>
      <c r="C1794">
        <f>A1794/10</f>
        <v/>
      </c>
      <c r="D1794">
        <f>B1794=C1794</f>
        <v/>
      </c>
      <c r="E1794">
        <f>INT(B1794*10)=A1794</f>
        <v/>
      </c>
      <c r="F1794">
        <f>B1794&gt;=C1794</f>
        <v/>
      </c>
      <c r="G1794">
        <f>ROUND(G1793+0.1,1)</f>
        <v/>
      </c>
      <c r="H1794">
        <f>G1794=C1794</f>
        <v/>
      </c>
      <c r="I1794">
        <f>TEXT(B1794,"0.00000000000000")</f>
        <v/>
      </c>
    </row>
    <row r="1795">
      <c r="A1795" t="n">
        <v>1788</v>
      </c>
      <c r="B1795">
        <f>B1794+0.1</f>
        <v/>
      </c>
      <c r="C1795">
        <f>A1795/10</f>
        <v/>
      </c>
      <c r="D1795">
        <f>B1795=C1795</f>
        <v/>
      </c>
      <c r="E1795">
        <f>INT(B1795*10)=A1795</f>
        <v/>
      </c>
      <c r="F1795">
        <f>B1795&gt;=C1795</f>
        <v/>
      </c>
      <c r="G1795">
        <f>ROUND(G1794+0.1,1)</f>
        <v/>
      </c>
      <c r="H1795">
        <f>G1795=C1795</f>
        <v/>
      </c>
      <c r="I1795">
        <f>TEXT(B1795,"0.00000000000000")</f>
        <v/>
      </c>
    </row>
    <row r="1796">
      <c r="A1796" t="n">
        <v>1789</v>
      </c>
      <c r="B1796">
        <f>B1795+0.1</f>
        <v/>
      </c>
      <c r="C1796">
        <f>A1796/10</f>
        <v/>
      </c>
      <c r="D1796">
        <f>B1796=C1796</f>
        <v/>
      </c>
      <c r="E1796">
        <f>INT(B1796*10)=A1796</f>
        <v/>
      </c>
      <c r="F1796">
        <f>B1796&gt;=C1796</f>
        <v/>
      </c>
      <c r="G1796">
        <f>ROUND(G1795+0.1,1)</f>
        <v/>
      </c>
      <c r="H1796">
        <f>G1796=C1796</f>
        <v/>
      </c>
      <c r="I1796">
        <f>TEXT(B1796,"0.00000000000000")</f>
        <v/>
      </c>
    </row>
    <row r="1797">
      <c r="A1797" t="n">
        <v>1790</v>
      </c>
      <c r="B1797">
        <f>B1796+0.1</f>
        <v/>
      </c>
      <c r="C1797">
        <f>A1797/10</f>
        <v/>
      </c>
      <c r="D1797">
        <f>B1797=C1797</f>
        <v/>
      </c>
      <c r="E1797">
        <f>INT(B1797*10)=A1797</f>
        <v/>
      </c>
      <c r="F1797">
        <f>B1797&gt;=C1797</f>
        <v/>
      </c>
      <c r="G1797">
        <f>ROUND(G1796+0.1,1)</f>
        <v/>
      </c>
      <c r="H1797">
        <f>G1797=C1797</f>
        <v/>
      </c>
      <c r="I1797">
        <f>TEXT(B1797,"0.00000000000000")</f>
        <v/>
      </c>
    </row>
    <row r="1798">
      <c r="A1798" t="n">
        <v>1791</v>
      </c>
      <c r="B1798">
        <f>B1797+0.1</f>
        <v/>
      </c>
      <c r="C1798">
        <f>A1798/10</f>
        <v/>
      </c>
      <c r="D1798">
        <f>B1798=C1798</f>
        <v/>
      </c>
      <c r="E1798">
        <f>INT(B1798*10)=A1798</f>
        <v/>
      </c>
      <c r="F1798">
        <f>B1798&gt;=C1798</f>
        <v/>
      </c>
      <c r="G1798">
        <f>ROUND(G1797+0.1,1)</f>
        <v/>
      </c>
      <c r="H1798">
        <f>G1798=C1798</f>
        <v/>
      </c>
      <c r="I1798">
        <f>TEXT(B1798,"0.00000000000000")</f>
        <v/>
      </c>
    </row>
    <row r="1799">
      <c r="A1799" t="n">
        <v>1792</v>
      </c>
      <c r="B1799">
        <f>B1798+0.1</f>
        <v/>
      </c>
      <c r="C1799">
        <f>A1799/10</f>
        <v/>
      </c>
      <c r="D1799">
        <f>B1799=C1799</f>
        <v/>
      </c>
      <c r="E1799">
        <f>INT(B1799*10)=A1799</f>
        <v/>
      </c>
      <c r="F1799">
        <f>B1799&gt;=C1799</f>
        <v/>
      </c>
      <c r="G1799">
        <f>ROUND(G1798+0.1,1)</f>
        <v/>
      </c>
      <c r="H1799">
        <f>G1799=C1799</f>
        <v/>
      </c>
      <c r="I1799">
        <f>TEXT(B1799,"0.00000000000000")</f>
        <v/>
      </c>
    </row>
    <row r="1800">
      <c r="A1800" t="n">
        <v>1793</v>
      </c>
      <c r="B1800">
        <f>B1799+0.1</f>
        <v/>
      </c>
      <c r="C1800">
        <f>A1800/10</f>
        <v/>
      </c>
      <c r="D1800">
        <f>B1800=C1800</f>
        <v/>
      </c>
      <c r="E1800">
        <f>INT(B1800*10)=A1800</f>
        <v/>
      </c>
      <c r="F1800">
        <f>B1800&gt;=C1800</f>
        <v/>
      </c>
      <c r="G1800">
        <f>ROUND(G1799+0.1,1)</f>
        <v/>
      </c>
      <c r="H1800">
        <f>G1800=C1800</f>
        <v/>
      </c>
      <c r="I1800">
        <f>TEXT(B1800,"0.00000000000000")</f>
        <v/>
      </c>
    </row>
    <row r="1801">
      <c r="A1801" t="n">
        <v>1794</v>
      </c>
      <c r="B1801">
        <f>B1800+0.1</f>
        <v/>
      </c>
      <c r="C1801">
        <f>A1801/10</f>
        <v/>
      </c>
      <c r="D1801">
        <f>B1801=C1801</f>
        <v/>
      </c>
      <c r="E1801">
        <f>INT(B1801*10)=A1801</f>
        <v/>
      </c>
      <c r="F1801">
        <f>B1801&gt;=C1801</f>
        <v/>
      </c>
      <c r="G1801">
        <f>ROUND(G1800+0.1,1)</f>
        <v/>
      </c>
      <c r="H1801">
        <f>G1801=C1801</f>
        <v/>
      </c>
      <c r="I1801">
        <f>TEXT(B1801,"0.00000000000000")</f>
        <v/>
      </c>
    </row>
    <row r="1802">
      <c r="A1802" t="n">
        <v>1795</v>
      </c>
      <c r="B1802">
        <f>B1801+0.1</f>
        <v/>
      </c>
      <c r="C1802">
        <f>A1802/10</f>
        <v/>
      </c>
      <c r="D1802">
        <f>B1802=C1802</f>
        <v/>
      </c>
      <c r="E1802">
        <f>INT(B1802*10)=A1802</f>
        <v/>
      </c>
      <c r="F1802">
        <f>B1802&gt;=C1802</f>
        <v/>
      </c>
      <c r="G1802">
        <f>ROUND(G1801+0.1,1)</f>
        <v/>
      </c>
      <c r="H1802">
        <f>G1802=C1802</f>
        <v/>
      </c>
      <c r="I1802">
        <f>TEXT(B1802,"0.00000000000000")</f>
        <v/>
      </c>
    </row>
    <row r="1803">
      <c r="A1803" t="n">
        <v>1796</v>
      </c>
      <c r="B1803">
        <f>B1802+0.1</f>
        <v/>
      </c>
      <c r="C1803">
        <f>A1803/10</f>
        <v/>
      </c>
      <c r="D1803">
        <f>B1803=C1803</f>
        <v/>
      </c>
      <c r="E1803">
        <f>INT(B1803*10)=A1803</f>
        <v/>
      </c>
      <c r="F1803">
        <f>B1803&gt;=C1803</f>
        <v/>
      </c>
      <c r="G1803">
        <f>ROUND(G1802+0.1,1)</f>
        <v/>
      </c>
      <c r="H1803">
        <f>G1803=C1803</f>
        <v/>
      </c>
      <c r="I1803">
        <f>TEXT(B1803,"0.00000000000000")</f>
        <v/>
      </c>
    </row>
    <row r="1804">
      <c r="A1804" t="n">
        <v>1797</v>
      </c>
      <c r="B1804">
        <f>B1803+0.1</f>
        <v/>
      </c>
      <c r="C1804">
        <f>A1804/10</f>
        <v/>
      </c>
      <c r="D1804">
        <f>B1804=C1804</f>
        <v/>
      </c>
      <c r="E1804">
        <f>INT(B1804*10)=A1804</f>
        <v/>
      </c>
      <c r="F1804">
        <f>B1804&gt;=C1804</f>
        <v/>
      </c>
      <c r="G1804">
        <f>ROUND(G1803+0.1,1)</f>
        <v/>
      </c>
      <c r="H1804">
        <f>G1804=C1804</f>
        <v/>
      </c>
      <c r="I1804">
        <f>TEXT(B1804,"0.00000000000000")</f>
        <v/>
      </c>
    </row>
    <row r="1805">
      <c r="A1805" t="n">
        <v>1798</v>
      </c>
      <c r="B1805">
        <f>B1804+0.1</f>
        <v/>
      </c>
      <c r="C1805">
        <f>A1805/10</f>
        <v/>
      </c>
      <c r="D1805">
        <f>B1805=C1805</f>
        <v/>
      </c>
      <c r="E1805">
        <f>INT(B1805*10)=A1805</f>
        <v/>
      </c>
      <c r="F1805">
        <f>B1805&gt;=C1805</f>
        <v/>
      </c>
      <c r="G1805">
        <f>ROUND(G1804+0.1,1)</f>
        <v/>
      </c>
      <c r="H1805">
        <f>G1805=C1805</f>
        <v/>
      </c>
      <c r="I1805">
        <f>TEXT(B1805,"0.00000000000000")</f>
        <v/>
      </c>
    </row>
    <row r="1806">
      <c r="A1806" t="n">
        <v>1799</v>
      </c>
      <c r="B1806">
        <f>B1805+0.1</f>
        <v/>
      </c>
      <c r="C1806">
        <f>A1806/10</f>
        <v/>
      </c>
      <c r="D1806">
        <f>B1806=C1806</f>
        <v/>
      </c>
      <c r="E1806">
        <f>INT(B1806*10)=A1806</f>
        <v/>
      </c>
      <c r="F1806">
        <f>B1806&gt;=C1806</f>
        <v/>
      </c>
      <c r="G1806">
        <f>ROUND(G1805+0.1,1)</f>
        <v/>
      </c>
      <c r="H1806">
        <f>G1806=C1806</f>
        <v/>
      </c>
      <c r="I1806">
        <f>TEXT(B1806,"0.00000000000000")</f>
        <v/>
      </c>
    </row>
    <row r="1807">
      <c r="A1807" t="n">
        <v>1800</v>
      </c>
      <c r="B1807">
        <f>B1806+0.1</f>
        <v/>
      </c>
      <c r="C1807">
        <f>A1807/10</f>
        <v/>
      </c>
      <c r="D1807">
        <f>B1807=C1807</f>
        <v/>
      </c>
      <c r="E1807">
        <f>INT(B1807*10)=A1807</f>
        <v/>
      </c>
      <c r="F1807">
        <f>B1807&gt;=C1807</f>
        <v/>
      </c>
      <c r="G1807">
        <f>ROUND(G1806+0.1,1)</f>
        <v/>
      </c>
      <c r="H1807">
        <f>G1807=C1807</f>
        <v/>
      </c>
      <c r="I1807">
        <f>TEXT(B1807,"0.00000000000000")</f>
        <v/>
      </c>
    </row>
    <row r="1808">
      <c r="A1808" t="n">
        <v>1801</v>
      </c>
      <c r="B1808">
        <f>B1807+0.1</f>
        <v/>
      </c>
      <c r="C1808">
        <f>A1808/10</f>
        <v/>
      </c>
      <c r="D1808">
        <f>B1808=C1808</f>
        <v/>
      </c>
      <c r="E1808">
        <f>INT(B1808*10)=A1808</f>
        <v/>
      </c>
      <c r="F1808">
        <f>B1808&gt;=C1808</f>
        <v/>
      </c>
      <c r="G1808">
        <f>ROUND(G1807+0.1,1)</f>
        <v/>
      </c>
      <c r="H1808">
        <f>G1808=C1808</f>
        <v/>
      </c>
      <c r="I1808">
        <f>TEXT(B1808,"0.00000000000000")</f>
        <v/>
      </c>
    </row>
    <row r="1809">
      <c r="A1809" t="n">
        <v>1802</v>
      </c>
      <c r="B1809">
        <f>B1808+0.1</f>
        <v/>
      </c>
      <c r="C1809">
        <f>A1809/10</f>
        <v/>
      </c>
      <c r="D1809">
        <f>B1809=C1809</f>
        <v/>
      </c>
      <c r="E1809">
        <f>INT(B1809*10)=A1809</f>
        <v/>
      </c>
      <c r="F1809">
        <f>B1809&gt;=C1809</f>
        <v/>
      </c>
      <c r="G1809">
        <f>ROUND(G1808+0.1,1)</f>
        <v/>
      </c>
      <c r="H1809">
        <f>G1809=C1809</f>
        <v/>
      </c>
      <c r="I1809">
        <f>TEXT(B1809,"0.00000000000000")</f>
        <v/>
      </c>
    </row>
    <row r="1810">
      <c r="A1810" t="n">
        <v>1803</v>
      </c>
      <c r="B1810">
        <f>B1809+0.1</f>
        <v/>
      </c>
      <c r="C1810">
        <f>A1810/10</f>
        <v/>
      </c>
      <c r="D1810">
        <f>B1810=C1810</f>
        <v/>
      </c>
      <c r="E1810">
        <f>INT(B1810*10)=A1810</f>
        <v/>
      </c>
      <c r="F1810">
        <f>B1810&gt;=C1810</f>
        <v/>
      </c>
      <c r="G1810">
        <f>ROUND(G1809+0.1,1)</f>
        <v/>
      </c>
      <c r="H1810">
        <f>G1810=C1810</f>
        <v/>
      </c>
      <c r="I1810">
        <f>TEXT(B1810,"0.00000000000000")</f>
        <v/>
      </c>
    </row>
    <row r="1811">
      <c r="A1811" t="n">
        <v>1804</v>
      </c>
      <c r="B1811">
        <f>B1810+0.1</f>
        <v/>
      </c>
      <c r="C1811">
        <f>A1811/10</f>
        <v/>
      </c>
      <c r="D1811">
        <f>B1811=C1811</f>
        <v/>
      </c>
      <c r="E1811">
        <f>INT(B1811*10)=A1811</f>
        <v/>
      </c>
      <c r="F1811">
        <f>B1811&gt;=C1811</f>
        <v/>
      </c>
      <c r="G1811">
        <f>ROUND(G1810+0.1,1)</f>
        <v/>
      </c>
      <c r="H1811">
        <f>G1811=C1811</f>
        <v/>
      </c>
      <c r="I1811">
        <f>TEXT(B1811,"0.00000000000000")</f>
        <v/>
      </c>
    </row>
    <row r="1812">
      <c r="A1812" t="n">
        <v>1805</v>
      </c>
      <c r="B1812">
        <f>B1811+0.1</f>
        <v/>
      </c>
      <c r="C1812">
        <f>A1812/10</f>
        <v/>
      </c>
      <c r="D1812">
        <f>B1812=C1812</f>
        <v/>
      </c>
      <c r="E1812">
        <f>INT(B1812*10)=A1812</f>
        <v/>
      </c>
      <c r="F1812">
        <f>B1812&gt;=C1812</f>
        <v/>
      </c>
      <c r="G1812">
        <f>ROUND(G1811+0.1,1)</f>
        <v/>
      </c>
      <c r="H1812">
        <f>G1812=C1812</f>
        <v/>
      </c>
      <c r="I1812">
        <f>TEXT(B1812,"0.00000000000000")</f>
        <v/>
      </c>
    </row>
    <row r="1813">
      <c r="A1813" t="n">
        <v>1806</v>
      </c>
      <c r="B1813">
        <f>B1812+0.1</f>
        <v/>
      </c>
      <c r="C1813">
        <f>A1813/10</f>
        <v/>
      </c>
      <c r="D1813">
        <f>B1813=C1813</f>
        <v/>
      </c>
      <c r="E1813">
        <f>INT(B1813*10)=A1813</f>
        <v/>
      </c>
      <c r="F1813">
        <f>B1813&gt;=C1813</f>
        <v/>
      </c>
      <c r="G1813">
        <f>ROUND(G1812+0.1,1)</f>
        <v/>
      </c>
      <c r="H1813">
        <f>G1813=C1813</f>
        <v/>
      </c>
      <c r="I1813">
        <f>TEXT(B1813,"0.00000000000000")</f>
        <v/>
      </c>
    </row>
    <row r="1814">
      <c r="A1814" t="n">
        <v>1807</v>
      </c>
      <c r="B1814">
        <f>B1813+0.1</f>
        <v/>
      </c>
      <c r="C1814">
        <f>A1814/10</f>
        <v/>
      </c>
      <c r="D1814">
        <f>B1814=C1814</f>
        <v/>
      </c>
      <c r="E1814">
        <f>INT(B1814*10)=A1814</f>
        <v/>
      </c>
      <c r="F1814">
        <f>B1814&gt;=C1814</f>
        <v/>
      </c>
      <c r="G1814">
        <f>ROUND(G1813+0.1,1)</f>
        <v/>
      </c>
      <c r="H1814">
        <f>G1814=C1814</f>
        <v/>
      </c>
      <c r="I1814">
        <f>TEXT(B1814,"0.00000000000000")</f>
        <v/>
      </c>
    </row>
    <row r="1815">
      <c r="A1815" t="n">
        <v>1808</v>
      </c>
      <c r="B1815">
        <f>B1814+0.1</f>
        <v/>
      </c>
      <c r="C1815">
        <f>A1815/10</f>
        <v/>
      </c>
      <c r="D1815">
        <f>B1815=C1815</f>
        <v/>
      </c>
      <c r="E1815">
        <f>INT(B1815*10)=A1815</f>
        <v/>
      </c>
      <c r="F1815">
        <f>B1815&gt;=C1815</f>
        <v/>
      </c>
      <c r="G1815">
        <f>ROUND(G1814+0.1,1)</f>
        <v/>
      </c>
      <c r="H1815">
        <f>G1815=C1815</f>
        <v/>
      </c>
      <c r="I1815">
        <f>TEXT(B1815,"0.00000000000000")</f>
        <v/>
      </c>
    </row>
    <row r="1816">
      <c r="A1816" t="n">
        <v>1809</v>
      </c>
      <c r="B1816">
        <f>B1815+0.1</f>
        <v/>
      </c>
      <c r="C1816">
        <f>A1816/10</f>
        <v/>
      </c>
      <c r="D1816">
        <f>B1816=C1816</f>
        <v/>
      </c>
      <c r="E1816">
        <f>INT(B1816*10)=A1816</f>
        <v/>
      </c>
      <c r="F1816">
        <f>B1816&gt;=C1816</f>
        <v/>
      </c>
      <c r="G1816">
        <f>ROUND(G1815+0.1,1)</f>
        <v/>
      </c>
      <c r="H1816">
        <f>G1816=C1816</f>
        <v/>
      </c>
      <c r="I1816">
        <f>TEXT(B1816,"0.00000000000000")</f>
        <v/>
      </c>
    </row>
    <row r="1817">
      <c r="A1817" t="n">
        <v>1810</v>
      </c>
      <c r="B1817">
        <f>B1816+0.1</f>
        <v/>
      </c>
      <c r="C1817">
        <f>A1817/10</f>
        <v/>
      </c>
      <c r="D1817">
        <f>B1817=C1817</f>
        <v/>
      </c>
      <c r="E1817">
        <f>INT(B1817*10)=A1817</f>
        <v/>
      </c>
      <c r="F1817">
        <f>B1817&gt;=C1817</f>
        <v/>
      </c>
      <c r="G1817">
        <f>ROUND(G1816+0.1,1)</f>
        <v/>
      </c>
      <c r="H1817">
        <f>G1817=C1817</f>
        <v/>
      </c>
      <c r="I1817">
        <f>TEXT(B1817,"0.00000000000000")</f>
        <v/>
      </c>
    </row>
    <row r="1818">
      <c r="A1818" t="n">
        <v>1811</v>
      </c>
      <c r="B1818">
        <f>B1817+0.1</f>
        <v/>
      </c>
      <c r="C1818">
        <f>A1818/10</f>
        <v/>
      </c>
      <c r="D1818">
        <f>B1818=C1818</f>
        <v/>
      </c>
      <c r="E1818">
        <f>INT(B1818*10)=A1818</f>
        <v/>
      </c>
      <c r="F1818">
        <f>B1818&gt;=C1818</f>
        <v/>
      </c>
      <c r="G1818">
        <f>ROUND(G1817+0.1,1)</f>
        <v/>
      </c>
      <c r="H1818">
        <f>G1818=C1818</f>
        <v/>
      </c>
      <c r="I1818">
        <f>TEXT(B1818,"0.00000000000000")</f>
        <v/>
      </c>
    </row>
    <row r="1819">
      <c r="A1819" t="n">
        <v>1812</v>
      </c>
      <c r="B1819">
        <f>B1818+0.1</f>
        <v/>
      </c>
      <c r="C1819">
        <f>A1819/10</f>
        <v/>
      </c>
      <c r="D1819">
        <f>B1819=C1819</f>
        <v/>
      </c>
      <c r="E1819">
        <f>INT(B1819*10)=A1819</f>
        <v/>
      </c>
      <c r="F1819">
        <f>B1819&gt;=C1819</f>
        <v/>
      </c>
      <c r="G1819">
        <f>ROUND(G1818+0.1,1)</f>
        <v/>
      </c>
      <c r="H1819">
        <f>G1819=C1819</f>
        <v/>
      </c>
      <c r="I1819">
        <f>TEXT(B1819,"0.00000000000000")</f>
        <v/>
      </c>
    </row>
    <row r="1820">
      <c r="A1820" t="n">
        <v>1813</v>
      </c>
      <c r="B1820">
        <f>B1819+0.1</f>
        <v/>
      </c>
      <c r="C1820">
        <f>A1820/10</f>
        <v/>
      </c>
      <c r="D1820">
        <f>B1820=C1820</f>
        <v/>
      </c>
      <c r="E1820">
        <f>INT(B1820*10)=A1820</f>
        <v/>
      </c>
      <c r="F1820">
        <f>B1820&gt;=C1820</f>
        <v/>
      </c>
      <c r="G1820">
        <f>ROUND(G1819+0.1,1)</f>
        <v/>
      </c>
      <c r="H1820">
        <f>G1820=C1820</f>
        <v/>
      </c>
      <c r="I1820">
        <f>TEXT(B1820,"0.00000000000000")</f>
        <v/>
      </c>
    </row>
    <row r="1821">
      <c r="A1821" t="n">
        <v>1814</v>
      </c>
      <c r="B1821">
        <f>B1820+0.1</f>
        <v/>
      </c>
      <c r="C1821">
        <f>A1821/10</f>
        <v/>
      </c>
      <c r="D1821">
        <f>B1821=C1821</f>
        <v/>
      </c>
      <c r="E1821">
        <f>INT(B1821*10)=A1821</f>
        <v/>
      </c>
      <c r="F1821">
        <f>B1821&gt;=C1821</f>
        <v/>
      </c>
      <c r="G1821">
        <f>ROUND(G1820+0.1,1)</f>
        <v/>
      </c>
      <c r="H1821">
        <f>G1821=C1821</f>
        <v/>
      </c>
      <c r="I1821">
        <f>TEXT(B1821,"0.00000000000000")</f>
        <v/>
      </c>
    </row>
    <row r="1822">
      <c r="A1822" t="n">
        <v>1815</v>
      </c>
      <c r="B1822">
        <f>B1821+0.1</f>
        <v/>
      </c>
      <c r="C1822">
        <f>A1822/10</f>
        <v/>
      </c>
      <c r="D1822">
        <f>B1822=C1822</f>
        <v/>
      </c>
      <c r="E1822">
        <f>INT(B1822*10)=A1822</f>
        <v/>
      </c>
      <c r="F1822">
        <f>B1822&gt;=C1822</f>
        <v/>
      </c>
      <c r="G1822">
        <f>ROUND(G1821+0.1,1)</f>
        <v/>
      </c>
      <c r="H1822">
        <f>G1822=C1822</f>
        <v/>
      </c>
      <c r="I1822">
        <f>TEXT(B1822,"0.00000000000000")</f>
        <v/>
      </c>
    </row>
    <row r="1823">
      <c r="A1823" t="n">
        <v>1816</v>
      </c>
      <c r="B1823">
        <f>B1822+0.1</f>
        <v/>
      </c>
      <c r="C1823">
        <f>A1823/10</f>
        <v/>
      </c>
      <c r="D1823">
        <f>B1823=C1823</f>
        <v/>
      </c>
      <c r="E1823">
        <f>INT(B1823*10)=A1823</f>
        <v/>
      </c>
      <c r="F1823">
        <f>B1823&gt;=C1823</f>
        <v/>
      </c>
      <c r="G1823">
        <f>ROUND(G1822+0.1,1)</f>
        <v/>
      </c>
      <c r="H1823">
        <f>G1823=C1823</f>
        <v/>
      </c>
      <c r="I1823">
        <f>TEXT(B1823,"0.00000000000000")</f>
        <v/>
      </c>
    </row>
    <row r="1824">
      <c r="A1824" t="n">
        <v>1817</v>
      </c>
      <c r="B1824">
        <f>B1823+0.1</f>
        <v/>
      </c>
      <c r="C1824">
        <f>A1824/10</f>
        <v/>
      </c>
      <c r="D1824">
        <f>B1824=C1824</f>
        <v/>
      </c>
      <c r="E1824">
        <f>INT(B1824*10)=A1824</f>
        <v/>
      </c>
      <c r="F1824">
        <f>B1824&gt;=C1824</f>
        <v/>
      </c>
      <c r="G1824">
        <f>ROUND(G1823+0.1,1)</f>
        <v/>
      </c>
      <c r="H1824">
        <f>G1824=C1824</f>
        <v/>
      </c>
      <c r="I1824">
        <f>TEXT(B1824,"0.00000000000000")</f>
        <v/>
      </c>
    </row>
    <row r="1825">
      <c r="A1825" t="n">
        <v>1818</v>
      </c>
      <c r="B1825">
        <f>B1824+0.1</f>
        <v/>
      </c>
      <c r="C1825">
        <f>A1825/10</f>
        <v/>
      </c>
      <c r="D1825">
        <f>B1825=C1825</f>
        <v/>
      </c>
      <c r="E1825">
        <f>INT(B1825*10)=A1825</f>
        <v/>
      </c>
      <c r="F1825">
        <f>B1825&gt;=C1825</f>
        <v/>
      </c>
      <c r="G1825">
        <f>ROUND(G1824+0.1,1)</f>
        <v/>
      </c>
      <c r="H1825">
        <f>G1825=C1825</f>
        <v/>
      </c>
      <c r="I1825">
        <f>TEXT(B1825,"0.00000000000000")</f>
        <v/>
      </c>
    </row>
    <row r="1826">
      <c r="A1826" t="n">
        <v>1819</v>
      </c>
      <c r="B1826">
        <f>B1825+0.1</f>
        <v/>
      </c>
      <c r="C1826">
        <f>A1826/10</f>
        <v/>
      </c>
      <c r="D1826">
        <f>B1826=C1826</f>
        <v/>
      </c>
      <c r="E1826">
        <f>INT(B1826*10)=A1826</f>
        <v/>
      </c>
      <c r="F1826">
        <f>B1826&gt;=C1826</f>
        <v/>
      </c>
      <c r="G1826">
        <f>ROUND(G1825+0.1,1)</f>
        <v/>
      </c>
      <c r="H1826">
        <f>G1826=C1826</f>
        <v/>
      </c>
      <c r="I1826">
        <f>TEXT(B1826,"0.00000000000000")</f>
        <v/>
      </c>
    </row>
    <row r="1827">
      <c r="A1827" t="n">
        <v>1820</v>
      </c>
      <c r="B1827">
        <f>B1826+0.1</f>
        <v/>
      </c>
      <c r="C1827">
        <f>A1827/10</f>
        <v/>
      </c>
      <c r="D1827">
        <f>B1827=C1827</f>
        <v/>
      </c>
      <c r="E1827">
        <f>INT(B1827*10)=A1827</f>
        <v/>
      </c>
      <c r="F1827">
        <f>B1827&gt;=C1827</f>
        <v/>
      </c>
      <c r="G1827">
        <f>ROUND(G1826+0.1,1)</f>
        <v/>
      </c>
      <c r="H1827">
        <f>G1827=C1827</f>
        <v/>
      </c>
      <c r="I1827">
        <f>TEXT(B1827,"0.00000000000000")</f>
        <v/>
      </c>
    </row>
    <row r="1828">
      <c r="A1828" t="n">
        <v>1821</v>
      </c>
      <c r="B1828">
        <f>B1827+0.1</f>
        <v/>
      </c>
      <c r="C1828">
        <f>A1828/10</f>
        <v/>
      </c>
      <c r="D1828">
        <f>B1828=C1828</f>
        <v/>
      </c>
      <c r="E1828">
        <f>INT(B1828*10)=A1828</f>
        <v/>
      </c>
      <c r="F1828">
        <f>B1828&gt;=C1828</f>
        <v/>
      </c>
      <c r="G1828">
        <f>ROUND(G1827+0.1,1)</f>
        <v/>
      </c>
      <c r="H1828">
        <f>G1828=C1828</f>
        <v/>
      </c>
      <c r="I1828">
        <f>TEXT(B1828,"0.00000000000000")</f>
        <v/>
      </c>
    </row>
    <row r="1829">
      <c r="A1829" t="n">
        <v>1822</v>
      </c>
      <c r="B1829">
        <f>B1828+0.1</f>
        <v/>
      </c>
      <c r="C1829">
        <f>A1829/10</f>
        <v/>
      </c>
      <c r="D1829">
        <f>B1829=C1829</f>
        <v/>
      </c>
      <c r="E1829">
        <f>INT(B1829*10)=A1829</f>
        <v/>
      </c>
      <c r="F1829">
        <f>B1829&gt;=C1829</f>
        <v/>
      </c>
      <c r="G1829">
        <f>ROUND(G1828+0.1,1)</f>
        <v/>
      </c>
      <c r="H1829">
        <f>G1829=C1829</f>
        <v/>
      </c>
      <c r="I1829">
        <f>TEXT(B1829,"0.00000000000000")</f>
        <v/>
      </c>
    </row>
    <row r="1830">
      <c r="A1830" t="n">
        <v>1823</v>
      </c>
      <c r="B1830">
        <f>B1829+0.1</f>
        <v/>
      </c>
      <c r="C1830">
        <f>A1830/10</f>
        <v/>
      </c>
      <c r="D1830">
        <f>B1830=C1830</f>
        <v/>
      </c>
      <c r="E1830">
        <f>INT(B1830*10)=A1830</f>
        <v/>
      </c>
      <c r="F1830">
        <f>B1830&gt;=C1830</f>
        <v/>
      </c>
      <c r="G1830">
        <f>ROUND(G1829+0.1,1)</f>
        <v/>
      </c>
      <c r="H1830">
        <f>G1830=C1830</f>
        <v/>
      </c>
      <c r="I1830">
        <f>TEXT(B1830,"0.00000000000000")</f>
        <v/>
      </c>
    </row>
    <row r="1831">
      <c r="A1831" t="n">
        <v>1824</v>
      </c>
      <c r="B1831">
        <f>B1830+0.1</f>
        <v/>
      </c>
      <c r="C1831">
        <f>A1831/10</f>
        <v/>
      </c>
      <c r="D1831">
        <f>B1831=C1831</f>
        <v/>
      </c>
      <c r="E1831">
        <f>INT(B1831*10)=A1831</f>
        <v/>
      </c>
      <c r="F1831">
        <f>B1831&gt;=C1831</f>
        <v/>
      </c>
      <c r="G1831">
        <f>ROUND(G1830+0.1,1)</f>
        <v/>
      </c>
      <c r="H1831">
        <f>G1831=C1831</f>
        <v/>
      </c>
      <c r="I1831">
        <f>TEXT(B1831,"0.00000000000000")</f>
        <v/>
      </c>
    </row>
    <row r="1832">
      <c r="A1832" t="n">
        <v>1825</v>
      </c>
      <c r="B1832">
        <f>B1831+0.1</f>
        <v/>
      </c>
      <c r="C1832">
        <f>A1832/10</f>
        <v/>
      </c>
      <c r="D1832">
        <f>B1832=C1832</f>
        <v/>
      </c>
      <c r="E1832">
        <f>INT(B1832*10)=A1832</f>
        <v/>
      </c>
      <c r="F1832">
        <f>B1832&gt;=C1832</f>
        <v/>
      </c>
      <c r="G1832">
        <f>ROUND(G1831+0.1,1)</f>
        <v/>
      </c>
      <c r="H1832">
        <f>G1832=C1832</f>
        <v/>
      </c>
      <c r="I1832">
        <f>TEXT(B1832,"0.00000000000000")</f>
        <v/>
      </c>
    </row>
    <row r="1833">
      <c r="A1833" t="n">
        <v>1826</v>
      </c>
      <c r="B1833">
        <f>B1832+0.1</f>
        <v/>
      </c>
      <c r="C1833">
        <f>A1833/10</f>
        <v/>
      </c>
      <c r="D1833">
        <f>B1833=C1833</f>
        <v/>
      </c>
      <c r="E1833">
        <f>INT(B1833*10)=A1833</f>
        <v/>
      </c>
      <c r="F1833">
        <f>B1833&gt;=C1833</f>
        <v/>
      </c>
      <c r="G1833">
        <f>ROUND(G1832+0.1,1)</f>
        <v/>
      </c>
      <c r="H1833">
        <f>G1833=C1833</f>
        <v/>
      </c>
      <c r="I1833">
        <f>TEXT(B1833,"0.00000000000000")</f>
        <v/>
      </c>
    </row>
    <row r="1834">
      <c r="A1834" t="n">
        <v>1827</v>
      </c>
      <c r="B1834">
        <f>B1833+0.1</f>
        <v/>
      </c>
      <c r="C1834">
        <f>A1834/10</f>
        <v/>
      </c>
      <c r="D1834">
        <f>B1834=C1834</f>
        <v/>
      </c>
      <c r="E1834">
        <f>INT(B1834*10)=A1834</f>
        <v/>
      </c>
      <c r="F1834">
        <f>B1834&gt;=C1834</f>
        <v/>
      </c>
      <c r="G1834">
        <f>ROUND(G1833+0.1,1)</f>
        <v/>
      </c>
      <c r="H1834">
        <f>G1834=C1834</f>
        <v/>
      </c>
      <c r="I1834">
        <f>TEXT(B1834,"0.00000000000000")</f>
        <v/>
      </c>
    </row>
    <row r="1835">
      <c r="A1835" t="n">
        <v>1828</v>
      </c>
      <c r="B1835">
        <f>B1834+0.1</f>
        <v/>
      </c>
      <c r="C1835">
        <f>A1835/10</f>
        <v/>
      </c>
      <c r="D1835">
        <f>B1835=C1835</f>
        <v/>
      </c>
      <c r="E1835">
        <f>INT(B1835*10)=A1835</f>
        <v/>
      </c>
      <c r="F1835">
        <f>B1835&gt;=C1835</f>
        <v/>
      </c>
      <c r="G1835">
        <f>ROUND(G1834+0.1,1)</f>
        <v/>
      </c>
      <c r="H1835">
        <f>G1835=C1835</f>
        <v/>
      </c>
      <c r="I1835">
        <f>TEXT(B1835,"0.00000000000000")</f>
        <v/>
      </c>
    </row>
    <row r="1836">
      <c r="A1836" t="n">
        <v>1829</v>
      </c>
      <c r="B1836">
        <f>B1835+0.1</f>
        <v/>
      </c>
      <c r="C1836">
        <f>A1836/10</f>
        <v/>
      </c>
      <c r="D1836">
        <f>B1836=C1836</f>
        <v/>
      </c>
      <c r="E1836">
        <f>INT(B1836*10)=A1836</f>
        <v/>
      </c>
      <c r="F1836">
        <f>B1836&gt;=C1836</f>
        <v/>
      </c>
      <c r="G1836">
        <f>ROUND(G1835+0.1,1)</f>
        <v/>
      </c>
      <c r="H1836">
        <f>G1836=C1836</f>
        <v/>
      </c>
      <c r="I1836">
        <f>TEXT(B1836,"0.00000000000000")</f>
        <v/>
      </c>
    </row>
    <row r="1837">
      <c r="A1837" t="n">
        <v>1830</v>
      </c>
      <c r="B1837">
        <f>B1836+0.1</f>
        <v/>
      </c>
      <c r="C1837">
        <f>A1837/10</f>
        <v/>
      </c>
      <c r="D1837">
        <f>B1837=C1837</f>
        <v/>
      </c>
      <c r="E1837">
        <f>INT(B1837*10)=A1837</f>
        <v/>
      </c>
      <c r="F1837">
        <f>B1837&gt;=C1837</f>
        <v/>
      </c>
      <c r="G1837">
        <f>ROUND(G1836+0.1,1)</f>
        <v/>
      </c>
      <c r="H1837">
        <f>G1837=C1837</f>
        <v/>
      </c>
      <c r="I1837">
        <f>TEXT(B1837,"0.00000000000000")</f>
        <v/>
      </c>
    </row>
    <row r="1838">
      <c r="A1838" t="n">
        <v>1831</v>
      </c>
      <c r="B1838">
        <f>B1837+0.1</f>
        <v/>
      </c>
      <c r="C1838">
        <f>A1838/10</f>
        <v/>
      </c>
      <c r="D1838">
        <f>B1838=C1838</f>
        <v/>
      </c>
      <c r="E1838">
        <f>INT(B1838*10)=A1838</f>
        <v/>
      </c>
      <c r="F1838">
        <f>B1838&gt;=C1838</f>
        <v/>
      </c>
      <c r="G1838">
        <f>ROUND(G1837+0.1,1)</f>
        <v/>
      </c>
      <c r="H1838">
        <f>G1838=C1838</f>
        <v/>
      </c>
      <c r="I1838">
        <f>TEXT(B1838,"0.00000000000000")</f>
        <v/>
      </c>
    </row>
    <row r="1839">
      <c r="A1839" t="n">
        <v>1832</v>
      </c>
      <c r="B1839">
        <f>B1838+0.1</f>
        <v/>
      </c>
      <c r="C1839">
        <f>A1839/10</f>
        <v/>
      </c>
      <c r="D1839">
        <f>B1839=C1839</f>
        <v/>
      </c>
      <c r="E1839">
        <f>INT(B1839*10)=A1839</f>
        <v/>
      </c>
      <c r="F1839">
        <f>B1839&gt;=C1839</f>
        <v/>
      </c>
      <c r="G1839">
        <f>ROUND(G1838+0.1,1)</f>
        <v/>
      </c>
      <c r="H1839">
        <f>G1839=C1839</f>
        <v/>
      </c>
      <c r="I1839">
        <f>TEXT(B1839,"0.00000000000000")</f>
        <v/>
      </c>
    </row>
    <row r="1840">
      <c r="A1840" t="n">
        <v>1833</v>
      </c>
      <c r="B1840">
        <f>B1839+0.1</f>
        <v/>
      </c>
      <c r="C1840">
        <f>A1840/10</f>
        <v/>
      </c>
      <c r="D1840">
        <f>B1840=C1840</f>
        <v/>
      </c>
      <c r="E1840">
        <f>INT(B1840*10)=A1840</f>
        <v/>
      </c>
      <c r="F1840">
        <f>B1840&gt;=C1840</f>
        <v/>
      </c>
      <c r="G1840">
        <f>ROUND(G1839+0.1,1)</f>
        <v/>
      </c>
      <c r="H1840">
        <f>G1840=C1840</f>
        <v/>
      </c>
      <c r="I1840">
        <f>TEXT(B1840,"0.00000000000000")</f>
        <v/>
      </c>
    </row>
    <row r="1841">
      <c r="A1841" t="n">
        <v>1834</v>
      </c>
      <c r="B1841">
        <f>B1840+0.1</f>
        <v/>
      </c>
      <c r="C1841">
        <f>A1841/10</f>
        <v/>
      </c>
      <c r="D1841">
        <f>B1841=C1841</f>
        <v/>
      </c>
      <c r="E1841">
        <f>INT(B1841*10)=A1841</f>
        <v/>
      </c>
      <c r="F1841">
        <f>B1841&gt;=C1841</f>
        <v/>
      </c>
      <c r="G1841">
        <f>ROUND(G1840+0.1,1)</f>
        <v/>
      </c>
      <c r="H1841">
        <f>G1841=C1841</f>
        <v/>
      </c>
      <c r="I1841">
        <f>TEXT(B1841,"0.00000000000000")</f>
        <v/>
      </c>
    </row>
    <row r="1842">
      <c r="A1842" t="n">
        <v>1835</v>
      </c>
      <c r="B1842">
        <f>B1841+0.1</f>
        <v/>
      </c>
      <c r="C1842">
        <f>A1842/10</f>
        <v/>
      </c>
      <c r="D1842">
        <f>B1842=C1842</f>
        <v/>
      </c>
      <c r="E1842">
        <f>INT(B1842*10)=A1842</f>
        <v/>
      </c>
      <c r="F1842">
        <f>B1842&gt;=C1842</f>
        <v/>
      </c>
      <c r="G1842">
        <f>ROUND(G1841+0.1,1)</f>
        <v/>
      </c>
      <c r="H1842">
        <f>G1842=C1842</f>
        <v/>
      </c>
      <c r="I1842">
        <f>TEXT(B1842,"0.00000000000000")</f>
        <v/>
      </c>
    </row>
    <row r="1843">
      <c r="A1843" t="n">
        <v>1836</v>
      </c>
      <c r="B1843">
        <f>B1842+0.1</f>
        <v/>
      </c>
      <c r="C1843">
        <f>A1843/10</f>
        <v/>
      </c>
      <c r="D1843">
        <f>B1843=C1843</f>
        <v/>
      </c>
      <c r="E1843">
        <f>INT(B1843*10)=A1843</f>
        <v/>
      </c>
      <c r="F1843">
        <f>B1843&gt;=C1843</f>
        <v/>
      </c>
      <c r="G1843">
        <f>ROUND(G1842+0.1,1)</f>
        <v/>
      </c>
      <c r="H1843">
        <f>G1843=C1843</f>
        <v/>
      </c>
      <c r="I1843">
        <f>TEXT(B1843,"0.00000000000000")</f>
        <v/>
      </c>
    </row>
    <row r="1844">
      <c r="A1844" t="n">
        <v>1837</v>
      </c>
      <c r="B1844">
        <f>B1843+0.1</f>
        <v/>
      </c>
      <c r="C1844">
        <f>A1844/10</f>
        <v/>
      </c>
      <c r="D1844">
        <f>B1844=C1844</f>
        <v/>
      </c>
      <c r="E1844">
        <f>INT(B1844*10)=A1844</f>
        <v/>
      </c>
      <c r="F1844">
        <f>B1844&gt;=C1844</f>
        <v/>
      </c>
      <c r="G1844">
        <f>ROUND(G1843+0.1,1)</f>
        <v/>
      </c>
      <c r="H1844">
        <f>G1844=C1844</f>
        <v/>
      </c>
      <c r="I1844">
        <f>TEXT(B1844,"0.00000000000000")</f>
        <v/>
      </c>
    </row>
    <row r="1845">
      <c r="A1845" t="n">
        <v>1838</v>
      </c>
      <c r="B1845">
        <f>B1844+0.1</f>
        <v/>
      </c>
      <c r="C1845">
        <f>A1845/10</f>
        <v/>
      </c>
      <c r="D1845">
        <f>B1845=C1845</f>
        <v/>
      </c>
      <c r="E1845">
        <f>INT(B1845*10)=A1845</f>
        <v/>
      </c>
      <c r="F1845">
        <f>B1845&gt;=C1845</f>
        <v/>
      </c>
      <c r="G1845">
        <f>ROUND(G1844+0.1,1)</f>
        <v/>
      </c>
      <c r="H1845">
        <f>G1845=C1845</f>
        <v/>
      </c>
      <c r="I1845">
        <f>TEXT(B1845,"0.00000000000000")</f>
        <v/>
      </c>
    </row>
    <row r="1846">
      <c r="A1846" t="n">
        <v>1839</v>
      </c>
      <c r="B1846">
        <f>B1845+0.1</f>
        <v/>
      </c>
      <c r="C1846">
        <f>A1846/10</f>
        <v/>
      </c>
      <c r="D1846">
        <f>B1846=C1846</f>
        <v/>
      </c>
      <c r="E1846">
        <f>INT(B1846*10)=A1846</f>
        <v/>
      </c>
      <c r="F1846">
        <f>B1846&gt;=C1846</f>
        <v/>
      </c>
      <c r="G1846">
        <f>ROUND(G1845+0.1,1)</f>
        <v/>
      </c>
      <c r="H1846">
        <f>G1846=C1846</f>
        <v/>
      </c>
      <c r="I1846">
        <f>TEXT(B1846,"0.00000000000000")</f>
        <v/>
      </c>
    </row>
    <row r="1847">
      <c r="A1847" t="n">
        <v>1840</v>
      </c>
      <c r="B1847">
        <f>B1846+0.1</f>
        <v/>
      </c>
      <c r="C1847">
        <f>A1847/10</f>
        <v/>
      </c>
      <c r="D1847">
        <f>B1847=C1847</f>
        <v/>
      </c>
      <c r="E1847">
        <f>INT(B1847*10)=A1847</f>
        <v/>
      </c>
      <c r="F1847">
        <f>B1847&gt;=C1847</f>
        <v/>
      </c>
      <c r="G1847">
        <f>ROUND(G1846+0.1,1)</f>
        <v/>
      </c>
      <c r="H1847">
        <f>G1847=C1847</f>
        <v/>
      </c>
      <c r="I1847">
        <f>TEXT(B1847,"0.00000000000000")</f>
        <v/>
      </c>
    </row>
    <row r="1848">
      <c r="A1848" t="n">
        <v>1841</v>
      </c>
      <c r="B1848">
        <f>B1847+0.1</f>
        <v/>
      </c>
      <c r="C1848">
        <f>A1848/10</f>
        <v/>
      </c>
      <c r="D1848">
        <f>B1848=C1848</f>
        <v/>
      </c>
      <c r="E1848">
        <f>INT(B1848*10)=A1848</f>
        <v/>
      </c>
      <c r="F1848">
        <f>B1848&gt;=C1848</f>
        <v/>
      </c>
      <c r="G1848">
        <f>ROUND(G1847+0.1,1)</f>
        <v/>
      </c>
      <c r="H1848">
        <f>G1848=C1848</f>
        <v/>
      </c>
      <c r="I1848">
        <f>TEXT(B1848,"0.00000000000000")</f>
        <v/>
      </c>
    </row>
    <row r="1849">
      <c r="A1849" t="n">
        <v>1842</v>
      </c>
      <c r="B1849">
        <f>B1848+0.1</f>
        <v/>
      </c>
      <c r="C1849">
        <f>A1849/10</f>
        <v/>
      </c>
      <c r="D1849">
        <f>B1849=C1849</f>
        <v/>
      </c>
      <c r="E1849">
        <f>INT(B1849*10)=A1849</f>
        <v/>
      </c>
      <c r="F1849">
        <f>B1849&gt;=C1849</f>
        <v/>
      </c>
      <c r="G1849">
        <f>ROUND(G1848+0.1,1)</f>
        <v/>
      </c>
      <c r="H1849">
        <f>G1849=C1849</f>
        <v/>
      </c>
      <c r="I1849">
        <f>TEXT(B1849,"0.00000000000000")</f>
        <v/>
      </c>
    </row>
    <row r="1850">
      <c r="A1850" t="n">
        <v>1843</v>
      </c>
      <c r="B1850">
        <f>B1849+0.1</f>
        <v/>
      </c>
      <c r="C1850">
        <f>A1850/10</f>
        <v/>
      </c>
      <c r="D1850">
        <f>B1850=C1850</f>
        <v/>
      </c>
      <c r="E1850">
        <f>INT(B1850*10)=A1850</f>
        <v/>
      </c>
      <c r="F1850">
        <f>B1850&gt;=C1850</f>
        <v/>
      </c>
      <c r="G1850">
        <f>ROUND(G1849+0.1,1)</f>
        <v/>
      </c>
      <c r="H1850">
        <f>G1850=C1850</f>
        <v/>
      </c>
      <c r="I1850">
        <f>TEXT(B1850,"0.00000000000000")</f>
        <v/>
      </c>
    </row>
    <row r="1851">
      <c r="A1851" t="n">
        <v>1844</v>
      </c>
      <c r="B1851">
        <f>B1850+0.1</f>
        <v/>
      </c>
      <c r="C1851">
        <f>A1851/10</f>
        <v/>
      </c>
      <c r="D1851">
        <f>B1851=C1851</f>
        <v/>
      </c>
      <c r="E1851">
        <f>INT(B1851*10)=A1851</f>
        <v/>
      </c>
      <c r="F1851">
        <f>B1851&gt;=C1851</f>
        <v/>
      </c>
      <c r="G1851">
        <f>ROUND(G1850+0.1,1)</f>
        <v/>
      </c>
      <c r="H1851">
        <f>G1851=C1851</f>
        <v/>
      </c>
      <c r="I1851">
        <f>TEXT(B1851,"0.00000000000000")</f>
        <v/>
      </c>
    </row>
    <row r="1852">
      <c r="A1852" t="n">
        <v>1845</v>
      </c>
      <c r="B1852">
        <f>B1851+0.1</f>
        <v/>
      </c>
      <c r="C1852">
        <f>A1852/10</f>
        <v/>
      </c>
      <c r="D1852">
        <f>B1852=C1852</f>
        <v/>
      </c>
      <c r="E1852">
        <f>INT(B1852*10)=A1852</f>
        <v/>
      </c>
      <c r="F1852">
        <f>B1852&gt;=C1852</f>
        <v/>
      </c>
      <c r="G1852">
        <f>ROUND(G1851+0.1,1)</f>
        <v/>
      </c>
      <c r="H1852">
        <f>G1852=C1852</f>
        <v/>
      </c>
      <c r="I1852">
        <f>TEXT(B1852,"0.00000000000000")</f>
        <v/>
      </c>
    </row>
    <row r="1853">
      <c r="A1853" t="n">
        <v>1846</v>
      </c>
      <c r="B1853">
        <f>B1852+0.1</f>
        <v/>
      </c>
      <c r="C1853">
        <f>A1853/10</f>
        <v/>
      </c>
      <c r="D1853">
        <f>B1853=C1853</f>
        <v/>
      </c>
      <c r="E1853">
        <f>INT(B1853*10)=A1853</f>
        <v/>
      </c>
      <c r="F1853">
        <f>B1853&gt;=C1853</f>
        <v/>
      </c>
      <c r="G1853">
        <f>ROUND(G1852+0.1,1)</f>
        <v/>
      </c>
      <c r="H1853">
        <f>G1853=C1853</f>
        <v/>
      </c>
      <c r="I1853">
        <f>TEXT(B1853,"0.00000000000000")</f>
        <v/>
      </c>
    </row>
    <row r="1854">
      <c r="A1854" t="n">
        <v>1847</v>
      </c>
      <c r="B1854">
        <f>B1853+0.1</f>
        <v/>
      </c>
      <c r="C1854">
        <f>A1854/10</f>
        <v/>
      </c>
      <c r="D1854">
        <f>B1854=C1854</f>
        <v/>
      </c>
      <c r="E1854">
        <f>INT(B1854*10)=A1854</f>
        <v/>
      </c>
      <c r="F1854">
        <f>B1854&gt;=C1854</f>
        <v/>
      </c>
      <c r="G1854">
        <f>ROUND(G1853+0.1,1)</f>
        <v/>
      </c>
      <c r="H1854">
        <f>G1854=C1854</f>
        <v/>
      </c>
      <c r="I1854">
        <f>TEXT(B1854,"0.00000000000000")</f>
        <v/>
      </c>
    </row>
    <row r="1855">
      <c r="A1855" t="n">
        <v>1848</v>
      </c>
      <c r="B1855">
        <f>B1854+0.1</f>
        <v/>
      </c>
      <c r="C1855">
        <f>A1855/10</f>
        <v/>
      </c>
      <c r="D1855">
        <f>B1855=C1855</f>
        <v/>
      </c>
      <c r="E1855">
        <f>INT(B1855*10)=A1855</f>
        <v/>
      </c>
      <c r="F1855">
        <f>B1855&gt;=C1855</f>
        <v/>
      </c>
      <c r="G1855">
        <f>ROUND(G1854+0.1,1)</f>
        <v/>
      </c>
      <c r="H1855">
        <f>G1855=C1855</f>
        <v/>
      </c>
      <c r="I1855">
        <f>TEXT(B1855,"0.00000000000000")</f>
        <v/>
      </c>
    </row>
    <row r="1856">
      <c r="A1856" t="n">
        <v>1849</v>
      </c>
      <c r="B1856">
        <f>B1855+0.1</f>
        <v/>
      </c>
      <c r="C1856">
        <f>A1856/10</f>
        <v/>
      </c>
      <c r="D1856">
        <f>B1856=C1856</f>
        <v/>
      </c>
      <c r="E1856">
        <f>INT(B1856*10)=A1856</f>
        <v/>
      </c>
      <c r="F1856">
        <f>B1856&gt;=C1856</f>
        <v/>
      </c>
      <c r="G1856">
        <f>ROUND(G1855+0.1,1)</f>
        <v/>
      </c>
      <c r="H1856">
        <f>G1856=C1856</f>
        <v/>
      </c>
      <c r="I1856">
        <f>TEXT(B1856,"0.00000000000000")</f>
        <v/>
      </c>
    </row>
    <row r="1857">
      <c r="A1857" t="n">
        <v>1850</v>
      </c>
      <c r="B1857">
        <f>B1856+0.1</f>
        <v/>
      </c>
      <c r="C1857">
        <f>A1857/10</f>
        <v/>
      </c>
      <c r="D1857">
        <f>B1857=C1857</f>
        <v/>
      </c>
      <c r="E1857">
        <f>INT(B1857*10)=A1857</f>
        <v/>
      </c>
      <c r="F1857">
        <f>B1857&gt;=C1857</f>
        <v/>
      </c>
      <c r="G1857">
        <f>ROUND(G1856+0.1,1)</f>
        <v/>
      </c>
      <c r="H1857">
        <f>G1857=C1857</f>
        <v/>
      </c>
      <c r="I1857">
        <f>TEXT(B1857,"0.00000000000000")</f>
        <v/>
      </c>
    </row>
    <row r="1858">
      <c r="A1858" t="n">
        <v>1851</v>
      </c>
      <c r="B1858">
        <f>B1857+0.1</f>
        <v/>
      </c>
      <c r="C1858">
        <f>A1858/10</f>
        <v/>
      </c>
      <c r="D1858">
        <f>B1858=C1858</f>
        <v/>
      </c>
      <c r="E1858">
        <f>INT(B1858*10)=A1858</f>
        <v/>
      </c>
      <c r="F1858">
        <f>B1858&gt;=C1858</f>
        <v/>
      </c>
      <c r="G1858">
        <f>ROUND(G1857+0.1,1)</f>
        <v/>
      </c>
      <c r="H1858">
        <f>G1858=C1858</f>
        <v/>
      </c>
      <c r="I1858">
        <f>TEXT(B1858,"0.00000000000000")</f>
        <v/>
      </c>
    </row>
    <row r="1859">
      <c r="A1859" t="n">
        <v>1852</v>
      </c>
      <c r="B1859">
        <f>B1858+0.1</f>
        <v/>
      </c>
      <c r="C1859">
        <f>A1859/10</f>
        <v/>
      </c>
      <c r="D1859">
        <f>B1859=C1859</f>
        <v/>
      </c>
      <c r="E1859">
        <f>INT(B1859*10)=A1859</f>
        <v/>
      </c>
      <c r="F1859">
        <f>B1859&gt;=C1859</f>
        <v/>
      </c>
      <c r="G1859">
        <f>ROUND(G1858+0.1,1)</f>
        <v/>
      </c>
      <c r="H1859">
        <f>G1859=C1859</f>
        <v/>
      </c>
      <c r="I1859">
        <f>TEXT(B1859,"0.00000000000000")</f>
        <v/>
      </c>
    </row>
    <row r="1860">
      <c r="A1860" t="n">
        <v>1853</v>
      </c>
      <c r="B1860">
        <f>B1859+0.1</f>
        <v/>
      </c>
      <c r="C1860">
        <f>A1860/10</f>
        <v/>
      </c>
      <c r="D1860">
        <f>B1860=C1860</f>
        <v/>
      </c>
      <c r="E1860">
        <f>INT(B1860*10)=A1860</f>
        <v/>
      </c>
      <c r="F1860">
        <f>B1860&gt;=C1860</f>
        <v/>
      </c>
      <c r="G1860">
        <f>ROUND(G1859+0.1,1)</f>
        <v/>
      </c>
      <c r="H1860">
        <f>G1860=C1860</f>
        <v/>
      </c>
      <c r="I1860">
        <f>TEXT(B1860,"0.00000000000000")</f>
        <v/>
      </c>
    </row>
    <row r="1861">
      <c r="A1861" t="n">
        <v>1854</v>
      </c>
      <c r="B1861">
        <f>B1860+0.1</f>
        <v/>
      </c>
      <c r="C1861">
        <f>A1861/10</f>
        <v/>
      </c>
      <c r="D1861">
        <f>B1861=C1861</f>
        <v/>
      </c>
      <c r="E1861">
        <f>INT(B1861*10)=A1861</f>
        <v/>
      </c>
      <c r="F1861">
        <f>B1861&gt;=C1861</f>
        <v/>
      </c>
      <c r="G1861">
        <f>ROUND(G1860+0.1,1)</f>
        <v/>
      </c>
      <c r="H1861">
        <f>G1861=C1861</f>
        <v/>
      </c>
      <c r="I1861">
        <f>TEXT(B1861,"0.00000000000000")</f>
        <v/>
      </c>
    </row>
    <row r="1862">
      <c r="A1862" t="n">
        <v>1855</v>
      </c>
      <c r="B1862">
        <f>B1861+0.1</f>
        <v/>
      </c>
      <c r="C1862">
        <f>A1862/10</f>
        <v/>
      </c>
      <c r="D1862">
        <f>B1862=C1862</f>
        <v/>
      </c>
      <c r="E1862">
        <f>INT(B1862*10)=A1862</f>
        <v/>
      </c>
      <c r="F1862">
        <f>B1862&gt;=C1862</f>
        <v/>
      </c>
      <c r="G1862">
        <f>ROUND(G1861+0.1,1)</f>
        <v/>
      </c>
      <c r="H1862">
        <f>G1862=C1862</f>
        <v/>
      </c>
      <c r="I1862">
        <f>TEXT(B1862,"0.00000000000000")</f>
        <v/>
      </c>
    </row>
    <row r="1863">
      <c r="A1863" t="n">
        <v>1856</v>
      </c>
      <c r="B1863">
        <f>B1862+0.1</f>
        <v/>
      </c>
      <c r="C1863">
        <f>A1863/10</f>
        <v/>
      </c>
      <c r="D1863">
        <f>B1863=C1863</f>
        <v/>
      </c>
      <c r="E1863">
        <f>INT(B1863*10)=A1863</f>
        <v/>
      </c>
      <c r="F1863">
        <f>B1863&gt;=C1863</f>
        <v/>
      </c>
      <c r="G1863">
        <f>ROUND(G1862+0.1,1)</f>
        <v/>
      </c>
      <c r="H1863">
        <f>G1863=C1863</f>
        <v/>
      </c>
      <c r="I1863">
        <f>TEXT(B1863,"0.00000000000000")</f>
        <v/>
      </c>
    </row>
    <row r="1864">
      <c r="A1864" t="n">
        <v>1857</v>
      </c>
      <c r="B1864">
        <f>B1863+0.1</f>
        <v/>
      </c>
      <c r="C1864">
        <f>A1864/10</f>
        <v/>
      </c>
      <c r="D1864">
        <f>B1864=C1864</f>
        <v/>
      </c>
      <c r="E1864">
        <f>INT(B1864*10)=A1864</f>
        <v/>
      </c>
      <c r="F1864">
        <f>B1864&gt;=C1864</f>
        <v/>
      </c>
      <c r="G1864">
        <f>ROUND(G1863+0.1,1)</f>
        <v/>
      </c>
      <c r="H1864">
        <f>G1864=C1864</f>
        <v/>
      </c>
      <c r="I1864">
        <f>TEXT(B1864,"0.00000000000000")</f>
        <v/>
      </c>
    </row>
    <row r="1865">
      <c r="A1865" t="n">
        <v>1858</v>
      </c>
      <c r="B1865">
        <f>B1864+0.1</f>
        <v/>
      </c>
      <c r="C1865">
        <f>A1865/10</f>
        <v/>
      </c>
      <c r="D1865">
        <f>B1865=C1865</f>
        <v/>
      </c>
      <c r="E1865">
        <f>INT(B1865*10)=A1865</f>
        <v/>
      </c>
      <c r="F1865">
        <f>B1865&gt;=C1865</f>
        <v/>
      </c>
      <c r="G1865">
        <f>ROUND(G1864+0.1,1)</f>
        <v/>
      </c>
      <c r="H1865">
        <f>G1865=C1865</f>
        <v/>
      </c>
      <c r="I1865">
        <f>TEXT(B1865,"0.00000000000000")</f>
        <v/>
      </c>
    </row>
    <row r="1866">
      <c r="A1866" t="n">
        <v>1859</v>
      </c>
      <c r="B1866">
        <f>B1865+0.1</f>
        <v/>
      </c>
      <c r="C1866">
        <f>A1866/10</f>
        <v/>
      </c>
      <c r="D1866">
        <f>B1866=C1866</f>
        <v/>
      </c>
      <c r="E1866">
        <f>INT(B1866*10)=A1866</f>
        <v/>
      </c>
      <c r="F1866">
        <f>B1866&gt;=C1866</f>
        <v/>
      </c>
      <c r="G1866">
        <f>ROUND(G1865+0.1,1)</f>
        <v/>
      </c>
      <c r="H1866">
        <f>G1866=C1866</f>
        <v/>
      </c>
      <c r="I1866">
        <f>TEXT(B1866,"0.00000000000000")</f>
        <v/>
      </c>
    </row>
    <row r="1867">
      <c r="A1867" t="n">
        <v>1860</v>
      </c>
      <c r="B1867">
        <f>B1866+0.1</f>
        <v/>
      </c>
      <c r="C1867">
        <f>A1867/10</f>
        <v/>
      </c>
      <c r="D1867">
        <f>B1867=C1867</f>
        <v/>
      </c>
      <c r="E1867">
        <f>INT(B1867*10)=A1867</f>
        <v/>
      </c>
      <c r="F1867">
        <f>B1867&gt;=C1867</f>
        <v/>
      </c>
      <c r="G1867">
        <f>ROUND(G1866+0.1,1)</f>
        <v/>
      </c>
      <c r="H1867">
        <f>G1867=C1867</f>
        <v/>
      </c>
      <c r="I1867">
        <f>TEXT(B1867,"0.00000000000000")</f>
        <v/>
      </c>
    </row>
    <row r="1868">
      <c r="A1868" t="n">
        <v>1861</v>
      </c>
      <c r="B1868">
        <f>B1867+0.1</f>
        <v/>
      </c>
      <c r="C1868">
        <f>A1868/10</f>
        <v/>
      </c>
      <c r="D1868">
        <f>B1868=C1868</f>
        <v/>
      </c>
      <c r="E1868">
        <f>INT(B1868*10)=A1868</f>
        <v/>
      </c>
      <c r="F1868">
        <f>B1868&gt;=C1868</f>
        <v/>
      </c>
      <c r="G1868">
        <f>ROUND(G1867+0.1,1)</f>
        <v/>
      </c>
      <c r="H1868">
        <f>G1868=C1868</f>
        <v/>
      </c>
      <c r="I1868">
        <f>TEXT(B1868,"0.00000000000000")</f>
        <v/>
      </c>
    </row>
    <row r="1869">
      <c r="A1869" t="n">
        <v>1862</v>
      </c>
      <c r="B1869">
        <f>B1868+0.1</f>
        <v/>
      </c>
      <c r="C1869">
        <f>A1869/10</f>
        <v/>
      </c>
      <c r="D1869">
        <f>B1869=C1869</f>
        <v/>
      </c>
      <c r="E1869">
        <f>INT(B1869*10)=A1869</f>
        <v/>
      </c>
      <c r="F1869">
        <f>B1869&gt;=C1869</f>
        <v/>
      </c>
      <c r="G1869">
        <f>ROUND(G1868+0.1,1)</f>
        <v/>
      </c>
      <c r="H1869">
        <f>G1869=C1869</f>
        <v/>
      </c>
      <c r="I1869">
        <f>TEXT(B1869,"0.00000000000000")</f>
        <v/>
      </c>
    </row>
    <row r="1870">
      <c r="A1870" t="n">
        <v>1863</v>
      </c>
      <c r="B1870">
        <f>B1869+0.1</f>
        <v/>
      </c>
      <c r="C1870">
        <f>A1870/10</f>
        <v/>
      </c>
      <c r="D1870">
        <f>B1870=C1870</f>
        <v/>
      </c>
      <c r="E1870">
        <f>INT(B1870*10)=A1870</f>
        <v/>
      </c>
      <c r="F1870">
        <f>B1870&gt;=C1870</f>
        <v/>
      </c>
      <c r="G1870">
        <f>ROUND(G1869+0.1,1)</f>
        <v/>
      </c>
      <c r="H1870">
        <f>G1870=C1870</f>
        <v/>
      </c>
      <c r="I1870">
        <f>TEXT(B1870,"0.00000000000000")</f>
        <v/>
      </c>
    </row>
    <row r="1871">
      <c r="A1871" t="n">
        <v>1864</v>
      </c>
      <c r="B1871">
        <f>B1870+0.1</f>
        <v/>
      </c>
      <c r="C1871">
        <f>A1871/10</f>
        <v/>
      </c>
      <c r="D1871">
        <f>B1871=C1871</f>
        <v/>
      </c>
      <c r="E1871">
        <f>INT(B1871*10)=A1871</f>
        <v/>
      </c>
      <c r="F1871">
        <f>B1871&gt;=C1871</f>
        <v/>
      </c>
      <c r="G1871">
        <f>ROUND(G1870+0.1,1)</f>
        <v/>
      </c>
      <c r="H1871">
        <f>G1871=C1871</f>
        <v/>
      </c>
      <c r="I1871">
        <f>TEXT(B1871,"0.00000000000000")</f>
        <v/>
      </c>
    </row>
    <row r="1872">
      <c r="A1872" t="n">
        <v>1865</v>
      </c>
      <c r="B1872">
        <f>B1871+0.1</f>
        <v/>
      </c>
      <c r="C1872">
        <f>A1872/10</f>
        <v/>
      </c>
      <c r="D1872">
        <f>B1872=C1872</f>
        <v/>
      </c>
      <c r="E1872">
        <f>INT(B1872*10)=A1872</f>
        <v/>
      </c>
      <c r="F1872">
        <f>B1872&gt;=C1872</f>
        <v/>
      </c>
      <c r="G1872">
        <f>ROUND(G1871+0.1,1)</f>
        <v/>
      </c>
      <c r="H1872">
        <f>G1872=C1872</f>
        <v/>
      </c>
      <c r="I1872">
        <f>TEXT(B1872,"0.00000000000000")</f>
        <v/>
      </c>
    </row>
    <row r="1873">
      <c r="A1873" t="n">
        <v>1866</v>
      </c>
      <c r="B1873">
        <f>B1872+0.1</f>
        <v/>
      </c>
      <c r="C1873">
        <f>A1873/10</f>
        <v/>
      </c>
      <c r="D1873">
        <f>B1873=C1873</f>
        <v/>
      </c>
      <c r="E1873">
        <f>INT(B1873*10)=A1873</f>
        <v/>
      </c>
      <c r="F1873">
        <f>B1873&gt;=C1873</f>
        <v/>
      </c>
      <c r="G1873">
        <f>ROUND(G1872+0.1,1)</f>
        <v/>
      </c>
      <c r="H1873">
        <f>G1873=C1873</f>
        <v/>
      </c>
      <c r="I1873">
        <f>TEXT(B1873,"0.00000000000000")</f>
        <v/>
      </c>
    </row>
    <row r="1874">
      <c r="A1874" t="n">
        <v>1867</v>
      </c>
      <c r="B1874">
        <f>B1873+0.1</f>
        <v/>
      </c>
      <c r="C1874">
        <f>A1874/10</f>
        <v/>
      </c>
      <c r="D1874">
        <f>B1874=C1874</f>
        <v/>
      </c>
      <c r="E1874">
        <f>INT(B1874*10)=A1874</f>
        <v/>
      </c>
      <c r="F1874">
        <f>B1874&gt;=C1874</f>
        <v/>
      </c>
      <c r="G1874">
        <f>ROUND(G1873+0.1,1)</f>
        <v/>
      </c>
      <c r="H1874">
        <f>G1874=C1874</f>
        <v/>
      </c>
      <c r="I1874">
        <f>TEXT(B1874,"0.00000000000000")</f>
        <v/>
      </c>
    </row>
    <row r="1875">
      <c r="A1875" t="n">
        <v>1868</v>
      </c>
      <c r="B1875">
        <f>B1874+0.1</f>
        <v/>
      </c>
      <c r="C1875">
        <f>A1875/10</f>
        <v/>
      </c>
      <c r="D1875">
        <f>B1875=C1875</f>
        <v/>
      </c>
      <c r="E1875">
        <f>INT(B1875*10)=A1875</f>
        <v/>
      </c>
      <c r="F1875">
        <f>B1875&gt;=C1875</f>
        <v/>
      </c>
      <c r="G1875">
        <f>ROUND(G1874+0.1,1)</f>
        <v/>
      </c>
      <c r="H1875">
        <f>G1875=C1875</f>
        <v/>
      </c>
      <c r="I1875">
        <f>TEXT(B1875,"0.00000000000000")</f>
        <v/>
      </c>
    </row>
    <row r="1876">
      <c r="A1876" t="n">
        <v>1869</v>
      </c>
      <c r="B1876">
        <f>B1875+0.1</f>
        <v/>
      </c>
      <c r="C1876">
        <f>A1876/10</f>
        <v/>
      </c>
      <c r="D1876">
        <f>B1876=C1876</f>
        <v/>
      </c>
      <c r="E1876">
        <f>INT(B1876*10)=A1876</f>
        <v/>
      </c>
      <c r="F1876">
        <f>B1876&gt;=C1876</f>
        <v/>
      </c>
      <c r="G1876">
        <f>ROUND(G1875+0.1,1)</f>
        <v/>
      </c>
      <c r="H1876">
        <f>G1876=C1876</f>
        <v/>
      </c>
      <c r="I1876">
        <f>TEXT(B1876,"0.00000000000000")</f>
        <v/>
      </c>
    </row>
    <row r="1877">
      <c r="A1877" t="n">
        <v>1870</v>
      </c>
      <c r="B1877">
        <f>B1876+0.1</f>
        <v/>
      </c>
      <c r="C1877">
        <f>A1877/10</f>
        <v/>
      </c>
      <c r="D1877">
        <f>B1877=C1877</f>
        <v/>
      </c>
      <c r="E1877">
        <f>INT(B1877*10)=A1877</f>
        <v/>
      </c>
      <c r="F1877">
        <f>B1877&gt;=C1877</f>
        <v/>
      </c>
      <c r="G1877">
        <f>ROUND(G1876+0.1,1)</f>
        <v/>
      </c>
      <c r="H1877">
        <f>G1877=C1877</f>
        <v/>
      </c>
      <c r="I1877">
        <f>TEXT(B1877,"0.00000000000000")</f>
        <v/>
      </c>
    </row>
    <row r="1878">
      <c r="A1878" t="n">
        <v>1871</v>
      </c>
      <c r="B1878">
        <f>B1877+0.1</f>
        <v/>
      </c>
      <c r="C1878">
        <f>A1878/10</f>
        <v/>
      </c>
      <c r="D1878">
        <f>B1878=C1878</f>
        <v/>
      </c>
      <c r="E1878">
        <f>INT(B1878*10)=A1878</f>
        <v/>
      </c>
      <c r="F1878">
        <f>B1878&gt;=C1878</f>
        <v/>
      </c>
      <c r="G1878">
        <f>ROUND(G1877+0.1,1)</f>
        <v/>
      </c>
      <c r="H1878">
        <f>G1878=C1878</f>
        <v/>
      </c>
      <c r="I1878">
        <f>TEXT(B1878,"0.00000000000000")</f>
        <v/>
      </c>
    </row>
    <row r="1879">
      <c r="A1879" t="n">
        <v>1872</v>
      </c>
      <c r="B1879">
        <f>B1878+0.1</f>
        <v/>
      </c>
      <c r="C1879">
        <f>A1879/10</f>
        <v/>
      </c>
      <c r="D1879">
        <f>B1879=C1879</f>
        <v/>
      </c>
      <c r="E1879">
        <f>INT(B1879*10)=A1879</f>
        <v/>
      </c>
      <c r="F1879">
        <f>B1879&gt;=C1879</f>
        <v/>
      </c>
      <c r="G1879">
        <f>ROUND(G1878+0.1,1)</f>
        <v/>
      </c>
      <c r="H1879">
        <f>G1879=C1879</f>
        <v/>
      </c>
      <c r="I1879">
        <f>TEXT(B1879,"0.00000000000000")</f>
        <v/>
      </c>
    </row>
    <row r="1880">
      <c r="A1880" t="n">
        <v>1873</v>
      </c>
      <c r="B1880">
        <f>B1879+0.1</f>
        <v/>
      </c>
      <c r="C1880">
        <f>A1880/10</f>
        <v/>
      </c>
      <c r="D1880">
        <f>B1880=C1880</f>
        <v/>
      </c>
      <c r="E1880">
        <f>INT(B1880*10)=A1880</f>
        <v/>
      </c>
      <c r="F1880">
        <f>B1880&gt;=C1880</f>
        <v/>
      </c>
      <c r="G1880">
        <f>ROUND(G1879+0.1,1)</f>
        <v/>
      </c>
      <c r="H1880">
        <f>G1880=C1880</f>
        <v/>
      </c>
      <c r="I1880">
        <f>TEXT(B1880,"0.00000000000000")</f>
        <v/>
      </c>
    </row>
    <row r="1881">
      <c r="A1881" t="n">
        <v>1874</v>
      </c>
      <c r="B1881">
        <f>B1880+0.1</f>
        <v/>
      </c>
      <c r="C1881">
        <f>A1881/10</f>
        <v/>
      </c>
      <c r="D1881">
        <f>B1881=C1881</f>
        <v/>
      </c>
      <c r="E1881">
        <f>INT(B1881*10)=A1881</f>
        <v/>
      </c>
      <c r="F1881">
        <f>B1881&gt;=C1881</f>
        <v/>
      </c>
      <c r="G1881">
        <f>ROUND(G1880+0.1,1)</f>
        <v/>
      </c>
      <c r="H1881">
        <f>G1881=C1881</f>
        <v/>
      </c>
      <c r="I1881">
        <f>TEXT(B1881,"0.00000000000000")</f>
        <v/>
      </c>
    </row>
    <row r="1882">
      <c r="A1882" t="n">
        <v>1875</v>
      </c>
      <c r="B1882">
        <f>B1881+0.1</f>
        <v/>
      </c>
      <c r="C1882">
        <f>A1882/10</f>
        <v/>
      </c>
      <c r="D1882">
        <f>B1882=C1882</f>
        <v/>
      </c>
      <c r="E1882">
        <f>INT(B1882*10)=A1882</f>
        <v/>
      </c>
      <c r="F1882">
        <f>B1882&gt;=C1882</f>
        <v/>
      </c>
      <c r="G1882">
        <f>ROUND(G1881+0.1,1)</f>
        <v/>
      </c>
      <c r="H1882">
        <f>G1882=C1882</f>
        <v/>
      </c>
      <c r="I1882">
        <f>TEXT(B1882,"0.00000000000000")</f>
        <v/>
      </c>
    </row>
    <row r="1883">
      <c r="A1883" t="n">
        <v>1876</v>
      </c>
      <c r="B1883">
        <f>B1882+0.1</f>
        <v/>
      </c>
      <c r="C1883">
        <f>A1883/10</f>
        <v/>
      </c>
      <c r="D1883">
        <f>B1883=C1883</f>
        <v/>
      </c>
      <c r="E1883">
        <f>INT(B1883*10)=A1883</f>
        <v/>
      </c>
      <c r="F1883">
        <f>B1883&gt;=C1883</f>
        <v/>
      </c>
      <c r="G1883">
        <f>ROUND(G1882+0.1,1)</f>
        <v/>
      </c>
      <c r="H1883">
        <f>G1883=C1883</f>
        <v/>
      </c>
      <c r="I1883">
        <f>TEXT(B1883,"0.00000000000000")</f>
        <v/>
      </c>
    </row>
    <row r="1884">
      <c r="A1884" t="n">
        <v>1877</v>
      </c>
      <c r="B1884">
        <f>B1883+0.1</f>
        <v/>
      </c>
      <c r="C1884">
        <f>A1884/10</f>
        <v/>
      </c>
      <c r="D1884">
        <f>B1884=C1884</f>
        <v/>
      </c>
      <c r="E1884">
        <f>INT(B1884*10)=A1884</f>
        <v/>
      </c>
      <c r="F1884">
        <f>B1884&gt;=C1884</f>
        <v/>
      </c>
      <c r="G1884">
        <f>ROUND(G1883+0.1,1)</f>
        <v/>
      </c>
      <c r="H1884">
        <f>G1884=C1884</f>
        <v/>
      </c>
      <c r="I1884">
        <f>TEXT(B1884,"0.00000000000000")</f>
        <v/>
      </c>
    </row>
    <row r="1885">
      <c r="A1885" t="n">
        <v>1878</v>
      </c>
      <c r="B1885">
        <f>B1884+0.1</f>
        <v/>
      </c>
      <c r="C1885">
        <f>A1885/10</f>
        <v/>
      </c>
      <c r="D1885">
        <f>B1885=C1885</f>
        <v/>
      </c>
      <c r="E1885">
        <f>INT(B1885*10)=A1885</f>
        <v/>
      </c>
      <c r="F1885">
        <f>B1885&gt;=C1885</f>
        <v/>
      </c>
      <c r="G1885">
        <f>ROUND(G1884+0.1,1)</f>
        <v/>
      </c>
      <c r="H1885">
        <f>G1885=C1885</f>
        <v/>
      </c>
      <c r="I1885">
        <f>TEXT(B1885,"0.00000000000000")</f>
        <v/>
      </c>
    </row>
    <row r="1886">
      <c r="A1886" t="n">
        <v>1879</v>
      </c>
      <c r="B1886">
        <f>B1885+0.1</f>
        <v/>
      </c>
      <c r="C1886">
        <f>A1886/10</f>
        <v/>
      </c>
      <c r="D1886">
        <f>B1886=C1886</f>
        <v/>
      </c>
      <c r="E1886">
        <f>INT(B1886*10)=A1886</f>
        <v/>
      </c>
      <c r="F1886">
        <f>B1886&gt;=C1886</f>
        <v/>
      </c>
      <c r="G1886">
        <f>ROUND(G1885+0.1,1)</f>
        <v/>
      </c>
      <c r="H1886">
        <f>G1886=C1886</f>
        <v/>
      </c>
      <c r="I1886">
        <f>TEXT(B1886,"0.00000000000000")</f>
        <v/>
      </c>
    </row>
    <row r="1887">
      <c r="A1887" t="n">
        <v>1880</v>
      </c>
      <c r="B1887">
        <f>B1886+0.1</f>
        <v/>
      </c>
      <c r="C1887">
        <f>A1887/10</f>
        <v/>
      </c>
      <c r="D1887">
        <f>B1887=C1887</f>
        <v/>
      </c>
      <c r="E1887">
        <f>INT(B1887*10)=A1887</f>
        <v/>
      </c>
      <c r="F1887">
        <f>B1887&gt;=C1887</f>
        <v/>
      </c>
      <c r="G1887">
        <f>ROUND(G1886+0.1,1)</f>
        <v/>
      </c>
      <c r="H1887">
        <f>G1887=C1887</f>
        <v/>
      </c>
      <c r="I1887">
        <f>TEXT(B1887,"0.00000000000000")</f>
        <v/>
      </c>
    </row>
    <row r="1888">
      <c r="A1888" t="n">
        <v>1881</v>
      </c>
      <c r="B1888">
        <f>B1887+0.1</f>
        <v/>
      </c>
      <c r="C1888">
        <f>A1888/10</f>
        <v/>
      </c>
      <c r="D1888">
        <f>B1888=C1888</f>
        <v/>
      </c>
      <c r="E1888">
        <f>INT(B1888*10)=A1888</f>
        <v/>
      </c>
      <c r="F1888">
        <f>B1888&gt;=C1888</f>
        <v/>
      </c>
      <c r="G1888">
        <f>ROUND(G1887+0.1,1)</f>
        <v/>
      </c>
      <c r="H1888">
        <f>G1888=C1888</f>
        <v/>
      </c>
      <c r="I1888">
        <f>TEXT(B1888,"0.00000000000000")</f>
        <v/>
      </c>
    </row>
    <row r="1889">
      <c r="A1889" t="n">
        <v>1882</v>
      </c>
      <c r="B1889">
        <f>B1888+0.1</f>
        <v/>
      </c>
      <c r="C1889">
        <f>A1889/10</f>
        <v/>
      </c>
      <c r="D1889">
        <f>B1889=C1889</f>
        <v/>
      </c>
      <c r="E1889">
        <f>INT(B1889*10)=A1889</f>
        <v/>
      </c>
      <c r="F1889">
        <f>B1889&gt;=C1889</f>
        <v/>
      </c>
      <c r="G1889">
        <f>ROUND(G1888+0.1,1)</f>
        <v/>
      </c>
      <c r="H1889">
        <f>G1889=C1889</f>
        <v/>
      </c>
      <c r="I1889">
        <f>TEXT(B1889,"0.00000000000000")</f>
        <v/>
      </c>
    </row>
    <row r="1890">
      <c r="A1890" t="n">
        <v>1883</v>
      </c>
      <c r="B1890">
        <f>B1889+0.1</f>
        <v/>
      </c>
      <c r="C1890">
        <f>A1890/10</f>
        <v/>
      </c>
      <c r="D1890">
        <f>B1890=C1890</f>
        <v/>
      </c>
      <c r="E1890">
        <f>INT(B1890*10)=A1890</f>
        <v/>
      </c>
      <c r="F1890">
        <f>B1890&gt;=C1890</f>
        <v/>
      </c>
      <c r="G1890">
        <f>ROUND(G1889+0.1,1)</f>
        <v/>
      </c>
      <c r="H1890">
        <f>G1890=C1890</f>
        <v/>
      </c>
      <c r="I1890">
        <f>TEXT(B1890,"0.00000000000000")</f>
        <v/>
      </c>
    </row>
    <row r="1891">
      <c r="A1891" t="n">
        <v>1884</v>
      </c>
      <c r="B1891">
        <f>B1890+0.1</f>
        <v/>
      </c>
      <c r="C1891">
        <f>A1891/10</f>
        <v/>
      </c>
      <c r="D1891">
        <f>B1891=C1891</f>
        <v/>
      </c>
      <c r="E1891">
        <f>INT(B1891*10)=A1891</f>
        <v/>
      </c>
      <c r="F1891">
        <f>B1891&gt;=C1891</f>
        <v/>
      </c>
      <c r="G1891">
        <f>ROUND(G1890+0.1,1)</f>
        <v/>
      </c>
      <c r="H1891">
        <f>G1891=C1891</f>
        <v/>
      </c>
      <c r="I1891">
        <f>TEXT(B1891,"0.00000000000000")</f>
        <v/>
      </c>
    </row>
    <row r="1892">
      <c r="A1892" t="n">
        <v>1885</v>
      </c>
      <c r="B1892">
        <f>B1891+0.1</f>
        <v/>
      </c>
      <c r="C1892">
        <f>A1892/10</f>
        <v/>
      </c>
      <c r="D1892">
        <f>B1892=C1892</f>
        <v/>
      </c>
      <c r="E1892">
        <f>INT(B1892*10)=A1892</f>
        <v/>
      </c>
      <c r="F1892">
        <f>B1892&gt;=C1892</f>
        <v/>
      </c>
      <c r="G1892">
        <f>ROUND(G1891+0.1,1)</f>
        <v/>
      </c>
      <c r="H1892">
        <f>G1892=C1892</f>
        <v/>
      </c>
      <c r="I1892">
        <f>TEXT(B1892,"0.00000000000000")</f>
        <v/>
      </c>
    </row>
    <row r="1893">
      <c r="A1893" t="n">
        <v>1886</v>
      </c>
      <c r="B1893">
        <f>B1892+0.1</f>
        <v/>
      </c>
      <c r="C1893">
        <f>A1893/10</f>
        <v/>
      </c>
      <c r="D1893">
        <f>B1893=C1893</f>
        <v/>
      </c>
      <c r="E1893">
        <f>INT(B1893*10)=A1893</f>
        <v/>
      </c>
      <c r="F1893">
        <f>B1893&gt;=C1893</f>
        <v/>
      </c>
      <c r="G1893">
        <f>ROUND(G1892+0.1,1)</f>
        <v/>
      </c>
      <c r="H1893">
        <f>G1893=C1893</f>
        <v/>
      </c>
      <c r="I1893">
        <f>TEXT(B1893,"0.00000000000000")</f>
        <v/>
      </c>
    </row>
    <row r="1894">
      <c r="A1894" t="n">
        <v>1887</v>
      </c>
      <c r="B1894">
        <f>B1893+0.1</f>
        <v/>
      </c>
      <c r="C1894">
        <f>A1894/10</f>
        <v/>
      </c>
      <c r="D1894">
        <f>B1894=C1894</f>
        <v/>
      </c>
      <c r="E1894">
        <f>INT(B1894*10)=A1894</f>
        <v/>
      </c>
      <c r="F1894">
        <f>B1894&gt;=C1894</f>
        <v/>
      </c>
      <c r="G1894">
        <f>ROUND(G1893+0.1,1)</f>
        <v/>
      </c>
      <c r="H1894">
        <f>G1894=C1894</f>
        <v/>
      </c>
      <c r="I1894">
        <f>TEXT(B1894,"0.00000000000000")</f>
        <v/>
      </c>
    </row>
    <row r="1895">
      <c r="A1895" t="n">
        <v>1888</v>
      </c>
      <c r="B1895">
        <f>B1894+0.1</f>
        <v/>
      </c>
      <c r="C1895">
        <f>A1895/10</f>
        <v/>
      </c>
      <c r="D1895">
        <f>B1895=C1895</f>
        <v/>
      </c>
      <c r="E1895">
        <f>INT(B1895*10)=A1895</f>
        <v/>
      </c>
      <c r="F1895">
        <f>B1895&gt;=C1895</f>
        <v/>
      </c>
      <c r="G1895">
        <f>ROUND(G1894+0.1,1)</f>
        <v/>
      </c>
      <c r="H1895">
        <f>G1895=C1895</f>
        <v/>
      </c>
      <c r="I1895">
        <f>TEXT(B1895,"0.00000000000000")</f>
        <v/>
      </c>
    </row>
    <row r="1896">
      <c r="A1896" t="n">
        <v>1889</v>
      </c>
      <c r="B1896">
        <f>B1895+0.1</f>
        <v/>
      </c>
      <c r="C1896">
        <f>A1896/10</f>
        <v/>
      </c>
      <c r="D1896">
        <f>B1896=C1896</f>
        <v/>
      </c>
      <c r="E1896">
        <f>INT(B1896*10)=A1896</f>
        <v/>
      </c>
      <c r="F1896">
        <f>B1896&gt;=C1896</f>
        <v/>
      </c>
      <c r="G1896">
        <f>ROUND(G1895+0.1,1)</f>
        <v/>
      </c>
      <c r="H1896">
        <f>G1896=C1896</f>
        <v/>
      </c>
      <c r="I1896">
        <f>TEXT(B1896,"0.00000000000000")</f>
        <v/>
      </c>
    </row>
    <row r="1897">
      <c r="A1897" t="n">
        <v>1890</v>
      </c>
      <c r="B1897">
        <f>B1896+0.1</f>
        <v/>
      </c>
      <c r="C1897">
        <f>A1897/10</f>
        <v/>
      </c>
      <c r="D1897">
        <f>B1897=C1897</f>
        <v/>
      </c>
      <c r="E1897">
        <f>INT(B1897*10)=A1897</f>
        <v/>
      </c>
      <c r="F1897">
        <f>B1897&gt;=C1897</f>
        <v/>
      </c>
      <c r="G1897">
        <f>ROUND(G1896+0.1,1)</f>
        <v/>
      </c>
      <c r="H1897">
        <f>G1897=C1897</f>
        <v/>
      </c>
      <c r="I1897">
        <f>TEXT(B1897,"0.00000000000000")</f>
        <v/>
      </c>
    </row>
    <row r="1898">
      <c r="A1898" t="n">
        <v>1891</v>
      </c>
      <c r="B1898">
        <f>B1897+0.1</f>
        <v/>
      </c>
      <c r="C1898">
        <f>A1898/10</f>
        <v/>
      </c>
      <c r="D1898">
        <f>B1898=C1898</f>
        <v/>
      </c>
      <c r="E1898">
        <f>INT(B1898*10)=A1898</f>
        <v/>
      </c>
      <c r="F1898">
        <f>B1898&gt;=C1898</f>
        <v/>
      </c>
      <c r="G1898">
        <f>ROUND(G1897+0.1,1)</f>
        <v/>
      </c>
      <c r="H1898">
        <f>G1898=C1898</f>
        <v/>
      </c>
      <c r="I1898">
        <f>TEXT(B1898,"0.00000000000000")</f>
        <v/>
      </c>
    </row>
    <row r="1899">
      <c r="A1899" t="n">
        <v>1892</v>
      </c>
      <c r="B1899">
        <f>B1898+0.1</f>
        <v/>
      </c>
      <c r="C1899">
        <f>A1899/10</f>
        <v/>
      </c>
      <c r="D1899">
        <f>B1899=C1899</f>
        <v/>
      </c>
      <c r="E1899">
        <f>INT(B1899*10)=A1899</f>
        <v/>
      </c>
      <c r="F1899">
        <f>B1899&gt;=C1899</f>
        <v/>
      </c>
      <c r="G1899">
        <f>ROUND(G1898+0.1,1)</f>
        <v/>
      </c>
      <c r="H1899">
        <f>G1899=C1899</f>
        <v/>
      </c>
      <c r="I1899">
        <f>TEXT(B1899,"0.00000000000000")</f>
        <v/>
      </c>
    </row>
    <row r="1900">
      <c r="A1900" t="n">
        <v>1893</v>
      </c>
      <c r="B1900">
        <f>B1899+0.1</f>
        <v/>
      </c>
      <c r="C1900">
        <f>A1900/10</f>
        <v/>
      </c>
      <c r="D1900">
        <f>B1900=C1900</f>
        <v/>
      </c>
      <c r="E1900">
        <f>INT(B1900*10)=A1900</f>
        <v/>
      </c>
      <c r="F1900">
        <f>B1900&gt;=C1900</f>
        <v/>
      </c>
      <c r="G1900">
        <f>ROUND(G1899+0.1,1)</f>
        <v/>
      </c>
      <c r="H1900">
        <f>G1900=C1900</f>
        <v/>
      </c>
      <c r="I1900">
        <f>TEXT(B1900,"0.00000000000000")</f>
        <v/>
      </c>
    </row>
    <row r="1901">
      <c r="A1901" t="n">
        <v>1894</v>
      </c>
      <c r="B1901">
        <f>B1900+0.1</f>
        <v/>
      </c>
      <c r="C1901">
        <f>A1901/10</f>
        <v/>
      </c>
      <c r="D1901">
        <f>B1901=C1901</f>
        <v/>
      </c>
      <c r="E1901">
        <f>INT(B1901*10)=A1901</f>
        <v/>
      </c>
      <c r="F1901">
        <f>B1901&gt;=C1901</f>
        <v/>
      </c>
      <c r="G1901">
        <f>ROUND(G1900+0.1,1)</f>
        <v/>
      </c>
      <c r="H1901">
        <f>G1901=C1901</f>
        <v/>
      </c>
      <c r="I1901">
        <f>TEXT(B1901,"0.00000000000000")</f>
        <v/>
      </c>
    </row>
    <row r="1902">
      <c r="A1902" t="n">
        <v>1895</v>
      </c>
      <c r="B1902">
        <f>B1901+0.1</f>
        <v/>
      </c>
      <c r="C1902">
        <f>A1902/10</f>
        <v/>
      </c>
      <c r="D1902">
        <f>B1902=C1902</f>
        <v/>
      </c>
      <c r="E1902">
        <f>INT(B1902*10)=A1902</f>
        <v/>
      </c>
      <c r="F1902">
        <f>B1902&gt;=C1902</f>
        <v/>
      </c>
      <c r="G1902">
        <f>ROUND(G1901+0.1,1)</f>
        <v/>
      </c>
      <c r="H1902">
        <f>G1902=C1902</f>
        <v/>
      </c>
      <c r="I1902">
        <f>TEXT(B1902,"0.00000000000000")</f>
        <v/>
      </c>
    </row>
    <row r="1903">
      <c r="A1903" t="n">
        <v>1896</v>
      </c>
      <c r="B1903">
        <f>B1902+0.1</f>
        <v/>
      </c>
      <c r="C1903">
        <f>A1903/10</f>
        <v/>
      </c>
      <c r="D1903">
        <f>B1903=C1903</f>
        <v/>
      </c>
      <c r="E1903">
        <f>INT(B1903*10)=A1903</f>
        <v/>
      </c>
      <c r="F1903">
        <f>B1903&gt;=C1903</f>
        <v/>
      </c>
      <c r="G1903">
        <f>ROUND(G1902+0.1,1)</f>
        <v/>
      </c>
      <c r="H1903">
        <f>G1903=C1903</f>
        <v/>
      </c>
      <c r="I1903">
        <f>TEXT(B1903,"0.00000000000000")</f>
        <v/>
      </c>
    </row>
    <row r="1904">
      <c r="A1904" t="n">
        <v>1897</v>
      </c>
      <c r="B1904">
        <f>B1903+0.1</f>
        <v/>
      </c>
      <c r="C1904">
        <f>A1904/10</f>
        <v/>
      </c>
      <c r="D1904">
        <f>B1904=C1904</f>
        <v/>
      </c>
      <c r="E1904">
        <f>INT(B1904*10)=A1904</f>
        <v/>
      </c>
      <c r="F1904">
        <f>B1904&gt;=C1904</f>
        <v/>
      </c>
      <c r="G1904">
        <f>ROUND(G1903+0.1,1)</f>
        <v/>
      </c>
      <c r="H1904">
        <f>G1904=C1904</f>
        <v/>
      </c>
      <c r="I1904">
        <f>TEXT(B1904,"0.00000000000000")</f>
        <v/>
      </c>
    </row>
    <row r="1905">
      <c r="A1905" t="n">
        <v>1898</v>
      </c>
      <c r="B1905">
        <f>B1904+0.1</f>
        <v/>
      </c>
      <c r="C1905">
        <f>A1905/10</f>
        <v/>
      </c>
      <c r="D1905">
        <f>B1905=C1905</f>
        <v/>
      </c>
      <c r="E1905">
        <f>INT(B1905*10)=A1905</f>
        <v/>
      </c>
      <c r="F1905">
        <f>B1905&gt;=C1905</f>
        <v/>
      </c>
      <c r="G1905">
        <f>ROUND(G1904+0.1,1)</f>
        <v/>
      </c>
      <c r="H1905">
        <f>G1905=C1905</f>
        <v/>
      </c>
      <c r="I1905">
        <f>TEXT(B1905,"0.00000000000000")</f>
        <v/>
      </c>
    </row>
    <row r="1906">
      <c r="A1906" t="n">
        <v>1899</v>
      </c>
      <c r="B1906">
        <f>B1905+0.1</f>
        <v/>
      </c>
      <c r="C1906">
        <f>A1906/10</f>
        <v/>
      </c>
      <c r="D1906">
        <f>B1906=C1906</f>
        <v/>
      </c>
      <c r="E1906">
        <f>INT(B1906*10)=A1906</f>
        <v/>
      </c>
      <c r="F1906">
        <f>B1906&gt;=C1906</f>
        <v/>
      </c>
      <c r="G1906">
        <f>ROUND(G1905+0.1,1)</f>
        <v/>
      </c>
      <c r="H1906">
        <f>G1906=C1906</f>
        <v/>
      </c>
      <c r="I1906">
        <f>TEXT(B1906,"0.00000000000000")</f>
        <v/>
      </c>
    </row>
    <row r="1907">
      <c r="A1907" t="n">
        <v>1900</v>
      </c>
      <c r="B1907">
        <f>B1906+0.1</f>
        <v/>
      </c>
      <c r="C1907">
        <f>A1907/10</f>
        <v/>
      </c>
      <c r="D1907">
        <f>B1907=C1907</f>
        <v/>
      </c>
      <c r="E1907">
        <f>INT(B1907*10)=A1907</f>
        <v/>
      </c>
      <c r="F1907">
        <f>B1907&gt;=C1907</f>
        <v/>
      </c>
      <c r="G1907">
        <f>ROUND(G1906+0.1,1)</f>
        <v/>
      </c>
      <c r="H1907">
        <f>G1907=C1907</f>
        <v/>
      </c>
      <c r="I1907">
        <f>TEXT(B1907,"0.00000000000000")</f>
        <v/>
      </c>
    </row>
    <row r="1908">
      <c r="A1908" t="n">
        <v>1901</v>
      </c>
      <c r="B1908">
        <f>B1907+0.1</f>
        <v/>
      </c>
      <c r="C1908">
        <f>A1908/10</f>
        <v/>
      </c>
      <c r="D1908">
        <f>B1908=C1908</f>
        <v/>
      </c>
      <c r="E1908">
        <f>INT(B1908*10)=A1908</f>
        <v/>
      </c>
      <c r="F1908">
        <f>B1908&gt;=C1908</f>
        <v/>
      </c>
      <c r="G1908">
        <f>ROUND(G1907+0.1,1)</f>
        <v/>
      </c>
      <c r="H1908">
        <f>G1908=C1908</f>
        <v/>
      </c>
      <c r="I1908">
        <f>TEXT(B1908,"0.00000000000000")</f>
        <v/>
      </c>
    </row>
    <row r="1909">
      <c r="A1909" t="n">
        <v>1902</v>
      </c>
      <c r="B1909">
        <f>B1908+0.1</f>
        <v/>
      </c>
      <c r="C1909">
        <f>A1909/10</f>
        <v/>
      </c>
      <c r="D1909">
        <f>B1909=C1909</f>
        <v/>
      </c>
      <c r="E1909">
        <f>INT(B1909*10)=A1909</f>
        <v/>
      </c>
      <c r="F1909">
        <f>B1909&gt;=C1909</f>
        <v/>
      </c>
      <c r="G1909">
        <f>ROUND(G1908+0.1,1)</f>
        <v/>
      </c>
      <c r="H1909">
        <f>G1909=C1909</f>
        <v/>
      </c>
      <c r="I1909">
        <f>TEXT(B1909,"0.00000000000000")</f>
        <v/>
      </c>
    </row>
    <row r="1910">
      <c r="A1910" t="n">
        <v>1903</v>
      </c>
      <c r="B1910">
        <f>B1909+0.1</f>
        <v/>
      </c>
      <c r="C1910">
        <f>A1910/10</f>
        <v/>
      </c>
      <c r="D1910">
        <f>B1910=C1910</f>
        <v/>
      </c>
      <c r="E1910">
        <f>INT(B1910*10)=A1910</f>
        <v/>
      </c>
      <c r="F1910">
        <f>B1910&gt;=C1910</f>
        <v/>
      </c>
      <c r="G1910">
        <f>ROUND(G1909+0.1,1)</f>
        <v/>
      </c>
      <c r="H1910">
        <f>G1910=C1910</f>
        <v/>
      </c>
      <c r="I1910">
        <f>TEXT(B1910,"0.00000000000000")</f>
        <v/>
      </c>
    </row>
    <row r="1911">
      <c r="A1911" t="n">
        <v>1904</v>
      </c>
      <c r="B1911">
        <f>B1910+0.1</f>
        <v/>
      </c>
      <c r="C1911">
        <f>A1911/10</f>
        <v/>
      </c>
      <c r="D1911">
        <f>B1911=C1911</f>
        <v/>
      </c>
      <c r="E1911">
        <f>INT(B1911*10)=A1911</f>
        <v/>
      </c>
      <c r="F1911">
        <f>B1911&gt;=C1911</f>
        <v/>
      </c>
      <c r="G1911">
        <f>ROUND(G1910+0.1,1)</f>
        <v/>
      </c>
      <c r="H1911">
        <f>G1911=C1911</f>
        <v/>
      </c>
      <c r="I1911">
        <f>TEXT(B1911,"0.00000000000000")</f>
        <v/>
      </c>
    </row>
    <row r="1912">
      <c r="A1912" t="n">
        <v>1905</v>
      </c>
      <c r="B1912">
        <f>B1911+0.1</f>
        <v/>
      </c>
      <c r="C1912">
        <f>A1912/10</f>
        <v/>
      </c>
      <c r="D1912">
        <f>B1912=C1912</f>
        <v/>
      </c>
      <c r="E1912">
        <f>INT(B1912*10)=A1912</f>
        <v/>
      </c>
      <c r="F1912">
        <f>B1912&gt;=C1912</f>
        <v/>
      </c>
      <c r="G1912">
        <f>ROUND(G1911+0.1,1)</f>
        <v/>
      </c>
      <c r="H1912">
        <f>G1912=C1912</f>
        <v/>
      </c>
      <c r="I1912">
        <f>TEXT(B1912,"0.00000000000000")</f>
        <v/>
      </c>
    </row>
    <row r="1913">
      <c r="A1913" t="n">
        <v>1906</v>
      </c>
      <c r="B1913">
        <f>B1912+0.1</f>
        <v/>
      </c>
      <c r="C1913">
        <f>A1913/10</f>
        <v/>
      </c>
      <c r="D1913">
        <f>B1913=C1913</f>
        <v/>
      </c>
      <c r="E1913">
        <f>INT(B1913*10)=A1913</f>
        <v/>
      </c>
      <c r="F1913">
        <f>B1913&gt;=C1913</f>
        <v/>
      </c>
      <c r="G1913">
        <f>ROUND(G1912+0.1,1)</f>
        <v/>
      </c>
      <c r="H1913">
        <f>G1913=C1913</f>
        <v/>
      </c>
      <c r="I1913">
        <f>TEXT(B1913,"0.00000000000000")</f>
        <v/>
      </c>
    </row>
    <row r="1914">
      <c r="A1914" t="n">
        <v>1907</v>
      </c>
      <c r="B1914">
        <f>B1913+0.1</f>
        <v/>
      </c>
      <c r="C1914">
        <f>A1914/10</f>
        <v/>
      </c>
      <c r="D1914">
        <f>B1914=C1914</f>
        <v/>
      </c>
      <c r="E1914">
        <f>INT(B1914*10)=A1914</f>
        <v/>
      </c>
      <c r="F1914">
        <f>B1914&gt;=C1914</f>
        <v/>
      </c>
      <c r="G1914">
        <f>ROUND(G1913+0.1,1)</f>
        <v/>
      </c>
      <c r="H1914">
        <f>G1914=C1914</f>
        <v/>
      </c>
      <c r="I1914">
        <f>TEXT(B1914,"0.00000000000000")</f>
        <v/>
      </c>
    </row>
    <row r="1915">
      <c r="A1915" t="n">
        <v>1908</v>
      </c>
      <c r="B1915">
        <f>B1914+0.1</f>
        <v/>
      </c>
      <c r="C1915">
        <f>A1915/10</f>
        <v/>
      </c>
      <c r="D1915">
        <f>B1915=C1915</f>
        <v/>
      </c>
      <c r="E1915">
        <f>INT(B1915*10)=A1915</f>
        <v/>
      </c>
      <c r="F1915">
        <f>B1915&gt;=C1915</f>
        <v/>
      </c>
      <c r="G1915">
        <f>ROUND(G1914+0.1,1)</f>
        <v/>
      </c>
      <c r="H1915">
        <f>G1915=C1915</f>
        <v/>
      </c>
      <c r="I1915">
        <f>TEXT(B1915,"0.00000000000000")</f>
        <v/>
      </c>
    </row>
    <row r="1916">
      <c r="A1916" t="n">
        <v>1909</v>
      </c>
      <c r="B1916">
        <f>B1915+0.1</f>
        <v/>
      </c>
      <c r="C1916">
        <f>A1916/10</f>
        <v/>
      </c>
      <c r="D1916">
        <f>B1916=C1916</f>
        <v/>
      </c>
      <c r="E1916">
        <f>INT(B1916*10)=A1916</f>
        <v/>
      </c>
      <c r="F1916">
        <f>B1916&gt;=C1916</f>
        <v/>
      </c>
      <c r="G1916">
        <f>ROUND(G1915+0.1,1)</f>
        <v/>
      </c>
      <c r="H1916">
        <f>G1916=C1916</f>
        <v/>
      </c>
      <c r="I1916">
        <f>TEXT(B1916,"0.00000000000000")</f>
        <v/>
      </c>
    </row>
    <row r="1917">
      <c r="A1917" t="n">
        <v>1910</v>
      </c>
      <c r="B1917">
        <f>B1916+0.1</f>
        <v/>
      </c>
      <c r="C1917">
        <f>A1917/10</f>
        <v/>
      </c>
      <c r="D1917">
        <f>B1917=C1917</f>
        <v/>
      </c>
      <c r="E1917">
        <f>INT(B1917*10)=A1917</f>
        <v/>
      </c>
      <c r="F1917">
        <f>B1917&gt;=C1917</f>
        <v/>
      </c>
      <c r="G1917">
        <f>ROUND(G1916+0.1,1)</f>
        <v/>
      </c>
      <c r="H1917">
        <f>G1917=C1917</f>
        <v/>
      </c>
      <c r="I1917">
        <f>TEXT(B1917,"0.00000000000000")</f>
        <v/>
      </c>
    </row>
    <row r="1918">
      <c r="A1918" t="n">
        <v>1911</v>
      </c>
      <c r="B1918">
        <f>B1917+0.1</f>
        <v/>
      </c>
      <c r="C1918">
        <f>A1918/10</f>
        <v/>
      </c>
      <c r="D1918">
        <f>B1918=C1918</f>
        <v/>
      </c>
      <c r="E1918">
        <f>INT(B1918*10)=A1918</f>
        <v/>
      </c>
      <c r="F1918">
        <f>B1918&gt;=C1918</f>
        <v/>
      </c>
      <c r="G1918">
        <f>ROUND(G1917+0.1,1)</f>
        <v/>
      </c>
      <c r="H1918">
        <f>G1918=C1918</f>
        <v/>
      </c>
      <c r="I1918">
        <f>TEXT(B1918,"0.00000000000000")</f>
        <v/>
      </c>
    </row>
    <row r="1919">
      <c r="A1919" t="n">
        <v>1912</v>
      </c>
      <c r="B1919">
        <f>B1918+0.1</f>
        <v/>
      </c>
      <c r="C1919">
        <f>A1919/10</f>
        <v/>
      </c>
      <c r="D1919">
        <f>B1919=C1919</f>
        <v/>
      </c>
      <c r="E1919">
        <f>INT(B1919*10)=A1919</f>
        <v/>
      </c>
      <c r="F1919">
        <f>B1919&gt;=C1919</f>
        <v/>
      </c>
      <c r="G1919">
        <f>ROUND(G1918+0.1,1)</f>
        <v/>
      </c>
      <c r="H1919">
        <f>G1919=C1919</f>
        <v/>
      </c>
      <c r="I1919">
        <f>TEXT(B1919,"0.00000000000000")</f>
        <v/>
      </c>
    </row>
    <row r="1920">
      <c r="A1920" t="n">
        <v>1913</v>
      </c>
      <c r="B1920">
        <f>B1919+0.1</f>
        <v/>
      </c>
      <c r="C1920">
        <f>A1920/10</f>
        <v/>
      </c>
      <c r="D1920">
        <f>B1920=C1920</f>
        <v/>
      </c>
      <c r="E1920">
        <f>INT(B1920*10)=A1920</f>
        <v/>
      </c>
      <c r="F1920">
        <f>B1920&gt;=C1920</f>
        <v/>
      </c>
      <c r="G1920">
        <f>ROUND(G1919+0.1,1)</f>
        <v/>
      </c>
      <c r="H1920">
        <f>G1920=C1920</f>
        <v/>
      </c>
      <c r="I1920">
        <f>TEXT(B1920,"0.00000000000000")</f>
        <v/>
      </c>
    </row>
    <row r="1921">
      <c r="A1921" t="n">
        <v>1914</v>
      </c>
      <c r="B1921">
        <f>B1920+0.1</f>
        <v/>
      </c>
      <c r="C1921">
        <f>A1921/10</f>
        <v/>
      </c>
      <c r="D1921">
        <f>B1921=C1921</f>
        <v/>
      </c>
      <c r="E1921">
        <f>INT(B1921*10)=A1921</f>
        <v/>
      </c>
      <c r="F1921">
        <f>B1921&gt;=C1921</f>
        <v/>
      </c>
      <c r="G1921">
        <f>ROUND(G1920+0.1,1)</f>
        <v/>
      </c>
      <c r="H1921">
        <f>G1921=C1921</f>
        <v/>
      </c>
      <c r="I1921">
        <f>TEXT(B1921,"0.00000000000000")</f>
        <v/>
      </c>
    </row>
    <row r="1922">
      <c r="A1922" t="n">
        <v>1915</v>
      </c>
      <c r="B1922">
        <f>B1921+0.1</f>
        <v/>
      </c>
      <c r="C1922">
        <f>A1922/10</f>
        <v/>
      </c>
      <c r="D1922">
        <f>B1922=C1922</f>
        <v/>
      </c>
      <c r="E1922">
        <f>INT(B1922*10)=A1922</f>
        <v/>
      </c>
      <c r="F1922">
        <f>B1922&gt;=C1922</f>
        <v/>
      </c>
      <c r="G1922">
        <f>ROUND(G1921+0.1,1)</f>
        <v/>
      </c>
      <c r="H1922">
        <f>G1922=C1922</f>
        <v/>
      </c>
      <c r="I1922">
        <f>TEXT(B1922,"0.00000000000000")</f>
        <v/>
      </c>
    </row>
    <row r="1923">
      <c r="A1923" t="n">
        <v>1916</v>
      </c>
      <c r="B1923">
        <f>B1922+0.1</f>
        <v/>
      </c>
      <c r="C1923">
        <f>A1923/10</f>
        <v/>
      </c>
      <c r="D1923">
        <f>B1923=C1923</f>
        <v/>
      </c>
      <c r="E1923">
        <f>INT(B1923*10)=A1923</f>
        <v/>
      </c>
      <c r="F1923">
        <f>B1923&gt;=C1923</f>
        <v/>
      </c>
      <c r="G1923">
        <f>ROUND(G1922+0.1,1)</f>
        <v/>
      </c>
      <c r="H1923">
        <f>G1923=C1923</f>
        <v/>
      </c>
      <c r="I1923">
        <f>TEXT(B1923,"0.00000000000000")</f>
        <v/>
      </c>
    </row>
    <row r="1924">
      <c r="A1924" t="n">
        <v>1917</v>
      </c>
      <c r="B1924">
        <f>B1923+0.1</f>
        <v/>
      </c>
      <c r="C1924">
        <f>A1924/10</f>
        <v/>
      </c>
      <c r="D1924">
        <f>B1924=C1924</f>
        <v/>
      </c>
      <c r="E1924">
        <f>INT(B1924*10)=A1924</f>
        <v/>
      </c>
      <c r="F1924">
        <f>B1924&gt;=C1924</f>
        <v/>
      </c>
      <c r="G1924">
        <f>ROUND(G1923+0.1,1)</f>
        <v/>
      </c>
      <c r="H1924">
        <f>G1924=C1924</f>
        <v/>
      </c>
      <c r="I1924">
        <f>TEXT(B1924,"0.00000000000000")</f>
        <v/>
      </c>
    </row>
    <row r="1925">
      <c r="A1925" t="n">
        <v>1918</v>
      </c>
      <c r="B1925">
        <f>B1924+0.1</f>
        <v/>
      </c>
      <c r="C1925">
        <f>A1925/10</f>
        <v/>
      </c>
      <c r="D1925">
        <f>B1925=C1925</f>
        <v/>
      </c>
      <c r="E1925">
        <f>INT(B1925*10)=A1925</f>
        <v/>
      </c>
      <c r="F1925">
        <f>B1925&gt;=C1925</f>
        <v/>
      </c>
      <c r="G1925">
        <f>ROUND(G1924+0.1,1)</f>
        <v/>
      </c>
      <c r="H1925">
        <f>G1925=C1925</f>
        <v/>
      </c>
      <c r="I1925">
        <f>TEXT(B1925,"0.00000000000000")</f>
        <v/>
      </c>
    </row>
    <row r="1926">
      <c r="A1926" t="n">
        <v>1919</v>
      </c>
      <c r="B1926">
        <f>B1925+0.1</f>
        <v/>
      </c>
      <c r="C1926">
        <f>A1926/10</f>
        <v/>
      </c>
      <c r="D1926">
        <f>B1926=C1926</f>
        <v/>
      </c>
      <c r="E1926">
        <f>INT(B1926*10)=A1926</f>
        <v/>
      </c>
      <c r="F1926">
        <f>B1926&gt;=C1926</f>
        <v/>
      </c>
      <c r="G1926">
        <f>ROUND(G1925+0.1,1)</f>
        <v/>
      </c>
      <c r="H1926">
        <f>G1926=C1926</f>
        <v/>
      </c>
      <c r="I1926">
        <f>TEXT(B1926,"0.00000000000000")</f>
        <v/>
      </c>
    </row>
    <row r="1927">
      <c r="A1927" t="n">
        <v>1920</v>
      </c>
      <c r="B1927">
        <f>B1926+0.1</f>
        <v/>
      </c>
      <c r="C1927">
        <f>A1927/10</f>
        <v/>
      </c>
      <c r="D1927">
        <f>B1927=C1927</f>
        <v/>
      </c>
      <c r="E1927">
        <f>INT(B1927*10)=A1927</f>
        <v/>
      </c>
      <c r="F1927">
        <f>B1927&gt;=C1927</f>
        <v/>
      </c>
      <c r="G1927">
        <f>ROUND(G1926+0.1,1)</f>
        <v/>
      </c>
      <c r="H1927">
        <f>G1927=C1927</f>
        <v/>
      </c>
      <c r="I1927">
        <f>TEXT(B1927,"0.00000000000000")</f>
        <v/>
      </c>
    </row>
    <row r="1928">
      <c r="A1928" t="n">
        <v>1921</v>
      </c>
      <c r="B1928">
        <f>B1927+0.1</f>
        <v/>
      </c>
      <c r="C1928">
        <f>A1928/10</f>
        <v/>
      </c>
      <c r="D1928">
        <f>B1928=C1928</f>
        <v/>
      </c>
      <c r="E1928">
        <f>INT(B1928*10)=A1928</f>
        <v/>
      </c>
      <c r="F1928">
        <f>B1928&gt;=C1928</f>
        <v/>
      </c>
      <c r="G1928">
        <f>ROUND(G1927+0.1,1)</f>
        <v/>
      </c>
      <c r="H1928">
        <f>G1928=C1928</f>
        <v/>
      </c>
      <c r="I1928">
        <f>TEXT(B1928,"0.00000000000000")</f>
        <v/>
      </c>
    </row>
    <row r="1929">
      <c r="A1929" t="n">
        <v>1922</v>
      </c>
      <c r="B1929">
        <f>B1928+0.1</f>
        <v/>
      </c>
      <c r="C1929">
        <f>A1929/10</f>
        <v/>
      </c>
      <c r="D1929">
        <f>B1929=C1929</f>
        <v/>
      </c>
      <c r="E1929">
        <f>INT(B1929*10)=A1929</f>
        <v/>
      </c>
      <c r="F1929">
        <f>B1929&gt;=C1929</f>
        <v/>
      </c>
      <c r="G1929">
        <f>ROUND(G1928+0.1,1)</f>
        <v/>
      </c>
      <c r="H1929">
        <f>G1929=C1929</f>
        <v/>
      </c>
      <c r="I1929">
        <f>TEXT(B1929,"0.00000000000000")</f>
        <v/>
      </c>
    </row>
    <row r="1930">
      <c r="A1930" t="n">
        <v>1923</v>
      </c>
      <c r="B1930">
        <f>B1929+0.1</f>
        <v/>
      </c>
      <c r="C1930">
        <f>A1930/10</f>
        <v/>
      </c>
      <c r="D1930">
        <f>B1930=C1930</f>
        <v/>
      </c>
      <c r="E1930">
        <f>INT(B1930*10)=A1930</f>
        <v/>
      </c>
      <c r="F1930">
        <f>B1930&gt;=C1930</f>
        <v/>
      </c>
      <c r="G1930">
        <f>ROUND(G1929+0.1,1)</f>
        <v/>
      </c>
      <c r="H1930">
        <f>G1930=C1930</f>
        <v/>
      </c>
      <c r="I1930">
        <f>TEXT(B1930,"0.00000000000000")</f>
        <v/>
      </c>
    </row>
    <row r="1931">
      <c r="A1931" t="n">
        <v>1924</v>
      </c>
      <c r="B1931">
        <f>B1930+0.1</f>
        <v/>
      </c>
      <c r="C1931">
        <f>A1931/10</f>
        <v/>
      </c>
      <c r="D1931">
        <f>B1931=C1931</f>
        <v/>
      </c>
      <c r="E1931">
        <f>INT(B1931*10)=A1931</f>
        <v/>
      </c>
      <c r="F1931">
        <f>B1931&gt;=C1931</f>
        <v/>
      </c>
      <c r="G1931">
        <f>ROUND(G1930+0.1,1)</f>
        <v/>
      </c>
      <c r="H1931">
        <f>G1931=C1931</f>
        <v/>
      </c>
      <c r="I1931">
        <f>TEXT(B1931,"0.00000000000000")</f>
        <v/>
      </c>
    </row>
    <row r="1932">
      <c r="A1932" t="n">
        <v>1925</v>
      </c>
      <c r="B1932">
        <f>B1931+0.1</f>
        <v/>
      </c>
      <c r="C1932">
        <f>A1932/10</f>
        <v/>
      </c>
      <c r="D1932">
        <f>B1932=C1932</f>
        <v/>
      </c>
      <c r="E1932">
        <f>INT(B1932*10)=A1932</f>
        <v/>
      </c>
      <c r="F1932">
        <f>B1932&gt;=C1932</f>
        <v/>
      </c>
      <c r="G1932">
        <f>ROUND(G1931+0.1,1)</f>
        <v/>
      </c>
      <c r="H1932">
        <f>G1932=C1932</f>
        <v/>
      </c>
      <c r="I1932">
        <f>TEXT(B1932,"0.00000000000000")</f>
        <v/>
      </c>
    </row>
    <row r="1933">
      <c r="A1933" t="n">
        <v>1926</v>
      </c>
      <c r="B1933">
        <f>B1932+0.1</f>
        <v/>
      </c>
      <c r="C1933">
        <f>A1933/10</f>
        <v/>
      </c>
      <c r="D1933">
        <f>B1933=C1933</f>
        <v/>
      </c>
      <c r="E1933">
        <f>INT(B1933*10)=A1933</f>
        <v/>
      </c>
      <c r="F1933">
        <f>B1933&gt;=C1933</f>
        <v/>
      </c>
      <c r="G1933">
        <f>ROUND(G1932+0.1,1)</f>
        <v/>
      </c>
      <c r="H1933">
        <f>G1933=C1933</f>
        <v/>
      </c>
      <c r="I1933">
        <f>TEXT(B1933,"0.00000000000000")</f>
        <v/>
      </c>
    </row>
    <row r="1934">
      <c r="A1934" t="n">
        <v>1927</v>
      </c>
      <c r="B1934">
        <f>B1933+0.1</f>
        <v/>
      </c>
      <c r="C1934">
        <f>A1934/10</f>
        <v/>
      </c>
      <c r="D1934">
        <f>B1934=C1934</f>
        <v/>
      </c>
      <c r="E1934">
        <f>INT(B1934*10)=A1934</f>
        <v/>
      </c>
      <c r="F1934">
        <f>B1934&gt;=C1934</f>
        <v/>
      </c>
      <c r="G1934">
        <f>ROUND(G1933+0.1,1)</f>
        <v/>
      </c>
      <c r="H1934">
        <f>G1934=C1934</f>
        <v/>
      </c>
      <c r="I1934">
        <f>TEXT(B1934,"0.00000000000000")</f>
        <v/>
      </c>
    </row>
    <row r="1935">
      <c r="A1935" t="n">
        <v>1928</v>
      </c>
      <c r="B1935">
        <f>B1934+0.1</f>
        <v/>
      </c>
      <c r="C1935">
        <f>A1935/10</f>
        <v/>
      </c>
      <c r="D1935">
        <f>B1935=C1935</f>
        <v/>
      </c>
      <c r="E1935">
        <f>INT(B1935*10)=A1935</f>
        <v/>
      </c>
      <c r="F1935">
        <f>B1935&gt;=C1935</f>
        <v/>
      </c>
      <c r="G1935">
        <f>ROUND(G1934+0.1,1)</f>
        <v/>
      </c>
      <c r="H1935">
        <f>G1935=C1935</f>
        <v/>
      </c>
      <c r="I1935">
        <f>TEXT(B1935,"0.00000000000000")</f>
        <v/>
      </c>
    </row>
    <row r="1936">
      <c r="A1936" t="n">
        <v>1929</v>
      </c>
      <c r="B1936">
        <f>B1935+0.1</f>
        <v/>
      </c>
      <c r="C1936">
        <f>A1936/10</f>
        <v/>
      </c>
      <c r="D1936">
        <f>B1936=C1936</f>
        <v/>
      </c>
      <c r="E1936">
        <f>INT(B1936*10)=A1936</f>
        <v/>
      </c>
      <c r="F1936">
        <f>B1936&gt;=C1936</f>
        <v/>
      </c>
      <c r="G1936">
        <f>ROUND(G1935+0.1,1)</f>
        <v/>
      </c>
      <c r="H1936">
        <f>G1936=C1936</f>
        <v/>
      </c>
      <c r="I1936">
        <f>TEXT(B1936,"0.00000000000000")</f>
        <v/>
      </c>
    </row>
    <row r="1937">
      <c r="A1937" t="n">
        <v>1930</v>
      </c>
      <c r="B1937">
        <f>B1936+0.1</f>
        <v/>
      </c>
      <c r="C1937">
        <f>A1937/10</f>
        <v/>
      </c>
      <c r="D1937">
        <f>B1937=C1937</f>
        <v/>
      </c>
      <c r="E1937">
        <f>INT(B1937*10)=A1937</f>
        <v/>
      </c>
      <c r="F1937">
        <f>B1937&gt;=C1937</f>
        <v/>
      </c>
      <c r="G1937">
        <f>ROUND(G1936+0.1,1)</f>
        <v/>
      </c>
      <c r="H1937">
        <f>G1937=C1937</f>
        <v/>
      </c>
      <c r="I1937">
        <f>TEXT(B1937,"0.00000000000000")</f>
        <v/>
      </c>
    </row>
    <row r="1938">
      <c r="A1938" t="n">
        <v>1931</v>
      </c>
      <c r="B1938">
        <f>B1937+0.1</f>
        <v/>
      </c>
      <c r="C1938">
        <f>A1938/10</f>
        <v/>
      </c>
      <c r="D1938">
        <f>B1938=C1938</f>
        <v/>
      </c>
      <c r="E1938">
        <f>INT(B1938*10)=A1938</f>
        <v/>
      </c>
      <c r="F1938">
        <f>B1938&gt;=C1938</f>
        <v/>
      </c>
      <c r="G1938">
        <f>ROUND(G1937+0.1,1)</f>
        <v/>
      </c>
      <c r="H1938">
        <f>G1938=C1938</f>
        <v/>
      </c>
      <c r="I1938">
        <f>TEXT(B1938,"0.00000000000000")</f>
        <v/>
      </c>
    </row>
    <row r="1939">
      <c r="A1939" t="n">
        <v>1932</v>
      </c>
      <c r="B1939">
        <f>B1938+0.1</f>
        <v/>
      </c>
      <c r="C1939">
        <f>A1939/10</f>
        <v/>
      </c>
      <c r="D1939">
        <f>B1939=C1939</f>
        <v/>
      </c>
      <c r="E1939">
        <f>INT(B1939*10)=A1939</f>
        <v/>
      </c>
      <c r="F1939">
        <f>B1939&gt;=C1939</f>
        <v/>
      </c>
      <c r="G1939">
        <f>ROUND(G1938+0.1,1)</f>
        <v/>
      </c>
      <c r="H1939">
        <f>G1939=C1939</f>
        <v/>
      </c>
      <c r="I1939">
        <f>TEXT(B1939,"0.00000000000000")</f>
        <v/>
      </c>
    </row>
    <row r="1940">
      <c r="A1940" t="n">
        <v>1933</v>
      </c>
      <c r="B1940">
        <f>B1939+0.1</f>
        <v/>
      </c>
      <c r="C1940">
        <f>A1940/10</f>
        <v/>
      </c>
      <c r="D1940">
        <f>B1940=C1940</f>
        <v/>
      </c>
      <c r="E1940">
        <f>INT(B1940*10)=A1940</f>
        <v/>
      </c>
      <c r="F1940">
        <f>B1940&gt;=C1940</f>
        <v/>
      </c>
      <c r="G1940">
        <f>ROUND(G1939+0.1,1)</f>
        <v/>
      </c>
      <c r="H1940">
        <f>G1940=C1940</f>
        <v/>
      </c>
      <c r="I1940">
        <f>TEXT(B1940,"0.00000000000000")</f>
        <v/>
      </c>
    </row>
    <row r="1941">
      <c r="A1941" t="n">
        <v>1934</v>
      </c>
      <c r="B1941">
        <f>B1940+0.1</f>
        <v/>
      </c>
      <c r="C1941">
        <f>A1941/10</f>
        <v/>
      </c>
      <c r="D1941">
        <f>B1941=C1941</f>
        <v/>
      </c>
      <c r="E1941">
        <f>INT(B1941*10)=A1941</f>
        <v/>
      </c>
      <c r="F1941">
        <f>B1941&gt;=C1941</f>
        <v/>
      </c>
      <c r="G1941">
        <f>ROUND(G1940+0.1,1)</f>
        <v/>
      </c>
      <c r="H1941">
        <f>G1941=C1941</f>
        <v/>
      </c>
      <c r="I1941">
        <f>TEXT(B1941,"0.00000000000000")</f>
        <v/>
      </c>
    </row>
    <row r="1942">
      <c r="A1942" t="n">
        <v>1935</v>
      </c>
      <c r="B1942">
        <f>B1941+0.1</f>
        <v/>
      </c>
      <c r="C1942">
        <f>A1942/10</f>
        <v/>
      </c>
      <c r="D1942">
        <f>B1942=C1942</f>
        <v/>
      </c>
      <c r="E1942">
        <f>INT(B1942*10)=A1942</f>
        <v/>
      </c>
      <c r="F1942">
        <f>B1942&gt;=C1942</f>
        <v/>
      </c>
      <c r="G1942">
        <f>ROUND(G1941+0.1,1)</f>
        <v/>
      </c>
      <c r="H1942">
        <f>G1942=C1942</f>
        <v/>
      </c>
      <c r="I1942">
        <f>TEXT(B1942,"0.00000000000000")</f>
        <v/>
      </c>
    </row>
    <row r="1943">
      <c r="A1943" t="n">
        <v>1936</v>
      </c>
      <c r="B1943">
        <f>B1942+0.1</f>
        <v/>
      </c>
      <c r="C1943">
        <f>A1943/10</f>
        <v/>
      </c>
      <c r="D1943">
        <f>B1943=C1943</f>
        <v/>
      </c>
      <c r="E1943">
        <f>INT(B1943*10)=A1943</f>
        <v/>
      </c>
      <c r="F1943">
        <f>B1943&gt;=C1943</f>
        <v/>
      </c>
      <c r="G1943">
        <f>ROUND(G1942+0.1,1)</f>
        <v/>
      </c>
      <c r="H1943">
        <f>G1943=C1943</f>
        <v/>
      </c>
      <c r="I1943">
        <f>TEXT(B1943,"0.00000000000000")</f>
        <v/>
      </c>
    </row>
    <row r="1944">
      <c r="A1944" t="n">
        <v>1937</v>
      </c>
      <c r="B1944">
        <f>B1943+0.1</f>
        <v/>
      </c>
      <c r="C1944">
        <f>A1944/10</f>
        <v/>
      </c>
      <c r="D1944">
        <f>B1944=C1944</f>
        <v/>
      </c>
      <c r="E1944">
        <f>INT(B1944*10)=A1944</f>
        <v/>
      </c>
      <c r="F1944">
        <f>B1944&gt;=C1944</f>
        <v/>
      </c>
      <c r="G1944">
        <f>ROUND(G1943+0.1,1)</f>
        <v/>
      </c>
      <c r="H1944">
        <f>G1944=C1944</f>
        <v/>
      </c>
      <c r="I1944">
        <f>TEXT(B1944,"0.00000000000000")</f>
        <v/>
      </c>
    </row>
    <row r="1945">
      <c r="A1945" t="n">
        <v>1938</v>
      </c>
      <c r="B1945">
        <f>B1944+0.1</f>
        <v/>
      </c>
      <c r="C1945">
        <f>A1945/10</f>
        <v/>
      </c>
      <c r="D1945">
        <f>B1945=C1945</f>
        <v/>
      </c>
      <c r="E1945">
        <f>INT(B1945*10)=A1945</f>
        <v/>
      </c>
      <c r="F1945">
        <f>B1945&gt;=C1945</f>
        <v/>
      </c>
      <c r="G1945">
        <f>ROUND(G1944+0.1,1)</f>
        <v/>
      </c>
      <c r="H1945">
        <f>G1945=C1945</f>
        <v/>
      </c>
      <c r="I1945">
        <f>TEXT(B1945,"0.00000000000000")</f>
        <v/>
      </c>
    </row>
    <row r="1946">
      <c r="A1946" t="n">
        <v>1939</v>
      </c>
      <c r="B1946">
        <f>B1945+0.1</f>
        <v/>
      </c>
      <c r="C1946">
        <f>A1946/10</f>
        <v/>
      </c>
      <c r="D1946">
        <f>B1946=C1946</f>
        <v/>
      </c>
      <c r="E1946">
        <f>INT(B1946*10)=A1946</f>
        <v/>
      </c>
      <c r="F1946">
        <f>B1946&gt;=C1946</f>
        <v/>
      </c>
      <c r="G1946">
        <f>ROUND(G1945+0.1,1)</f>
        <v/>
      </c>
      <c r="H1946">
        <f>G1946=C1946</f>
        <v/>
      </c>
      <c r="I1946">
        <f>TEXT(B1946,"0.00000000000000")</f>
        <v/>
      </c>
    </row>
    <row r="1947">
      <c r="A1947" t="n">
        <v>1940</v>
      </c>
      <c r="B1947">
        <f>B1946+0.1</f>
        <v/>
      </c>
      <c r="C1947">
        <f>A1947/10</f>
        <v/>
      </c>
      <c r="D1947">
        <f>B1947=C1947</f>
        <v/>
      </c>
      <c r="E1947">
        <f>INT(B1947*10)=A1947</f>
        <v/>
      </c>
      <c r="F1947">
        <f>B1947&gt;=C1947</f>
        <v/>
      </c>
      <c r="G1947">
        <f>ROUND(G1946+0.1,1)</f>
        <v/>
      </c>
      <c r="H1947">
        <f>G1947=C1947</f>
        <v/>
      </c>
      <c r="I1947">
        <f>TEXT(B1947,"0.00000000000000")</f>
        <v/>
      </c>
    </row>
    <row r="1948">
      <c r="A1948" t="n">
        <v>1941</v>
      </c>
      <c r="B1948">
        <f>B1947+0.1</f>
        <v/>
      </c>
      <c r="C1948">
        <f>A1948/10</f>
        <v/>
      </c>
      <c r="D1948">
        <f>B1948=C1948</f>
        <v/>
      </c>
      <c r="E1948">
        <f>INT(B1948*10)=A1948</f>
        <v/>
      </c>
      <c r="F1948">
        <f>B1948&gt;=C1948</f>
        <v/>
      </c>
      <c r="G1948">
        <f>ROUND(G1947+0.1,1)</f>
        <v/>
      </c>
      <c r="H1948">
        <f>G1948=C1948</f>
        <v/>
      </c>
      <c r="I1948">
        <f>TEXT(B1948,"0.00000000000000")</f>
        <v/>
      </c>
    </row>
    <row r="1949">
      <c r="A1949" t="n">
        <v>1942</v>
      </c>
      <c r="B1949">
        <f>B1948+0.1</f>
        <v/>
      </c>
      <c r="C1949">
        <f>A1949/10</f>
        <v/>
      </c>
      <c r="D1949">
        <f>B1949=C1949</f>
        <v/>
      </c>
      <c r="E1949">
        <f>INT(B1949*10)=A1949</f>
        <v/>
      </c>
      <c r="F1949">
        <f>B1949&gt;=C1949</f>
        <v/>
      </c>
      <c r="G1949">
        <f>ROUND(G1948+0.1,1)</f>
        <v/>
      </c>
      <c r="H1949">
        <f>G1949=C1949</f>
        <v/>
      </c>
      <c r="I1949">
        <f>TEXT(B1949,"0.00000000000000")</f>
        <v/>
      </c>
    </row>
    <row r="1950">
      <c r="A1950" t="n">
        <v>1943</v>
      </c>
      <c r="B1950">
        <f>B1949+0.1</f>
        <v/>
      </c>
      <c r="C1950">
        <f>A1950/10</f>
        <v/>
      </c>
      <c r="D1950">
        <f>B1950=C1950</f>
        <v/>
      </c>
      <c r="E1950">
        <f>INT(B1950*10)=A1950</f>
        <v/>
      </c>
      <c r="F1950">
        <f>B1950&gt;=C1950</f>
        <v/>
      </c>
      <c r="G1950">
        <f>ROUND(G1949+0.1,1)</f>
        <v/>
      </c>
      <c r="H1950">
        <f>G1950=C1950</f>
        <v/>
      </c>
      <c r="I1950">
        <f>TEXT(B1950,"0.00000000000000")</f>
        <v/>
      </c>
    </row>
    <row r="1951">
      <c r="A1951" t="n">
        <v>1944</v>
      </c>
      <c r="B1951">
        <f>B1950+0.1</f>
        <v/>
      </c>
      <c r="C1951">
        <f>A1951/10</f>
        <v/>
      </c>
      <c r="D1951">
        <f>B1951=C1951</f>
        <v/>
      </c>
      <c r="E1951">
        <f>INT(B1951*10)=A1951</f>
        <v/>
      </c>
      <c r="F1951">
        <f>B1951&gt;=C1951</f>
        <v/>
      </c>
      <c r="G1951">
        <f>ROUND(G1950+0.1,1)</f>
        <v/>
      </c>
      <c r="H1951">
        <f>G1951=C1951</f>
        <v/>
      </c>
      <c r="I1951">
        <f>TEXT(B1951,"0.00000000000000")</f>
        <v/>
      </c>
    </row>
    <row r="1952">
      <c r="A1952" t="n">
        <v>1945</v>
      </c>
      <c r="B1952">
        <f>B1951+0.1</f>
        <v/>
      </c>
      <c r="C1952">
        <f>A1952/10</f>
        <v/>
      </c>
      <c r="D1952">
        <f>B1952=C1952</f>
        <v/>
      </c>
      <c r="E1952">
        <f>INT(B1952*10)=A1952</f>
        <v/>
      </c>
      <c r="F1952">
        <f>B1952&gt;=C1952</f>
        <v/>
      </c>
      <c r="G1952">
        <f>ROUND(G1951+0.1,1)</f>
        <v/>
      </c>
      <c r="H1952">
        <f>G1952=C1952</f>
        <v/>
      </c>
      <c r="I1952">
        <f>TEXT(B1952,"0.00000000000000")</f>
        <v/>
      </c>
    </row>
    <row r="1953">
      <c r="A1953" t="n">
        <v>1946</v>
      </c>
      <c r="B1953">
        <f>B1952+0.1</f>
        <v/>
      </c>
      <c r="C1953">
        <f>A1953/10</f>
        <v/>
      </c>
      <c r="D1953">
        <f>B1953=C1953</f>
        <v/>
      </c>
      <c r="E1953">
        <f>INT(B1953*10)=A1953</f>
        <v/>
      </c>
      <c r="F1953">
        <f>B1953&gt;=C1953</f>
        <v/>
      </c>
      <c r="G1953">
        <f>ROUND(G1952+0.1,1)</f>
        <v/>
      </c>
      <c r="H1953">
        <f>G1953=C1953</f>
        <v/>
      </c>
      <c r="I1953">
        <f>TEXT(B1953,"0.00000000000000")</f>
        <v/>
      </c>
    </row>
    <row r="1954">
      <c r="A1954" t="n">
        <v>1947</v>
      </c>
      <c r="B1954">
        <f>B1953+0.1</f>
        <v/>
      </c>
      <c r="C1954">
        <f>A1954/10</f>
        <v/>
      </c>
      <c r="D1954">
        <f>B1954=C1954</f>
        <v/>
      </c>
      <c r="E1954">
        <f>INT(B1954*10)=A1954</f>
        <v/>
      </c>
      <c r="F1954">
        <f>B1954&gt;=C1954</f>
        <v/>
      </c>
      <c r="G1954">
        <f>ROUND(G1953+0.1,1)</f>
        <v/>
      </c>
      <c r="H1954">
        <f>G1954=C1954</f>
        <v/>
      </c>
      <c r="I1954">
        <f>TEXT(B1954,"0.00000000000000")</f>
        <v/>
      </c>
    </row>
    <row r="1955">
      <c r="A1955" t="n">
        <v>1948</v>
      </c>
      <c r="B1955">
        <f>B1954+0.1</f>
        <v/>
      </c>
      <c r="C1955">
        <f>A1955/10</f>
        <v/>
      </c>
      <c r="D1955">
        <f>B1955=C1955</f>
        <v/>
      </c>
      <c r="E1955">
        <f>INT(B1955*10)=A1955</f>
        <v/>
      </c>
      <c r="F1955">
        <f>B1955&gt;=C1955</f>
        <v/>
      </c>
      <c r="G1955">
        <f>ROUND(G1954+0.1,1)</f>
        <v/>
      </c>
      <c r="H1955">
        <f>G1955=C1955</f>
        <v/>
      </c>
      <c r="I1955">
        <f>TEXT(B1955,"0.00000000000000")</f>
        <v/>
      </c>
    </row>
    <row r="1956">
      <c r="A1956" t="n">
        <v>1949</v>
      </c>
      <c r="B1956">
        <f>B1955+0.1</f>
        <v/>
      </c>
      <c r="C1956">
        <f>A1956/10</f>
        <v/>
      </c>
      <c r="D1956">
        <f>B1956=C1956</f>
        <v/>
      </c>
      <c r="E1956">
        <f>INT(B1956*10)=A1956</f>
        <v/>
      </c>
      <c r="F1956">
        <f>B1956&gt;=C1956</f>
        <v/>
      </c>
      <c r="G1956">
        <f>ROUND(G1955+0.1,1)</f>
        <v/>
      </c>
      <c r="H1956">
        <f>G1956=C1956</f>
        <v/>
      </c>
      <c r="I1956">
        <f>TEXT(B1956,"0.00000000000000")</f>
        <v/>
      </c>
    </row>
    <row r="1957">
      <c r="A1957" t="n">
        <v>1950</v>
      </c>
      <c r="B1957">
        <f>B1956+0.1</f>
        <v/>
      </c>
      <c r="C1957">
        <f>A1957/10</f>
        <v/>
      </c>
      <c r="D1957">
        <f>B1957=C1957</f>
        <v/>
      </c>
      <c r="E1957">
        <f>INT(B1957*10)=A1957</f>
        <v/>
      </c>
      <c r="F1957">
        <f>B1957&gt;=C1957</f>
        <v/>
      </c>
      <c r="G1957">
        <f>ROUND(G1956+0.1,1)</f>
        <v/>
      </c>
      <c r="H1957">
        <f>G1957=C1957</f>
        <v/>
      </c>
      <c r="I1957">
        <f>TEXT(B1957,"0.00000000000000")</f>
        <v/>
      </c>
    </row>
    <row r="1958">
      <c r="A1958" t="n">
        <v>1951</v>
      </c>
      <c r="B1958">
        <f>B1957+0.1</f>
        <v/>
      </c>
      <c r="C1958">
        <f>A1958/10</f>
        <v/>
      </c>
      <c r="D1958">
        <f>B1958=C1958</f>
        <v/>
      </c>
      <c r="E1958">
        <f>INT(B1958*10)=A1958</f>
        <v/>
      </c>
      <c r="F1958">
        <f>B1958&gt;=C1958</f>
        <v/>
      </c>
      <c r="G1958">
        <f>ROUND(G1957+0.1,1)</f>
        <v/>
      </c>
      <c r="H1958">
        <f>G1958=C1958</f>
        <v/>
      </c>
      <c r="I1958">
        <f>TEXT(B1958,"0.00000000000000")</f>
        <v/>
      </c>
    </row>
    <row r="1959">
      <c r="A1959" t="n">
        <v>1952</v>
      </c>
      <c r="B1959">
        <f>B1958+0.1</f>
        <v/>
      </c>
      <c r="C1959">
        <f>A1959/10</f>
        <v/>
      </c>
      <c r="D1959">
        <f>B1959=C1959</f>
        <v/>
      </c>
      <c r="E1959">
        <f>INT(B1959*10)=A1959</f>
        <v/>
      </c>
      <c r="F1959">
        <f>B1959&gt;=C1959</f>
        <v/>
      </c>
      <c r="G1959">
        <f>ROUND(G1958+0.1,1)</f>
        <v/>
      </c>
      <c r="H1959">
        <f>G1959=C1959</f>
        <v/>
      </c>
      <c r="I1959">
        <f>TEXT(B1959,"0.00000000000000")</f>
        <v/>
      </c>
    </row>
    <row r="1960">
      <c r="A1960" t="n">
        <v>1953</v>
      </c>
      <c r="B1960">
        <f>B1959+0.1</f>
        <v/>
      </c>
      <c r="C1960">
        <f>A1960/10</f>
        <v/>
      </c>
      <c r="D1960">
        <f>B1960=C1960</f>
        <v/>
      </c>
      <c r="E1960">
        <f>INT(B1960*10)=A1960</f>
        <v/>
      </c>
      <c r="F1960">
        <f>B1960&gt;=C1960</f>
        <v/>
      </c>
      <c r="G1960">
        <f>ROUND(G1959+0.1,1)</f>
        <v/>
      </c>
      <c r="H1960">
        <f>G1960=C1960</f>
        <v/>
      </c>
      <c r="I1960">
        <f>TEXT(B1960,"0.00000000000000")</f>
        <v/>
      </c>
    </row>
    <row r="1961">
      <c r="A1961" t="n">
        <v>1954</v>
      </c>
      <c r="B1961">
        <f>B1960+0.1</f>
        <v/>
      </c>
      <c r="C1961">
        <f>A1961/10</f>
        <v/>
      </c>
      <c r="D1961">
        <f>B1961=C1961</f>
        <v/>
      </c>
      <c r="E1961">
        <f>INT(B1961*10)=A1961</f>
        <v/>
      </c>
      <c r="F1961">
        <f>B1961&gt;=C1961</f>
        <v/>
      </c>
      <c r="G1961">
        <f>ROUND(G1960+0.1,1)</f>
        <v/>
      </c>
      <c r="H1961">
        <f>G1961=C1961</f>
        <v/>
      </c>
      <c r="I1961">
        <f>TEXT(B1961,"0.00000000000000")</f>
        <v/>
      </c>
    </row>
    <row r="1962">
      <c r="A1962" t="n">
        <v>1955</v>
      </c>
      <c r="B1962">
        <f>B1961+0.1</f>
        <v/>
      </c>
      <c r="C1962">
        <f>A1962/10</f>
        <v/>
      </c>
      <c r="D1962">
        <f>B1962=C1962</f>
        <v/>
      </c>
      <c r="E1962">
        <f>INT(B1962*10)=A1962</f>
        <v/>
      </c>
      <c r="F1962">
        <f>B1962&gt;=C1962</f>
        <v/>
      </c>
      <c r="G1962">
        <f>ROUND(G1961+0.1,1)</f>
        <v/>
      </c>
      <c r="H1962">
        <f>G1962=C1962</f>
        <v/>
      </c>
      <c r="I1962">
        <f>TEXT(B1962,"0.00000000000000")</f>
        <v/>
      </c>
    </row>
    <row r="1963">
      <c r="A1963" t="n">
        <v>1956</v>
      </c>
      <c r="B1963">
        <f>B1962+0.1</f>
        <v/>
      </c>
      <c r="C1963">
        <f>A1963/10</f>
        <v/>
      </c>
      <c r="D1963">
        <f>B1963=C1963</f>
        <v/>
      </c>
      <c r="E1963">
        <f>INT(B1963*10)=A1963</f>
        <v/>
      </c>
      <c r="F1963">
        <f>B1963&gt;=C1963</f>
        <v/>
      </c>
      <c r="G1963">
        <f>ROUND(G1962+0.1,1)</f>
        <v/>
      </c>
      <c r="H1963">
        <f>G1963=C1963</f>
        <v/>
      </c>
      <c r="I1963">
        <f>TEXT(B1963,"0.00000000000000")</f>
        <v/>
      </c>
    </row>
    <row r="1964">
      <c r="A1964" t="n">
        <v>1957</v>
      </c>
      <c r="B1964">
        <f>B1963+0.1</f>
        <v/>
      </c>
      <c r="C1964">
        <f>A1964/10</f>
        <v/>
      </c>
      <c r="D1964">
        <f>B1964=C1964</f>
        <v/>
      </c>
      <c r="E1964">
        <f>INT(B1964*10)=A1964</f>
        <v/>
      </c>
      <c r="F1964">
        <f>B1964&gt;=C1964</f>
        <v/>
      </c>
      <c r="G1964">
        <f>ROUND(G1963+0.1,1)</f>
        <v/>
      </c>
      <c r="H1964">
        <f>G1964=C1964</f>
        <v/>
      </c>
      <c r="I1964">
        <f>TEXT(B1964,"0.00000000000000")</f>
        <v/>
      </c>
    </row>
    <row r="1965">
      <c r="A1965" t="n">
        <v>1958</v>
      </c>
      <c r="B1965">
        <f>B1964+0.1</f>
        <v/>
      </c>
      <c r="C1965">
        <f>A1965/10</f>
        <v/>
      </c>
      <c r="D1965">
        <f>B1965=C1965</f>
        <v/>
      </c>
      <c r="E1965">
        <f>INT(B1965*10)=A1965</f>
        <v/>
      </c>
      <c r="F1965">
        <f>B1965&gt;=C1965</f>
        <v/>
      </c>
      <c r="G1965">
        <f>ROUND(G1964+0.1,1)</f>
        <v/>
      </c>
      <c r="H1965">
        <f>G1965=C1965</f>
        <v/>
      </c>
      <c r="I1965">
        <f>TEXT(B1965,"0.00000000000000")</f>
        <v/>
      </c>
    </row>
    <row r="1966">
      <c r="A1966" t="n">
        <v>1959</v>
      </c>
      <c r="B1966">
        <f>B1965+0.1</f>
        <v/>
      </c>
      <c r="C1966">
        <f>A1966/10</f>
        <v/>
      </c>
      <c r="D1966">
        <f>B1966=C1966</f>
        <v/>
      </c>
      <c r="E1966">
        <f>INT(B1966*10)=A1966</f>
        <v/>
      </c>
      <c r="F1966">
        <f>B1966&gt;=C1966</f>
        <v/>
      </c>
      <c r="G1966">
        <f>ROUND(G1965+0.1,1)</f>
        <v/>
      </c>
      <c r="H1966">
        <f>G1966=C1966</f>
        <v/>
      </c>
      <c r="I1966">
        <f>TEXT(B1966,"0.00000000000000")</f>
        <v/>
      </c>
    </row>
    <row r="1967">
      <c r="A1967" t="n">
        <v>1960</v>
      </c>
      <c r="B1967">
        <f>B1966+0.1</f>
        <v/>
      </c>
      <c r="C1967">
        <f>A1967/10</f>
        <v/>
      </c>
      <c r="D1967">
        <f>B1967=C1967</f>
        <v/>
      </c>
      <c r="E1967">
        <f>INT(B1967*10)=A1967</f>
        <v/>
      </c>
      <c r="F1967">
        <f>B1967&gt;=C1967</f>
        <v/>
      </c>
      <c r="G1967">
        <f>ROUND(G1966+0.1,1)</f>
        <v/>
      </c>
      <c r="H1967">
        <f>G1967=C1967</f>
        <v/>
      </c>
      <c r="I1967">
        <f>TEXT(B1967,"0.00000000000000")</f>
        <v/>
      </c>
    </row>
    <row r="1968">
      <c r="A1968" t="n">
        <v>1961</v>
      </c>
      <c r="B1968">
        <f>B1967+0.1</f>
        <v/>
      </c>
      <c r="C1968">
        <f>A1968/10</f>
        <v/>
      </c>
      <c r="D1968">
        <f>B1968=C1968</f>
        <v/>
      </c>
      <c r="E1968">
        <f>INT(B1968*10)=A1968</f>
        <v/>
      </c>
      <c r="F1968">
        <f>B1968&gt;=C1968</f>
        <v/>
      </c>
      <c r="G1968">
        <f>ROUND(G1967+0.1,1)</f>
        <v/>
      </c>
      <c r="H1968">
        <f>G1968=C1968</f>
        <v/>
      </c>
      <c r="I1968">
        <f>TEXT(B1968,"0.00000000000000")</f>
        <v/>
      </c>
    </row>
    <row r="1969">
      <c r="A1969" t="n">
        <v>1962</v>
      </c>
      <c r="B1969">
        <f>B1968+0.1</f>
        <v/>
      </c>
      <c r="C1969">
        <f>A1969/10</f>
        <v/>
      </c>
      <c r="D1969">
        <f>B1969=C1969</f>
        <v/>
      </c>
      <c r="E1969">
        <f>INT(B1969*10)=A1969</f>
        <v/>
      </c>
      <c r="F1969">
        <f>B1969&gt;=C1969</f>
        <v/>
      </c>
      <c r="G1969">
        <f>ROUND(G1968+0.1,1)</f>
        <v/>
      </c>
      <c r="H1969">
        <f>G1969=C1969</f>
        <v/>
      </c>
      <c r="I1969">
        <f>TEXT(B1969,"0.00000000000000")</f>
        <v/>
      </c>
    </row>
    <row r="1970">
      <c r="A1970" t="n">
        <v>1963</v>
      </c>
      <c r="B1970">
        <f>B1969+0.1</f>
        <v/>
      </c>
      <c r="C1970">
        <f>A1970/10</f>
        <v/>
      </c>
      <c r="D1970">
        <f>B1970=C1970</f>
        <v/>
      </c>
      <c r="E1970">
        <f>INT(B1970*10)=A1970</f>
        <v/>
      </c>
      <c r="F1970">
        <f>B1970&gt;=C1970</f>
        <v/>
      </c>
      <c r="G1970">
        <f>ROUND(G1969+0.1,1)</f>
        <v/>
      </c>
      <c r="H1970">
        <f>G1970=C1970</f>
        <v/>
      </c>
      <c r="I1970">
        <f>TEXT(B1970,"0.00000000000000")</f>
        <v/>
      </c>
    </row>
    <row r="1971">
      <c r="A1971" t="n">
        <v>1964</v>
      </c>
      <c r="B1971">
        <f>B1970+0.1</f>
        <v/>
      </c>
      <c r="C1971">
        <f>A1971/10</f>
        <v/>
      </c>
      <c r="D1971">
        <f>B1971=C1971</f>
        <v/>
      </c>
      <c r="E1971">
        <f>INT(B1971*10)=A1971</f>
        <v/>
      </c>
      <c r="F1971">
        <f>B1971&gt;=C1971</f>
        <v/>
      </c>
      <c r="G1971">
        <f>ROUND(G1970+0.1,1)</f>
        <v/>
      </c>
      <c r="H1971">
        <f>G1971=C1971</f>
        <v/>
      </c>
      <c r="I1971">
        <f>TEXT(B1971,"0.00000000000000")</f>
        <v/>
      </c>
    </row>
    <row r="1972">
      <c r="A1972" t="n">
        <v>1965</v>
      </c>
      <c r="B1972">
        <f>B1971+0.1</f>
        <v/>
      </c>
      <c r="C1972">
        <f>A1972/10</f>
        <v/>
      </c>
      <c r="D1972">
        <f>B1972=C1972</f>
        <v/>
      </c>
      <c r="E1972">
        <f>INT(B1972*10)=A1972</f>
        <v/>
      </c>
      <c r="F1972">
        <f>B1972&gt;=C1972</f>
        <v/>
      </c>
      <c r="G1972">
        <f>ROUND(G1971+0.1,1)</f>
        <v/>
      </c>
      <c r="H1972">
        <f>G1972=C1972</f>
        <v/>
      </c>
      <c r="I1972">
        <f>TEXT(B1972,"0.00000000000000")</f>
        <v/>
      </c>
    </row>
    <row r="1973">
      <c r="A1973" t="n">
        <v>1966</v>
      </c>
      <c r="B1973">
        <f>B1972+0.1</f>
        <v/>
      </c>
      <c r="C1973">
        <f>A1973/10</f>
        <v/>
      </c>
      <c r="D1973">
        <f>B1973=C1973</f>
        <v/>
      </c>
      <c r="E1973">
        <f>INT(B1973*10)=A1973</f>
        <v/>
      </c>
      <c r="F1973">
        <f>B1973&gt;=C1973</f>
        <v/>
      </c>
      <c r="G1973">
        <f>ROUND(G1972+0.1,1)</f>
        <v/>
      </c>
      <c r="H1973">
        <f>G1973=C1973</f>
        <v/>
      </c>
      <c r="I1973">
        <f>TEXT(B1973,"0.00000000000000")</f>
        <v/>
      </c>
    </row>
    <row r="1974">
      <c r="A1974" t="n">
        <v>1967</v>
      </c>
      <c r="B1974">
        <f>B1973+0.1</f>
        <v/>
      </c>
      <c r="C1974">
        <f>A1974/10</f>
        <v/>
      </c>
      <c r="D1974">
        <f>B1974=C1974</f>
        <v/>
      </c>
      <c r="E1974">
        <f>INT(B1974*10)=A1974</f>
        <v/>
      </c>
      <c r="F1974">
        <f>B1974&gt;=C1974</f>
        <v/>
      </c>
      <c r="G1974">
        <f>ROUND(G1973+0.1,1)</f>
        <v/>
      </c>
      <c r="H1974">
        <f>G1974=C1974</f>
        <v/>
      </c>
      <c r="I1974">
        <f>TEXT(B1974,"0.00000000000000")</f>
        <v/>
      </c>
    </row>
    <row r="1975">
      <c r="A1975" t="n">
        <v>1968</v>
      </c>
      <c r="B1975">
        <f>B1974+0.1</f>
        <v/>
      </c>
      <c r="C1975">
        <f>A1975/10</f>
        <v/>
      </c>
      <c r="D1975">
        <f>B1975=C1975</f>
        <v/>
      </c>
      <c r="E1975">
        <f>INT(B1975*10)=A1975</f>
        <v/>
      </c>
      <c r="F1975">
        <f>B1975&gt;=C1975</f>
        <v/>
      </c>
      <c r="G1975">
        <f>ROUND(G1974+0.1,1)</f>
        <v/>
      </c>
      <c r="H1975">
        <f>G1975=C1975</f>
        <v/>
      </c>
      <c r="I1975">
        <f>TEXT(B1975,"0.00000000000000")</f>
        <v/>
      </c>
    </row>
    <row r="1976">
      <c r="A1976" t="n">
        <v>1969</v>
      </c>
      <c r="B1976">
        <f>B1975+0.1</f>
        <v/>
      </c>
      <c r="C1976">
        <f>A1976/10</f>
        <v/>
      </c>
      <c r="D1976">
        <f>B1976=C1976</f>
        <v/>
      </c>
      <c r="E1976">
        <f>INT(B1976*10)=A1976</f>
        <v/>
      </c>
      <c r="F1976">
        <f>B1976&gt;=C1976</f>
        <v/>
      </c>
      <c r="G1976">
        <f>ROUND(G1975+0.1,1)</f>
        <v/>
      </c>
      <c r="H1976">
        <f>G1976=C1976</f>
        <v/>
      </c>
      <c r="I1976">
        <f>TEXT(B1976,"0.00000000000000")</f>
        <v/>
      </c>
    </row>
    <row r="1977">
      <c r="A1977" t="n">
        <v>1970</v>
      </c>
      <c r="B1977">
        <f>B1976+0.1</f>
        <v/>
      </c>
      <c r="C1977">
        <f>A1977/10</f>
        <v/>
      </c>
      <c r="D1977">
        <f>B1977=C1977</f>
        <v/>
      </c>
      <c r="E1977">
        <f>INT(B1977*10)=A1977</f>
        <v/>
      </c>
      <c r="F1977">
        <f>B1977&gt;=C1977</f>
        <v/>
      </c>
      <c r="G1977">
        <f>ROUND(G1976+0.1,1)</f>
        <v/>
      </c>
      <c r="H1977">
        <f>G1977=C1977</f>
        <v/>
      </c>
      <c r="I1977">
        <f>TEXT(B1977,"0.00000000000000")</f>
        <v/>
      </c>
    </row>
    <row r="1978">
      <c r="A1978" t="n">
        <v>1971</v>
      </c>
      <c r="B1978">
        <f>B1977+0.1</f>
        <v/>
      </c>
      <c r="C1978">
        <f>A1978/10</f>
        <v/>
      </c>
      <c r="D1978">
        <f>B1978=C1978</f>
        <v/>
      </c>
      <c r="E1978">
        <f>INT(B1978*10)=A1978</f>
        <v/>
      </c>
      <c r="F1978">
        <f>B1978&gt;=C1978</f>
        <v/>
      </c>
      <c r="G1978">
        <f>ROUND(G1977+0.1,1)</f>
        <v/>
      </c>
      <c r="H1978">
        <f>G1978=C1978</f>
        <v/>
      </c>
      <c r="I1978">
        <f>TEXT(B1978,"0.00000000000000")</f>
        <v/>
      </c>
    </row>
    <row r="1979">
      <c r="A1979" t="n">
        <v>1972</v>
      </c>
      <c r="B1979">
        <f>B1978+0.1</f>
        <v/>
      </c>
      <c r="C1979">
        <f>A1979/10</f>
        <v/>
      </c>
      <c r="D1979">
        <f>B1979=C1979</f>
        <v/>
      </c>
      <c r="E1979">
        <f>INT(B1979*10)=A1979</f>
        <v/>
      </c>
      <c r="F1979">
        <f>B1979&gt;=C1979</f>
        <v/>
      </c>
      <c r="G1979">
        <f>ROUND(G1978+0.1,1)</f>
        <v/>
      </c>
      <c r="H1979">
        <f>G1979=C1979</f>
        <v/>
      </c>
      <c r="I1979">
        <f>TEXT(B1979,"0.00000000000000")</f>
        <v/>
      </c>
    </row>
    <row r="1980">
      <c r="A1980" t="n">
        <v>1973</v>
      </c>
      <c r="B1980">
        <f>B1979+0.1</f>
        <v/>
      </c>
      <c r="C1980">
        <f>A1980/10</f>
        <v/>
      </c>
      <c r="D1980">
        <f>B1980=C1980</f>
        <v/>
      </c>
      <c r="E1980">
        <f>INT(B1980*10)=A1980</f>
        <v/>
      </c>
      <c r="F1980">
        <f>B1980&gt;=C1980</f>
        <v/>
      </c>
      <c r="G1980">
        <f>ROUND(G1979+0.1,1)</f>
        <v/>
      </c>
      <c r="H1980">
        <f>G1980=C1980</f>
        <v/>
      </c>
      <c r="I1980">
        <f>TEXT(B1980,"0.00000000000000")</f>
        <v/>
      </c>
    </row>
    <row r="1981">
      <c r="A1981" t="n">
        <v>1974</v>
      </c>
      <c r="B1981">
        <f>B1980+0.1</f>
        <v/>
      </c>
      <c r="C1981">
        <f>A1981/10</f>
        <v/>
      </c>
      <c r="D1981">
        <f>B1981=C1981</f>
        <v/>
      </c>
      <c r="E1981">
        <f>INT(B1981*10)=A1981</f>
        <v/>
      </c>
      <c r="F1981">
        <f>B1981&gt;=C1981</f>
        <v/>
      </c>
      <c r="G1981">
        <f>ROUND(G1980+0.1,1)</f>
        <v/>
      </c>
      <c r="H1981">
        <f>G1981=C1981</f>
        <v/>
      </c>
      <c r="I1981">
        <f>TEXT(B1981,"0.00000000000000")</f>
        <v/>
      </c>
    </row>
    <row r="1982">
      <c r="A1982" t="n">
        <v>1975</v>
      </c>
      <c r="B1982">
        <f>B1981+0.1</f>
        <v/>
      </c>
      <c r="C1982">
        <f>A1982/10</f>
        <v/>
      </c>
      <c r="D1982">
        <f>B1982=C1982</f>
        <v/>
      </c>
      <c r="E1982">
        <f>INT(B1982*10)=A1982</f>
        <v/>
      </c>
      <c r="F1982">
        <f>B1982&gt;=C1982</f>
        <v/>
      </c>
      <c r="G1982">
        <f>ROUND(G1981+0.1,1)</f>
        <v/>
      </c>
      <c r="H1982">
        <f>G1982=C1982</f>
        <v/>
      </c>
      <c r="I1982">
        <f>TEXT(B1982,"0.00000000000000")</f>
        <v/>
      </c>
    </row>
    <row r="1983">
      <c r="A1983" t="n">
        <v>1976</v>
      </c>
      <c r="B1983">
        <f>B1982+0.1</f>
        <v/>
      </c>
      <c r="C1983">
        <f>A1983/10</f>
        <v/>
      </c>
      <c r="D1983">
        <f>B1983=C1983</f>
        <v/>
      </c>
      <c r="E1983">
        <f>INT(B1983*10)=A1983</f>
        <v/>
      </c>
      <c r="F1983">
        <f>B1983&gt;=C1983</f>
        <v/>
      </c>
      <c r="G1983">
        <f>ROUND(G1982+0.1,1)</f>
        <v/>
      </c>
      <c r="H1983">
        <f>G1983=C1983</f>
        <v/>
      </c>
      <c r="I1983">
        <f>TEXT(B1983,"0.00000000000000")</f>
        <v/>
      </c>
    </row>
    <row r="1984">
      <c r="A1984" t="n">
        <v>1977</v>
      </c>
      <c r="B1984">
        <f>B1983+0.1</f>
        <v/>
      </c>
      <c r="C1984">
        <f>A1984/10</f>
        <v/>
      </c>
      <c r="D1984">
        <f>B1984=C1984</f>
        <v/>
      </c>
      <c r="E1984">
        <f>INT(B1984*10)=A1984</f>
        <v/>
      </c>
      <c r="F1984">
        <f>B1984&gt;=C1984</f>
        <v/>
      </c>
      <c r="G1984">
        <f>ROUND(G1983+0.1,1)</f>
        <v/>
      </c>
      <c r="H1984">
        <f>G1984=C1984</f>
        <v/>
      </c>
      <c r="I1984">
        <f>TEXT(B1984,"0.00000000000000")</f>
        <v/>
      </c>
    </row>
    <row r="1985">
      <c r="A1985" t="n">
        <v>1978</v>
      </c>
      <c r="B1985">
        <f>B1984+0.1</f>
        <v/>
      </c>
      <c r="C1985">
        <f>A1985/10</f>
        <v/>
      </c>
      <c r="D1985">
        <f>B1985=C1985</f>
        <v/>
      </c>
      <c r="E1985">
        <f>INT(B1985*10)=A1985</f>
        <v/>
      </c>
      <c r="F1985">
        <f>B1985&gt;=C1985</f>
        <v/>
      </c>
      <c r="G1985">
        <f>ROUND(G1984+0.1,1)</f>
        <v/>
      </c>
      <c r="H1985">
        <f>G1985=C1985</f>
        <v/>
      </c>
      <c r="I1985">
        <f>TEXT(B1985,"0.00000000000000")</f>
        <v/>
      </c>
    </row>
    <row r="1986">
      <c r="A1986" t="n">
        <v>1979</v>
      </c>
      <c r="B1986">
        <f>B1985+0.1</f>
        <v/>
      </c>
      <c r="C1986">
        <f>A1986/10</f>
        <v/>
      </c>
      <c r="D1986">
        <f>B1986=C1986</f>
        <v/>
      </c>
      <c r="E1986">
        <f>INT(B1986*10)=A1986</f>
        <v/>
      </c>
      <c r="F1986">
        <f>B1986&gt;=C1986</f>
        <v/>
      </c>
      <c r="G1986">
        <f>ROUND(G1985+0.1,1)</f>
        <v/>
      </c>
      <c r="H1986">
        <f>G1986=C1986</f>
        <v/>
      </c>
      <c r="I1986">
        <f>TEXT(B1986,"0.00000000000000")</f>
        <v/>
      </c>
    </row>
    <row r="1987">
      <c r="A1987" t="n">
        <v>1980</v>
      </c>
      <c r="B1987">
        <f>B1986+0.1</f>
        <v/>
      </c>
      <c r="C1987">
        <f>A1987/10</f>
        <v/>
      </c>
      <c r="D1987">
        <f>B1987=C1987</f>
        <v/>
      </c>
      <c r="E1987">
        <f>INT(B1987*10)=A1987</f>
        <v/>
      </c>
      <c r="F1987">
        <f>B1987&gt;=C1987</f>
        <v/>
      </c>
      <c r="G1987">
        <f>ROUND(G1986+0.1,1)</f>
        <v/>
      </c>
      <c r="H1987">
        <f>G1987=C1987</f>
        <v/>
      </c>
      <c r="I1987">
        <f>TEXT(B1987,"0.00000000000000")</f>
        <v/>
      </c>
    </row>
    <row r="1988">
      <c r="A1988" t="n">
        <v>1981</v>
      </c>
      <c r="B1988">
        <f>B1987+0.1</f>
        <v/>
      </c>
      <c r="C1988">
        <f>A1988/10</f>
        <v/>
      </c>
      <c r="D1988">
        <f>B1988=C1988</f>
        <v/>
      </c>
      <c r="E1988">
        <f>INT(B1988*10)=A1988</f>
        <v/>
      </c>
      <c r="F1988">
        <f>B1988&gt;=C1988</f>
        <v/>
      </c>
      <c r="G1988">
        <f>ROUND(G1987+0.1,1)</f>
        <v/>
      </c>
      <c r="H1988">
        <f>G1988=C1988</f>
        <v/>
      </c>
      <c r="I1988">
        <f>TEXT(B1988,"0.00000000000000")</f>
        <v/>
      </c>
    </row>
    <row r="1989">
      <c r="A1989" t="n">
        <v>1982</v>
      </c>
      <c r="B1989">
        <f>B1988+0.1</f>
        <v/>
      </c>
      <c r="C1989">
        <f>A1989/10</f>
        <v/>
      </c>
      <c r="D1989">
        <f>B1989=C1989</f>
        <v/>
      </c>
      <c r="E1989">
        <f>INT(B1989*10)=A1989</f>
        <v/>
      </c>
      <c r="F1989">
        <f>B1989&gt;=C1989</f>
        <v/>
      </c>
      <c r="G1989">
        <f>ROUND(G1988+0.1,1)</f>
        <v/>
      </c>
      <c r="H1989">
        <f>G1989=C1989</f>
        <v/>
      </c>
      <c r="I1989">
        <f>TEXT(B1989,"0.00000000000000")</f>
        <v/>
      </c>
    </row>
    <row r="1990">
      <c r="A1990" t="n">
        <v>1983</v>
      </c>
      <c r="B1990">
        <f>B1989+0.1</f>
        <v/>
      </c>
      <c r="C1990">
        <f>A1990/10</f>
        <v/>
      </c>
      <c r="D1990">
        <f>B1990=C1990</f>
        <v/>
      </c>
      <c r="E1990">
        <f>INT(B1990*10)=A1990</f>
        <v/>
      </c>
      <c r="F1990">
        <f>B1990&gt;=C1990</f>
        <v/>
      </c>
      <c r="G1990">
        <f>ROUND(G1989+0.1,1)</f>
        <v/>
      </c>
      <c r="H1990">
        <f>G1990=C1990</f>
        <v/>
      </c>
      <c r="I1990">
        <f>TEXT(B1990,"0.00000000000000")</f>
        <v/>
      </c>
    </row>
    <row r="1991">
      <c r="A1991" t="n">
        <v>1984</v>
      </c>
      <c r="B1991">
        <f>B1990+0.1</f>
        <v/>
      </c>
      <c r="C1991">
        <f>A1991/10</f>
        <v/>
      </c>
      <c r="D1991">
        <f>B1991=C1991</f>
        <v/>
      </c>
      <c r="E1991">
        <f>INT(B1991*10)=A1991</f>
        <v/>
      </c>
      <c r="F1991">
        <f>B1991&gt;=C1991</f>
        <v/>
      </c>
      <c r="G1991">
        <f>ROUND(G1990+0.1,1)</f>
        <v/>
      </c>
      <c r="H1991">
        <f>G1991=C1991</f>
        <v/>
      </c>
      <c r="I1991">
        <f>TEXT(B1991,"0.00000000000000")</f>
        <v/>
      </c>
    </row>
    <row r="1992">
      <c r="A1992" t="n">
        <v>1985</v>
      </c>
      <c r="B1992">
        <f>B1991+0.1</f>
        <v/>
      </c>
      <c r="C1992">
        <f>A1992/10</f>
        <v/>
      </c>
      <c r="D1992">
        <f>B1992=C1992</f>
        <v/>
      </c>
      <c r="E1992">
        <f>INT(B1992*10)=A1992</f>
        <v/>
      </c>
      <c r="F1992">
        <f>B1992&gt;=C1992</f>
        <v/>
      </c>
      <c r="G1992">
        <f>ROUND(G1991+0.1,1)</f>
        <v/>
      </c>
      <c r="H1992">
        <f>G1992=C1992</f>
        <v/>
      </c>
      <c r="I1992">
        <f>TEXT(B1992,"0.00000000000000")</f>
        <v/>
      </c>
    </row>
    <row r="1993">
      <c r="A1993" t="n">
        <v>1986</v>
      </c>
      <c r="B1993">
        <f>B1992+0.1</f>
        <v/>
      </c>
      <c r="C1993">
        <f>A1993/10</f>
        <v/>
      </c>
      <c r="D1993">
        <f>B1993=C1993</f>
        <v/>
      </c>
      <c r="E1993">
        <f>INT(B1993*10)=A1993</f>
        <v/>
      </c>
      <c r="F1993">
        <f>B1993&gt;=C1993</f>
        <v/>
      </c>
      <c r="G1993">
        <f>ROUND(G1992+0.1,1)</f>
        <v/>
      </c>
      <c r="H1993">
        <f>G1993=C1993</f>
        <v/>
      </c>
      <c r="I1993">
        <f>TEXT(B1993,"0.00000000000000")</f>
        <v/>
      </c>
    </row>
    <row r="1994">
      <c r="A1994" t="n">
        <v>1987</v>
      </c>
      <c r="B1994">
        <f>B1993+0.1</f>
        <v/>
      </c>
      <c r="C1994">
        <f>A1994/10</f>
        <v/>
      </c>
      <c r="D1994">
        <f>B1994=C1994</f>
        <v/>
      </c>
      <c r="E1994">
        <f>INT(B1994*10)=A1994</f>
        <v/>
      </c>
      <c r="F1994">
        <f>B1994&gt;=C1994</f>
        <v/>
      </c>
      <c r="G1994">
        <f>ROUND(G1993+0.1,1)</f>
        <v/>
      </c>
      <c r="H1994">
        <f>G1994=C1994</f>
        <v/>
      </c>
      <c r="I1994">
        <f>TEXT(B1994,"0.00000000000000")</f>
        <v/>
      </c>
    </row>
    <row r="1995">
      <c r="A1995" t="n">
        <v>1988</v>
      </c>
      <c r="B1995">
        <f>B1994+0.1</f>
        <v/>
      </c>
      <c r="C1995">
        <f>A1995/10</f>
        <v/>
      </c>
      <c r="D1995">
        <f>B1995=C1995</f>
        <v/>
      </c>
      <c r="E1995">
        <f>INT(B1995*10)=A1995</f>
        <v/>
      </c>
      <c r="F1995">
        <f>B1995&gt;=C1995</f>
        <v/>
      </c>
      <c r="G1995">
        <f>ROUND(G1994+0.1,1)</f>
        <v/>
      </c>
      <c r="H1995">
        <f>G1995=C1995</f>
        <v/>
      </c>
      <c r="I1995">
        <f>TEXT(B1995,"0.00000000000000")</f>
        <v/>
      </c>
    </row>
    <row r="1996">
      <c r="A1996" t="n">
        <v>1989</v>
      </c>
      <c r="B1996">
        <f>B1995+0.1</f>
        <v/>
      </c>
      <c r="C1996">
        <f>A1996/10</f>
        <v/>
      </c>
      <c r="D1996">
        <f>B1996=C1996</f>
        <v/>
      </c>
      <c r="E1996">
        <f>INT(B1996*10)=A1996</f>
        <v/>
      </c>
      <c r="F1996">
        <f>B1996&gt;=C1996</f>
        <v/>
      </c>
      <c r="G1996">
        <f>ROUND(G1995+0.1,1)</f>
        <v/>
      </c>
      <c r="H1996">
        <f>G1996=C1996</f>
        <v/>
      </c>
      <c r="I1996">
        <f>TEXT(B1996,"0.00000000000000")</f>
        <v/>
      </c>
    </row>
    <row r="1997">
      <c r="A1997" t="n">
        <v>1990</v>
      </c>
      <c r="B1997">
        <f>B1996+0.1</f>
        <v/>
      </c>
      <c r="C1997">
        <f>A1997/10</f>
        <v/>
      </c>
      <c r="D1997">
        <f>B1997=C1997</f>
        <v/>
      </c>
      <c r="E1997">
        <f>INT(B1997*10)=A1997</f>
        <v/>
      </c>
      <c r="F1997">
        <f>B1997&gt;=C1997</f>
        <v/>
      </c>
      <c r="G1997">
        <f>ROUND(G1996+0.1,1)</f>
        <v/>
      </c>
      <c r="H1997">
        <f>G1997=C1997</f>
        <v/>
      </c>
      <c r="I1997">
        <f>TEXT(B1997,"0.00000000000000")</f>
        <v/>
      </c>
    </row>
    <row r="1998">
      <c r="A1998" t="n">
        <v>1991</v>
      </c>
      <c r="B1998">
        <f>B1997+0.1</f>
        <v/>
      </c>
      <c r="C1998">
        <f>A1998/10</f>
        <v/>
      </c>
      <c r="D1998">
        <f>B1998=C1998</f>
        <v/>
      </c>
      <c r="E1998">
        <f>INT(B1998*10)=A1998</f>
        <v/>
      </c>
      <c r="F1998">
        <f>B1998&gt;=C1998</f>
        <v/>
      </c>
      <c r="G1998">
        <f>ROUND(G1997+0.1,1)</f>
        <v/>
      </c>
      <c r="H1998">
        <f>G1998=C1998</f>
        <v/>
      </c>
      <c r="I1998">
        <f>TEXT(B1998,"0.00000000000000")</f>
        <v/>
      </c>
    </row>
    <row r="1999">
      <c r="A1999" t="n">
        <v>1992</v>
      </c>
      <c r="B1999">
        <f>B1998+0.1</f>
        <v/>
      </c>
      <c r="C1999">
        <f>A1999/10</f>
        <v/>
      </c>
      <c r="D1999">
        <f>B1999=C1999</f>
        <v/>
      </c>
      <c r="E1999">
        <f>INT(B1999*10)=A1999</f>
        <v/>
      </c>
      <c r="F1999">
        <f>B1999&gt;=C1999</f>
        <v/>
      </c>
      <c r="G1999">
        <f>ROUND(G1998+0.1,1)</f>
        <v/>
      </c>
      <c r="H1999">
        <f>G1999=C1999</f>
        <v/>
      </c>
      <c r="I1999">
        <f>TEXT(B1999,"0.00000000000000")</f>
        <v/>
      </c>
    </row>
    <row r="2000">
      <c r="A2000" t="n">
        <v>1993</v>
      </c>
      <c r="B2000">
        <f>B1999+0.1</f>
        <v/>
      </c>
      <c r="C2000">
        <f>A2000/10</f>
        <v/>
      </c>
      <c r="D2000">
        <f>B2000=C2000</f>
        <v/>
      </c>
      <c r="E2000">
        <f>INT(B2000*10)=A2000</f>
        <v/>
      </c>
      <c r="F2000">
        <f>B2000&gt;=C2000</f>
        <v/>
      </c>
      <c r="G2000">
        <f>ROUND(G1999+0.1,1)</f>
        <v/>
      </c>
      <c r="H2000">
        <f>G2000=C2000</f>
        <v/>
      </c>
      <c r="I2000">
        <f>TEXT(B2000,"0.00000000000000")</f>
        <v/>
      </c>
    </row>
    <row r="2001">
      <c r="A2001" t="n">
        <v>1994</v>
      </c>
      <c r="B2001">
        <f>B2000+0.1</f>
        <v/>
      </c>
      <c r="C2001">
        <f>A2001/10</f>
        <v/>
      </c>
      <c r="D2001">
        <f>B2001=C2001</f>
        <v/>
      </c>
      <c r="E2001">
        <f>INT(B2001*10)=A2001</f>
        <v/>
      </c>
      <c r="F2001">
        <f>B2001&gt;=C2001</f>
        <v/>
      </c>
      <c r="G2001">
        <f>ROUND(G2000+0.1,1)</f>
        <v/>
      </c>
      <c r="H2001">
        <f>G2001=C2001</f>
        <v/>
      </c>
      <c r="I2001">
        <f>TEXT(B2001,"0.00000000000000")</f>
        <v/>
      </c>
    </row>
    <row r="2002">
      <c r="A2002" t="n">
        <v>1995</v>
      </c>
      <c r="B2002">
        <f>B2001+0.1</f>
        <v/>
      </c>
      <c r="C2002">
        <f>A2002/10</f>
        <v/>
      </c>
      <c r="D2002">
        <f>B2002=C2002</f>
        <v/>
      </c>
      <c r="E2002">
        <f>INT(B2002*10)=A2002</f>
        <v/>
      </c>
      <c r="F2002">
        <f>B2002&gt;=C2002</f>
        <v/>
      </c>
      <c r="G2002">
        <f>ROUND(G2001+0.1,1)</f>
        <v/>
      </c>
      <c r="H2002">
        <f>G2002=C2002</f>
        <v/>
      </c>
      <c r="I2002">
        <f>TEXT(B2002,"0.00000000000000")</f>
        <v/>
      </c>
    </row>
    <row r="2003">
      <c r="A2003" t="n">
        <v>1996</v>
      </c>
      <c r="B2003">
        <f>B2002+0.1</f>
        <v/>
      </c>
      <c r="C2003">
        <f>A2003/10</f>
        <v/>
      </c>
      <c r="D2003">
        <f>B2003=C2003</f>
        <v/>
      </c>
      <c r="E2003">
        <f>INT(B2003*10)=A2003</f>
        <v/>
      </c>
      <c r="F2003">
        <f>B2003&gt;=C2003</f>
        <v/>
      </c>
      <c r="G2003">
        <f>ROUND(G2002+0.1,1)</f>
        <v/>
      </c>
      <c r="H2003">
        <f>G2003=C2003</f>
        <v/>
      </c>
      <c r="I2003">
        <f>TEXT(B2003,"0.00000000000000")</f>
        <v/>
      </c>
    </row>
    <row r="2004">
      <c r="A2004" t="n">
        <v>1997</v>
      </c>
      <c r="B2004">
        <f>B2003+0.1</f>
        <v/>
      </c>
      <c r="C2004">
        <f>A2004/10</f>
        <v/>
      </c>
      <c r="D2004">
        <f>B2004=C2004</f>
        <v/>
      </c>
      <c r="E2004">
        <f>INT(B2004*10)=A2004</f>
        <v/>
      </c>
      <c r="F2004">
        <f>B2004&gt;=C2004</f>
        <v/>
      </c>
      <c r="G2004">
        <f>ROUND(G2003+0.1,1)</f>
        <v/>
      </c>
      <c r="H2004">
        <f>G2004=C2004</f>
        <v/>
      </c>
      <c r="I2004">
        <f>TEXT(B2004,"0.00000000000000")</f>
        <v/>
      </c>
    </row>
    <row r="2005">
      <c r="A2005" t="n">
        <v>1998</v>
      </c>
      <c r="B2005">
        <f>B2004+0.1</f>
        <v/>
      </c>
      <c r="C2005">
        <f>A2005/10</f>
        <v/>
      </c>
      <c r="D2005">
        <f>B2005=C2005</f>
        <v/>
      </c>
      <c r="E2005">
        <f>INT(B2005*10)=A2005</f>
        <v/>
      </c>
      <c r="F2005">
        <f>B2005&gt;=C2005</f>
        <v/>
      </c>
      <c r="G2005">
        <f>ROUND(G2004+0.1,1)</f>
        <v/>
      </c>
      <c r="H2005">
        <f>G2005=C2005</f>
        <v/>
      </c>
      <c r="I2005">
        <f>TEXT(B2005,"0.00000000000000")</f>
        <v/>
      </c>
    </row>
    <row r="2006">
      <c r="A2006" t="n">
        <v>1999</v>
      </c>
      <c r="B2006">
        <f>B2005+0.1</f>
        <v/>
      </c>
      <c r="C2006">
        <f>A2006/10</f>
        <v/>
      </c>
      <c r="D2006">
        <f>B2006=C2006</f>
        <v/>
      </c>
      <c r="E2006">
        <f>INT(B2006*10)=A2006</f>
        <v/>
      </c>
      <c r="F2006">
        <f>B2006&gt;=C2006</f>
        <v/>
      </c>
      <c r="G2006">
        <f>ROUND(G2005+0.1,1)</f>
        <v/>
      </c>
      <c r="H2006">
        <f>G2006=C2006</f>
        <v/>
      </c>
      <c r="I2006">
        <f>TEXT(B2006,"0.00000000000000")</f>
        <v/>
      </c>
    </row>
    <row r="2007">
      <c r="A2007" t="n">
        <v>2000</v>
      </c>
      <c r="B2007">
        <f>B2006+0.1</f>
        <v/>
      </c>
      <c r="C2007">
        <f>A2007/10</f>
        <v/>
      </c>
      <c r="D2007">
        <f>B2007=C2007</f>
        <v/>
      </c>
      <c r="E2007">
        <f>INT(B2007*10)=A2007</f>
        <v/>
      </c>
      <c r="F2007">
        <f>B2007&gt;=C2007</f>
        <v/>
      </c>
      <c r="G2007">
        <f>ROUND(G2006+0.1,1)</f>
        <v/>
      </c>
      <c r="H2007">
        <f>G2007=C2007</f>
        <v/>
      </c>
      <c r="I2007">
        <f>TEXT(B2007,"0.00000000000000")</f>
        <v/>
      </c>
    </row>
  </sheetData>
  <conditionalFormatting sqref="D8:F2007">
    <cfRule type="expression" priority="1" dxfId="0">
      <formula>D8=FALSE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W2011"/>
  <sheetViews>
    <sheetView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10" customWidth="1" min="1" max="1"/>
    <col width="20" customWidth="1" min="2" max="2"/>
    <col width="26" customWidth="1" min="3" max="3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</cols>
  <sheetData>
    <row r="1">
      <c r="A1" s="1" t="inlineStr">
        <is>
          <t>足す数を変えて2,000回ずつ足す。何回目で = が合わなくなるか</t>
        </is>
      </c>
    </row>
    <row r="2">
      <c r="A2" t="inlineStr">
        <is>
          <t>Microsoft 365のExcel（バージョン16）、Windows 11で確認、2026年10月6日。正しい値は ROUND(回数×足す数,10) で出している</t>
        </is>
      </c>
    </row>
    <row r="4">
      <c r="A4" s="5" t="inlineStr">
        <is>
          <t>足す数</t>
        </is>
      </c>
      <c r="B4" s="5" t="inlineStr">
        <is>
          <t>最初に合わなくなる回</t>
        </is>
      </c>
      <c r="C4" s="5" t="inlineStr">
        <is>
          <t>2,000回のうち合わない回数</t>
        </is>
      </c>
    </row>
    <row r="5">
      <c r="A5" s="14" t="n">
        <v>0.1</v>
      </c>
      <c r="B5" s="11">
        <f>IFERROR(MATCH(FALSE,E12:E2011,0),"なし")</f>
        <v/>
      </c>
      <c r="C5" s="11">
        <f>COUNTIF(E12:E2011,FALSE)</f>
        <v/>
      </c>
    </row>
    <row r="6">
      <c r="A6" s="14" t="n">
        <v>0.2</v>
      </c>
      <c r="B6" s="11">
        <f>IFERROR(MATCH(FALSE,F12:F2011,0),"なし")</f>
        <v/>
      </c>
      <c r="C6" s="11">
        <f>COUNTIF(F12:F2011,FALSE)</f>
        <v/>
      </c>
    </row>
    <row r="7">
      <c r="A7" s="14" t="n">
        <v>0.3</v>
      </c>
      <c r="B7" s="11">
        <f>IFERROR(MATCH(FALSE,G12:G2011,0),"なし")</f>
        <v/>
      </c>
      <c r="C7" s="11">
        <f>COUNTIF(G12:G2011,FALSE)</f>
        <v/>
      </c>
    </row>
    <row r="8">
      <c r="A8" s="14" t="n">
        <v>0.05</v>
      </c>
      <c r="B8" s="11">
        <f>IFERROR(MATCH(FALSE,H12:H2011,0),"なし")</f>
        <v/>
      </c>
      <c r="C8" s="11">
        <f>COUNTIF(H12:H2011,FALSE)</f>
        <v/>
      </c>
    </row>
    <row r="9">
      <c r="A9" s="14" t="n">
        <v>0.01</v>
      </c>
      <c r="B9" s="11">
        <f>IFERROR(MATCH(FALSE,I12:I2011,0),"なし")</f>
        <v/>
      </c>
      <c r="C9" s="11">
        <f>COUNTIF(I12:I2011,FALSE)</f>
        <v/>
      </c>
    </row>
    <row r="10">
      <c r="A10" s="14" t="n">
        <v>0.7</v>
      </c>
      <c r="B10" s="11">
        <f>IFERROR(MATCH(FALSE,J12:J2011,0),"なし")</f>
        <v/>
      </c>
      <c r="C10" s="11">
        <f>COUNTIF(J12:J2011,FALSE)</f>
        <v/>
      </c>
      <c r="E10" t="inlineStr">
        <is>
          <t>判定（TRUEなら合っている）と累計。行は1回目から2,000回目まで</t>
        </is>
      </c>
    </row>
    <row r="11">
      <c r="A11" s="14" t="n">
        <v>1.1</v>
      </c>
      <c r="B11" s="11">
        <f>IFERROR(MATCH(FALSE,K12:K2011,0),"なし")</f>
        <v/>
      </c>
      <c r="C11" s="11">
        <f>COUNTIF(K12:K2011,FALSE)</f>
        <v/>
      </c>
      <c r="E11" s="5" t="inlineStr">
        <is>
          <t>0.1の判定</t>
        </is>
      </c>
      <c r="F11" s="5" t="inlineStr">
        <is>
          <t>0.2の判定</t>
        </is>
      </c>
      <c r="G11" s="5" t="inlineStr">
        <is>
          <t>0.3の判定</t>
        </is>
      </c>
      <c r="H11" s="5" t="inlineStr">
        <is>
          <t>0.05の判定</t>
        </is>
      </c>
      <c r="I11" s="5" t="inlineStr">
        <is>
          <t>0.01の判定</t>
        </is>
      </c>
      <c r="J11" s="5" t="inlineStr">
        <is>
          <t>0.7の判定</t>
        </is>
      </c>
      <c r="K11" s="5" t="inlineStr">
        <is>
          <t>1.1の判定</t>
        </is>
      </c>
      <c r="L11" s="5" t="inlineStr">
        <is>
          <t>0.25の判定</t>
        </is>
      </c>
      <c r="M11" s="5" t="inlineStr">
        <is>
          <t>0.5の判定</t>
        </is>
      </c>
      <c r="O11" s="5" t="inlineStr">
        <is>
          <t>0.1の累計</t>
        </is>
      </c>
      <c r="P11" s="5" t="inlineStr">
        <is>
          <t>0.2の累計</t>
        </is>
      </c>
      <c r="Q11" s="5" t="inlineStr">
        <is>
          <t>0.3の累計</t>
        </is>
      </c>
      <c r="R11" s="5" t="inlineStr">
        <is>
          <t>0.05の累計</t>
        </is>
      </c>
      <c r="S11" s="5" t="inlineStr">
        <is>
          <t>0.01の累計</t>
        </is>
      </c>
      <c r="T11" s="5" t="inlineStr">
        <is>
          <t>0.7の累計</t>
        </is>
      </c>
      <c r="U11" s="5" t="inlineStr">
        <is>
          <t>1.1の累計</t>
        </is>
      </c>
      <c r="V11" s="5" t="inlineStr">
        <is>
          <t>0.25の累計</t>
        </is>
      </c>
      <c r="W11" s="5" t="inlineStr">
        <is>
          <t>0.5の累計</t>
        </is>
      </c>
    </row>
    <row r="12">
      <c r="A12" s="14" t="n">
        <v>0.25</v>
      </c>
      <c r="B12" s="11">
        <f>IFERROR(MATCH(FALSE,L12:L2011,0),"なし")</f>
        <v/>
      </c>
      <c r="C12" s="11">
        <f>COUNTIF(L12:L2011,FALSE)</f>
        <v/>
      </c>
      <c r="E12">
        <f>O12=ROUND(1*0.1,10)</f>
        <v/>
      </c>
      <c r="F12">
        <f>P12=ROUND(1*0.2,10)</f>
        <v/>
      </c>
      <c r="G12">
        <f>Q12=ROUND(1*0.3,10)</f>
        <v/>
      </c>
      <c r="H12">
        <f>R12=ROUND(1*0.05,10)</f>
        <v/>
      </c>
      <c r="I12">
        <f>S12=ROUND(1*0.01,10)</f>
        <v/>
      </c>
      <c r="J12">
        <f>T12=ROUND(1*0.7,10)</f>
        <v/>
      </c>
      <c r="K12">
        <f>U12=ROUND(1*1.1,10)</f>
        <v/>
      </c>
      <c r="L12">
        <f>V12=ROUND(1*0.25,10)</f>
        <v/>
      </c>
      <c r="M12">
        <f>W12=ROUND(1*0.5,10)</f>
        <v/>
      </c>
      <c r="O12">
        <f>0.1</f>
        <v/>
      </c>
      <c r="P12">
        <f>0.2</f>
        <v/>
      </c>
      <c r="Q12">
        <f>0.3</f>
        <v/>
      </c>
      <c r="R12">
        <f>0.05</f>
        <v/>
      </c>
      <c r="S12">
        <f>0.01</f>
        <v/>
      </c>
      <c r="T12">
        <f>0.7</f>
        <v/>
      </c>
      <c r="U12">
        <f>1.1</f>
        <v/>
      </c>
      <c r="V12">
        <f>0.25</f>
        <v/>
      </c>
      <c r="W12">
        <f>0.5</f>
        <v/>
      </c>
    </row>
    <row r="13">
      <c r="A13" s="14" t="n">
        <v>0.5</v>
      </c>
      <c r="B13" s="11">
        <f>IFERROR(MATCH(FALSE,M12:M2011,0),"なし")</f>
        <v/>
      </c>
      <c r="C13" s="11">
        <f>COUNTIF(M12:M2011,FALSE)</f>
        <v/>
      </c>
      <c r="E13">
        <f>O13=ROUND(2*0.1,10)</f>
        <v/>
      </c>
      <c r="F13">
        <f>P13=ROUND(2*0.2,10)</f>
        <v/>
      </c>
      <c r="G13">
        <f>Q13=ROUND(2*0.3,10)</f>
        <v/>
      </c>
      <c r="H13">
        <f>R13=ROUND(2*0.05,10)</f>
        <v/>
      </c>
      <c r="I13">
        <f>S13=ROUND(2*0.01,10)</f>
        <v/>
      </c>
      <c r="J13">
        <f>T13=ROUND(2*0.7,10)</f>
        <v/>
      </c>
      <c r="K13">
        <f>U13=ROUND(2*1.1,10)</f>
        <v/>
      </c>
      <c r="L13">
        <f>V13=ROUND(2*0.25,10)</f>
        <v/>
      </c>
      <c r="M13">
        <f>W13=ROUND(2*0.5,10)</f>
        <v/>
      </c>
      <c r="O13">
        <f>O12+0.1</f>
        <v/>
      </c>
      <c r="P13">
        <f>P12+0.2</f>
        <v/>
      </c>
      <c r="Q13">
        <f>Q12+0.3</f>
        <v/>
      </c>
      <c r="R13">
        <f>R12+0.05</f>
        <v/>
      </c>
      <c r="S13">
        <f>S12+0.01</f>
        <v/>
      </c>
      <c r="T13">
        <f>T12+0.7</f>
        <v/>
      </c>
      <c r="U13">
        <f>U12+1.1</f>
        <v/>
      </c>
      <c r="V13">
        <f>V12+0.25</f>
        <v/>
      </c>
      <c r="W13">
        <f>W12+0.5</f>
        <v/>
      </c>
    </row>
    <row r="14">
      <c r="E14">
        <f>O14=ROUND(3*0.1,10)</f>
        <v/>
      </c>
      <c r="F14">
        <f>P14=ROUND(3*0.2,10)</f>
        <v/>
      </c>
      <c r="G14">
        <f>Q14=ROUND(3*0.3,10)</f>
        <v/>
      </c>
      <c r="H14">
        <f>R14=ROUND(3*0.05,10)</f>
        <v/>
      </c>
      <c r="I14">
        <f>S14=ROUND(3*0.01,10)</f>
        <v/>
      </c>
      <c r="J14">
        <f>T14=ROUND(3*0.7,10)</f>
        <v/>
      </c>
      <c r="K14">
        <f>U14=ROUND(3*1.1,10)</f>
        <v/>
      </c>
      <c r="L14">
        <f>V14=ROUND(3*0.25,10)</f>
        <v/>
      </c>
      <c r="M14">
        <f>W14=ROUND(3*0.5,10)</f>
        <v/>
      </c>
      <c r="O14">
        <f>O13+0.1</f>
        <v/>
      </c>
      <c r="P14">
        <f>P13+0.2</f>
        <v/>
      </c>
      <c r="Q14">
        <f>Q13+0.3</f>
        <v/>
      </c>
      <c r="R14">
        <f>R13+0.05</f>
        <v/>
      </c>
      <c r="S14">
        <f>S13+0.01</f>
        <v/>
      </c>
      <c r="T14">
        <f>T13+0.7</f>
        <v/>
      </c>
      <c r="U14">
        <f>U13+1.1</f>
        <v/>
      </c>
      <c r="V14">
        <f>V13+0.25</f>
        <v/>
      </c>
      <c r="W14">
        <f>W13+0.5</f>
        <v/>
      </c>
    </row>
    <row r="15">
      <c r="E15">
        <f>O15=ROUND(4*0.1,10)</f>
        <v/>
      </c>
      <c r="F15">
        <f>P15=ROUND(4*0.2,10)</f>
        <v/>
      </c>
      <c r="G15">
        <f>Q15=ROUND(4*0.3,10)</f>
        <v/>
      </c>
      <c r="H15">
        <f>R15=ROUND(4*0.05,10)</f>
        <v/>
      </c>
      <c r="I15">
        <f>S15=ROUND(4*0.01,10)</f>
        <v/>
      </c>
      <c r="J15">
        <f>T15=ROUND(4*0.7,10)</f>
        <v/>
      </c>
      <c r="K15">
        <f>U15=ROUND(4*1.1,10)</f>
        <v/>
      </c>
      <c r="L15">
        <f>V15=ROUND(4*0.25,10)</f>
        <v/>
      </c>
      <c r="M15">
        <f>W15=ROUND(4*0.5,10)</f>
        <v/>
      </c>
      <c r="O15">
        <f>O14+0.1</f>
        <v/>
      </c>
      <c r="P15">
        <f>P14+0.2</f>
        <v/>
      </c>
      <c r="Q15">
        <f>Q14+0.3</f>
        <v/>
      </c>
      <c r="R15">
        <f>R14+0.05</f>
        <v/>
      </c>
      <c r="S15">
        <f>S14+0.01</f>
        <v/>
      </c>
      <c r="T15">
        <f>T14+0.7</f>
        <v/>
      </c>
      <c r="U15">
        <f>U14+1.1</f>
        <v/>
      </c>
      <c r="V15">
        <f>V14+0.25</f>
        <v/>
      </c>
      <c r="W15">
        <f>W14+0.5</f>
        <v/>
      </c>
    </row>
    <row r="16">
      <c r="E16">
        <f>O16=ROUND(5*0.1,10)</f>
        <v/>
      </c>
      <c r="F16">
        <f>P16=ROUND(5*0.2,10)</f>
        <v/>
      </c>
      <c r="G16">
        <f>Q16=ROUND(5*0.3,10)</f>
        <v/>
      </c>
      <c r="H16">
        <f>R16=ROUND(5*0.05,10)</f>
        <v/>
      </c>
      <c r="I16">
        <f>S16=ROUND(5*0.01,10)</f>
        <v/>
      </c>
      <c r="J16">
        <f>T16=ROUND(5*0.7,10)</f>
        <v/>
      </c>
      <c r="K16">
        <f>U16=ROUND(5*1.1,10)</f>
        <v/>
      </c>
      <c r="L16">
        <f>V16=ROUND(5*0.25,10)</f>
        <v/>
      </c>
      <c r="M16">
        <f>W16=ROUND(5*0.5,10)</f>
        <v/>
      </c>
      <c r="O16">
        <f>O15+0.1</f>
        <v/>
      </c>
      <c r="P16">
        <f>P15+0.2</f>
        <v/>
      </c>
      <c r="Q16">
        <f>Q15+0.3</f>
        <v/>
      </c>
      <c r="R16">
        <f>R15+0.05</f>
        <v/>
      </c>
      <c r="S16">
        <f>S15+0.01</f>
        <v/>
      </c>
      <c r="T16">
        <f>T15+0.7</f>
        <v/>
      </c>
      <c r="U16">
        <f>U15+1.1</f>
        <v/>
      </c>
      <c r="V16">
        <f>V15+0.25</f>
        <v/>
      </c>
      <c r="W16">
        <f>W15+0.5</f>
        <v/>
      </c>
    </row>
    <row r="17">
      <c r="E17">
        <f>O17=ROUND(6*0.1,10)</f>
        <v/>
      </c>
      <c r="F17">
        <f>P17=ROUND(6*0.2,10)</f>
        <v/>
      </c>
      <c r="G17">
        <f>Q17=ROUND(6*0.3,10)</f>
        <v/>
      </c>
      <c r="H17">
        <f>R17=ROUND(6*0.05,10)</f>
        <v/>
      </c>
      <c r="I17">
        <f>S17=ROUND(6*0.01,10)</f>
        <v/>
      </c>
      <c r="J17">
        <f>T17=ROUND(6*0.7,10)</f>
        <v/>
      </c>
      <c r="K17">
        <f>U17=ROUND(6*1.1,10)</f>
        <v/>
      </c>
      <c r="L17">
        <f>V17=ROUND(6*0.25,10)</f>
        <v/>
      </c>
      <c r="M17">
        <f>W17=ROUND(6*0.5,10)</f>
        <v/>
      </c>
      <c r="O17">
        <f>O16+0.1</f>
        <v/>
      </c>
      <c r="P17">
        <f>P16+0.2</f>
        <v/>
      </c>
      <c r="Q17">
        <f>Q16+0.3</f>
        <v/>
      </c>
      <c r="R17">
        <f>R16+0.05</f>
        <v/>
      </c>
      <c r="S17">
        <f>S16+0.01</f>
        <v/>
      </c>
      <c r="T17">
        <f>T16+0.7</f>
        <v/>
      </c>
      <c r="U17">
        <f>U16+1.1</f>
        <v/>
      </c>
      <c r="V17">
        <f>V16+0.25</f>
        <v/>
      </c>
      <c r="W17">
        <f>W16+0.5</f>
        <v/>
      </c>
    </row>
    <row r="18">
      <c r="E18">
        <f>O18=ROUND(7*0.1,10)</f>
        <v/>
      </c>
      <c r="F18">
        <f>P18=ROUND(7*0.2,10)</f>
        <v/>
      </c>
      <c r="G18">
        <f>Q18=ROUND(7*0.3,10)</f>
        <v/>
      </c>
      <c r="H18">
        <f>R18=ROUND(7*0.05,10)</f>
        <v/>
      </c>
      <c r="I18">
        <f>S18=ROUND(7*0.01,10)</f>
        <v/>
      </c>
      <c r="J18">
        <f>T18=ROUND(7*0.7,10)</f>
        <v/>
      </c>
      <c r="K18">
        <f>U18=ROUND(7*1.1,10)</f>
        <v/>
      </c>
      <c r="L18">
        <f>V18=ROUND(7*0.25,10)</f>
        <v/>
      </c>
      <c r="M18">
        <f>W18=ROUND(7*0.5,10)</f>
        <v/>
      </c>
      <c r="O18">
        <f>O17+0.1</f>
        <v/>
      </c>
      <c r="P18">
        <f>P17+0.2</f>
        <v/>
      </c>
      <c r="Q18">
        <f>Q17+0.3</f>
        <v/>
      </c>
      <c r="R18">
        <f>R17+0.05</f>
        <v/>
      </c>
      <c r="S18">
        <f>S17+0.01</f>
        <v/>
      </c>
      <c r="T18">
        <f>T17+0.7</f>
        <v/>
      </c>
      <c r="U18">
        <f>U17+1.1</f>
        <v/>
      </c>
      <c r="V18">
        <f>V17+0.25</f>
        <v/>
      </c>
      <c r="W18">
        <f>W17+0.5</f>
        <v/>
      </c>
    </row>
    <row r="19">
      <c r="E19">
        <f>O19=ROUND(8*0.1,10)</f>
        <v/>
      </c>
      <c r="F19">
        <f>P19=ROUND(8*0.2,10)</f>
        <v/>
      </c>
      <c r="G19">
        <f>Q19=ROUND(8*0.3,10)</f>
        <v/>
      </c>
      <c r="H19">
        <f>R19=ROUND(8*0.05,10)</f>
        <v/>
      </c>
      <c r="I19">
        <f>S19=ROUND(8*0.01,10)</f>
        <v/>
      </c>
      <c r="J19">
        <f>T19=ROUND(8*0.7,10)</f>
        <v/>
      </c>
      <c r="K19">
        <f>U19=ROUND(8*1.1,10)</f>
        <v/>
      </c>
      <c r="L19">
        <f>V19=ROUND(8*0.25,10)</f>
        <v/>
      </c>
      <c r="M19">
        <f>W19=ROUND(8*0.5,10)</f>
        <v/>
      </c>
      <c r="O19">
        <f>O18+0.1</f>
        <v/>
      </c>
      <c r="P19">
        <f>P18+0.2</f>
        <v/>
      </c>
      <c r="Q19">
        <f>Q18+0.3</f>
        <v/>
      </c>
      <c r="R19">
        <f>R18+0.05</f>
        <v/>
      </c>
      <c r="S19">
        <f>S18+0.01</f>
        <v/>
      </c>
      <c r="T19">
        <f>T18+0.7</f>
        <v/>
      </c>
      <c r="U19">
        <f>U18+1.1</f>
        <v/>
      </c>
      <c r="V19">
        <f>V18+0.25</f>
        <v/>
      </c>
      <c r="W19">
        <f>W18+0.5</f>
        <v/>
      </c>
    </row>
    <row r="20">
      <c r="E20">
        <f>O20=ROUND(9*0.1,10)</f>
        <v/>
      </c>
      <c r="F20">
        <f>P20=ROUND(9*0.2,10)</f>
        <v/>
      </c>
      <c r="G20">
        <f>Q20=ROUND(9*0.3,10)</f>
        <v/>
      </c>
      <c r="H20">
        <f>R20=ROUND(9*0.05,10)</f>
        <v/>
      </c>
      <c r="I20">
        <f>S20=ROUND(9*0.01,10)</f>
        <v/>
      </c>
      <c r="J20">
        <f>T20=ROUND(9*0.7,10)</f>
        <v/>
      </c>
      <c r="K20">
        <f>U20=ROUND(9*1.1,10)</f>
        <v/>
      </c>
      <c r="L20">
        <f>V20=ROUND(9*0.25,10)</f>
        <v/>
      </c>
      <c r="M20">
        <f>W20=ROUND(9*0.5,10)</f>
        <v/>
      </c>
      <c r="O20">
        <f>O19+0.1</f>
        <v/>
      </c>
      <c r="P20">
        <f>P19+0.2</f>
        <v/>
      </c>
      <c r="Q20">
        <f>Q19+0.3</f>
        <v/>
      </c>
      <c r="R20">
        <f>R19+0.05</f>
        <v/>
      </c>
      <c r="S20">
        <f>S19+0.01</f>
        <v/>
      </c>
      <c r="T20">
        <f>T19+0.7</f>
        <v/>
      </c>
      <c r="U20">
        <f>U19+1.1</f>
        <v/>
      </c>
      <c r="V20">
        <f>V19+0.25</f>
        <v/>
      </c>
      <c r="W20">
        <f>W19+0.5</f>
        <v/>
      </c>
    </row>
    <row r="21">
      <c r="E21">
        <f>O21=ROUND(10*0.1,10)</f>
        <v/>
      </c>
      <c r="F21">
        <f>P21=ROUND(10*0.2,10)</f>
        <v/>
      </c>
      <c r="G21">
        <f>Q21=ROUND(10*0.3,10)</f>
        <v/>
      </c>
      <c r="H21">
        <f>R21=ROUND(10*0.05,10)</f>
        <v/>
      </c>
      <c r="I21">
        <f>S21=ROUND(10*0.01,10)</f>
        <v/>
      </c>
      <c r="J21">
        <f>T21=ROUND(10*0.7,10)</f>
        <v/>
      </c>
      <c r="K21">
        <f>U21=ROUND(10*1.1,10)</f>
        <v/>
      </c>
      <c r="L21">
        <f>V21=ROUND(10*0.25,10)</f>
        <v/>
      </c>
      <c r="M21">
        <f>W21=ROUND(10*0.5,10)</f>
        <v/>
      </c>
      <c r="O21">
        <f>O20+0.1</f>
        <v/>
      </c>
      <c r="P21">
        <f>P20+0.2</f>
        <v/>
      </c>
      <c r="Q21">
        <f>Q20+0.3</f>
        <v/>
      </c>
      <c r="R21">
        <f>R20+0.05</f>
        <v/>
      </c>
      <c r="S21">
        <f>S20+0.01</f>
        <v/>
      </c>
      <c r="T21">
        <f>T20+0.7</f>
        <v/>
      </c>
      <c r="U21">
        <f>U20+1.1</f>
        <v/>
      </c>
      <c r="V21">
        <f>V20+0.25</f>
        <v/>
      </c>
      <c r="W21">
        <f>W20+0.5</f>
        <v/>
      </c>
    </row>
    <row r="22">
      <c r="E22">
        <f>O22=ROUND(11*0.1,10)</f>
        <v/>
      </c>
      <c r="F22">
        <f>P22=ROUND(11*0.2,10)</f>
        <v/>
      </c>
      <c r="G22">
        <f>Q22=ROUND(11*0.3,10)</f>
        <v/>
      </c>
      <c r="H22">
        <f>R22=ROUND(11*0.05,10)</f>
        <v/>
      </c>
      <c r="I22">
        <f>S22=ROUND(11*0.01,10)</f>
        <v/>
      </c>
      <c r="J22">
        <f>T22=ROUND(11*0.7,10)</f>
        <v/>
      </c>
      <c r="K22">
        <f>U22=ROUND(11*1.1,10)</f>
        <v/>
      </c>
      <c r="L22">
        <f>V22=ROUND(11*0.25,10)</f>
        <v/>
      </c>
      <c r="M22">
        <f>W22=ROUND(11*0.5,10)</f>
        <v/>
      </c>
      <c r="O22">
        <f>O21+0.1</f>
        <v/>
      </c>
      <c r="P22">
        <f>P21+0.2</f>
        <v/>
      </c>
      <c r="Q22">
        <f>Q21+0.3</f>
        <v/>
      </c>
      <c r="R22">
        <f>R21+0.05</f>
        <v/>
      </c>
      <c r="S22">
        <f>S21+0.01</f>
        <v/>
      </c>
      <c r="T22">
        <f>T21+0.7</f>
        <v/>
      </c>
      <c r="U22">
        <f>U21+1.1</f>
        <v/>
      </c>
      <c r="V22">
        <f>V21+0.25</f>
        <v/>
      </c>
      <c r="W22">
        <f>W21+0.5</f>
        <v/>
      </c>
    </row>
    <row r="23">
      <c r="E23">
        <f>O23=ROUND(12*0.1,10)</f>
        <v/>
      </c>
      <c r="F23">
        <f>P23=ROUND(12*0.2,10)</f>
        <v/>
      </c>
      <c r="G23">
        <f>Q23=ROUND(12*0.3,10)</f>
        <v/>
      </c>
      <c r="H23">
        <f>R23=ROUND(12*0.05,10)</f>
        <v/>
      </c>
      <c r="I23">
        <f>S23=ROUND(12*0.01,10)</f>
        <v/>
      </c>
      <c r="J23">
        <f>T23=ROUND(12*0.7,10)</f>
        <v/>
      </c>
      <c r="K23">
        <f>U23=ROUND(12*1.1,10)</f>
        <v/>
      </c>
      <c r="L23">
        <f>V23=ROUND(12*0.25,10)</f>
        <v/>
      </c>
      <c r="M23">
        <f>W23=ROUND(12*0.5,10)</f>
        <v/>
      </c>
      <c r="O23">
        <f>O22+0.1</f>
        <v/>
      </c>
      <c r="P23">
        <f>P22+0.2</f>
        <v/>
      </c>
      <c r="Q23">
        <f>Q22+0.3</f>
        <v/>
      </c>
      <c r="R23">
        <f>R22+0.05</f>
        <v/>
      </c>
      <c r="S23">
        <f>S22+0.01</f>
        <v/>
      </c>
      <c r="T23">
        <f>T22+0.7</f>
        <v/>
      </c>
      <c r="U23">
        <f>U22+1.1</f>
        <v/>
      </c>
      <c r="V23">
        <f>V22+0.25</f>
        <v/>
      </c>
      <c r="W23">
        <f>W22+0.5</f>
        <v/>
      </c>
    </row>
    <row r="24">
      <c r="E24">
        <f>O24=ROUND(13*0.1,10)</f>
        <v/>
      </c>
      <c r="F24">
        <f>P24=ROUND(13*0.2,10)</f>
        <v/>
      </c>
      <c r="G24">
        <f>Q24=ROUND(13*0.3,10)</f>
        <v/>
      </c>
      <c r="H24">
        <f>R24=ROUND(13*0.05,10)</f>
        <v/>
      </c>
      <c r="I24">
        <f>S24=ROUND(13*0.01,10)</f>
        <v/>
      </c>
      <c r="J24">
        <f>T24=ROUND(13*0.7,10)</f>
        <v/>
      </c>
      <c r="K24">
        <f>U24=ROUND(13*1.1,10)</f>
        <v/>
      </c>
      <c r="L24">
        <f>V24=ROUND(13*0.25,10)</f>
        <v/>
      </c>
      <c r="M24">
        <f>W24=ROUND(13*0.5,10)</f>
        <v/>
      </c>
      <c r="O24">
        <f>O23+0.1</f>
        <v/>
      </c>
      <c r="P24">
        <f>P23+0.2</f>
        <v/>
      </c>
      <c r="Q24">
        <f>Q23+0.3</f>
        <v/>
      </c>
      <c r="R24">
        <f>R23+0.05</f>
        <v/>
      </c>
      <c r="S24">
        <f>S23+0.01</f>
        <v/>
      </c>
      <c r="T24">
        <f>T23+0.7</f>
        <v/>
      </c>
      <c r="U24">
        <f>U23+1.1</f>
        <v/>
      </c>
      <c r="V24">
        <f>V23+0.25</f>
        <v/>
      </c>
      <c r="W24">
        <f>W23+0.5</f>
        <v/>
      </c>
    </row>
    <row r="25">
      <c r="E25">
        <f>O25=ROUND(14*0.1,10)</f>
        <v/>
      </c>
      <c r="F25">
        <f>P25=ROUND(14*0.2,10)</f>
        <v/>
      </c>
      <c r="G25">
        <f>Q25=ROUND(14*0.3,10)</f>
        <v/>
      </c>
      <c r="H25">
        <f>R25=ROUND(14*0.05,10)</f>
        <v/>
      </c>
      <c r="I25">
        <f>S25=ROUND(14*0.01,10)</f>
        <v/>
      </c>
      <c r="J25">
        <f>T25=ROUND(14*0.7,10)</f>
        <v/>
      </c>
      <c r="K25">
        <f>U25=ROUND(14*1.1,10)</f>
        <v/>
      </c>
      <c r="L25">
        <f>V25=ROUND(14*0.25,10)</f>
        <v/>
      </c>
      <c r="M25">
        <f>W25=ROUND(14*0.5,10)</f>
        <v/>
      </c>
      <c r="O25">
        <f>O24+0.1</f>
        <v/>
      </c>
      <c r="P25">
        <f>P24+0.2</f>
        <v/>
      </c>
      <c r="Q25">
        <f>Q24+0.3</f>
        <v/>
      </c>
      <c r="R25">
        <f>R24+0.05</f>
        <v/>
      </c>
      <c r="S25">
        <f>S24+0.01</f>
        <v/>
      </c>
      <c r="T25">
        <f>T24+0.7</f>
        <v/>
      </c>
      <c r="U25">
        <f>U24+1.1</f>
        <v/>
      </c>
      <c r="V25">
        <f>V24+0.25</f>
        <v/>
      </c>
      <c r="W25">
        <f>W24+0.5</f>
        <v/>
      </c>
    </row>
    <row r="26">
      <c r="E26">
        <f>O26=ROUND(15*0.1,10)</f>
        <v/>
      </c>
      <c r="F26">
        <f>P26=ROUND(15*0.2,10)</f>
        <v/>
      </c>
      <c r="G26">
        <f>Q26=ROUND(15*0.3,10)</f>
        <v/>
      </c>
      <c r="H26">
        <f>R26=ROUND(15*0.05,10)</f>
        <v/>
      </c>
      <c r="I26">
        <f>S26=ROUND(15*0.01,10)</f>
        <v/>
      </c>
      <c r="J26">
        <f>T26=ROUND(15*0.7,10)</f>
        <v/>
      </c>
      <c r="K26">
        <f>U26=ROUND(15*1.1,10)</f>
        <v/>
      </c>
      <c r="L26">
        <f>V26=ROUND(15*0.25,10)</f>
        <v/>
      </c>
      <c r="M26">
        <f>W26=ROUND(15*0.5,10)</f>
        <v/>
      </c>
      <c r="O26">
        <f>O25+0.1</f>
        <v/>
      </c>
      <c r="P26">
        <f>P25+0.2</f>
        <v/>
      </c>
      <c r="Q26">
        <f>Q25+0.3</f>
        <v/>
      </c>
      <c r="R26">
        <f>R25+0.05</f>
        <v/>
      </c>
      <c r="S26">
        <f>S25+0.01</f>
        <v/>
      </c>
      <c r="T26">
        <f>T25+0.7</f>
        <v/>
      </c>
      <c r="U26">
        <f>U25+1.1</f>
        <v/>
      </c>
      <c r="V26">
        <f>V25+0.25</f>
        <v/>
      </c>
      <c r="W26">
        <f>W25+0.5</f>
        <v/>
      </c>
    </row>
    <row r="27">
      <c r="E27">
        <f>O27=ROUND(16*0.1,10)</f>
        <v/>
      </c>
      <c r="F27">
        <f>P27=ROUND(16*0.2,10)</f>
        <v/>
      </c>
      <c r="G27">
        <f>Q27=ROUND(16*0.3,10)</f>
        <v/>
      </c>
      <c r="H27">
        <f>R27=ROUND(16*0.05,10)</f>
        <v/>
      </c>
      <c r="I27">
        <f>S27=ROUND(16*0.01,10)</f>
        <v/>
      </c>
      <c r="J27">
        <f>T27=ROUND(16*0.7,10)</f>
        <v/>
      </c>
      <c r="K27">
        <f>U27=ROUND(16*1.1,10)</f>
        <v/>
      </c>
      <c r="L27">
        <f>V27=ROUND(16*0.25,10)</f>
        <v/>
      </c>
      <c r="M27">
        <f>W27=ROUND(16*0.5,10)</f>
        <v/>
      </c>
      <c r="O27">
        <f>O26+0.1</f>
        <v/>
      </c>
      <c r="P27">
        <f>P26+0.2</f>
        <v/>
      </c>
      <c r="Q27">
        <f>Q26+0.3</f>
        <v/>
      </c>
      <c r="R27">
        <f>R26+0.05</f>
        <v/>
      </c>
      <c r="S27">
        <f>S26+0.01</f>
        <v/>
      </c>
      <c r="T27">
        <f>T26+0.7</f>
        <v/>
      </c>
      <c r="U27">
        <f>U26+1.1</f>
        <v/>
      </c>
      <c r="V27">
        <f>V26+0.25</f>
        <v/>
      </c>
      <c r="W27">
        <f>W26+0.5</f>
        <v/>
      </c>
    </row>
    <row r="28">
      <c r="E28">
        <f>O28=ROUND(17*0.1,10)</f>
        <v/>
      </c>
      <c r="F28">
        <f>P28=ROUND(17*0.2,10)</f>
        <v/>
      </c>
      <c r="G28">
        <f>Q28=ROUND(17*0.3,10)</f>
        <v/>
      </c>
      <c r="H28">
        <f>R28=ROUND(17*0.05,10)</f>
        <v/>
      </c>
      <c r="I28">
        <f>S28=ROUND(17*0.01,10)</f>
        <v/>
      </c>
      <c r="J28">
        <f>T28=ROUND(17*0.7,10)</f>
        <v/>
      </c>
      <c r="K28">
        <f>U28=ROUND(17*1.1,10)</f>
        <v/>
      </c>
      <c r="L28">
        <f>V28=ROUND(17*0.25,10)</f>
        <v/>
      </c>
      <c r="M28">
        <f>W28=ROUND(17*0.5,10)</f>
        <v/>
      </c>
      <c r="O28">
        <f>O27+0.1</f>
        <v/>
      </c>
      <c r="P28">
        <f>P27+0.2</f>
        <v/>
      </c>
      <c r="Q28">
        <f>Q27+0.3</f>
        <v/>
      </c>
      <c r="R28">
        <f>R27+0.05</f>
        <v/>
      </c>
      <c r="S28">
        <f>S27+0.01</f>
        <v/>
      </c>
      <c r="T28">
        <f>T27+0.7</f>
        <v/>
      </c>
      <c r="U28">
        <f>U27+1.1</f>
        <v/>
      </c>
      <c r="V28">
        <f>V27+0.25</f>
        <v/>
      </c>
      <c r="W28">
        <f>W27+0.5</f>
        <v/>
      </c>
    </row>
    <row r="29">
      <c r="E29">
        <f>O29=ROUND(18*0.1,10)</f>
        <v/>
      </c>
      <c r="F29">
        <f>P29=ROUND(18*0.2,10)</f>
        <v/>
      </c>
      <c r="G29">
        <f>Q29=ROUND(18*0.3,10)</f>
        <v/>
      </c>
      <c r="H29">
        <f>R29=ROUND(18*0.05,10)</f>
        <v/>
      </c>
      <c r="I29">
        <f>S29=ROUND(18*0.01,10)</f>
        <v/>
      </c>
      <c r="J29">
        <f>T29=ROUND(18*0.7,10)</f>
        <v/>
      </c>
      <c r="K29">
        <f>U29=ROUND(18*1.1,10)</f>
        <v/>
      </c>
      <c r="L29">
        <f>V29=ROUND(18*0.25,10)</f>
        <v/>
      </c>
      <c r="M29">
        <f>W29=ROUND(18*0.5,10)</f>
        <v/>
      </c>
      <c r="O29">
        <f>O28+0.1</f>
        <v/>
      </c>
      <c r="P29">
        <f>P28+0.2</f>
        <v/>
      </c>
      <c r="Q29">
        <f>Q28+0.3</f>
        <v/>
      </c>
      <c r="R29">
        <f>R28+0.05</f>
        <v/>
      </c>
      <c r="S29">
        <f>S28+0.01</f>
        <v/>
      </c>
      <c r="T29">
        <f>T28+0.7</f>
        <v/>
      </c>
      <c r="U29">
        <f>U28+1.1</f>
        <v/>
      </c>
      <c r="V29">
        <f>V28+0.25</f>
        <v/>
      </c>
      <c r="W29">
        <f>W28+0.5</f>
        <v/>
      </c>
    </row>
    <row r="30">
      <c r="E30">
        <f>O30=ROUND(19*0.1,10)</f>
        <v/>
      </c>
      <c r="F30">
        <f>P30=ROUND(19*0.2,10)</f>
        <v/>
      </c>
      <c r="G30">
        <f>Q30=ROUND(19*0.3,10)</f>
        <v/>
      </c>
      <c r="H30">
        <f>R30=ROUND(19*0.05,10)</f>
        <v/>
      </c>
      <c r="I30">
        <f>S30=ROUND(19*0.01,10)</f>
        <v/>
      </c>
      <c r="J30">
        <f>T30=ROUND(19*0.7,10)</f>
        <v/>
      </c>
      <c r="K30">
        <f>U30=ROUND(19*1.1,10)</f>
        <v/>
      </c>
      <c r="L30">
        <f>V30=ROUND(19*0.25,10)</f>
        <v/>
      </c>
      <c r="M30">
        <f>W30=ROUND(19*0.5,10)</f>
        <v/>
      </c>
      <c r="O30">
        <f>O29+0.1</f>
        <v/>
      </c>
      <c r="P30">
        <f>P29+0.2</f>
        <v/>
      </c>
      <c r="Q30">
        <f>Q29+0.3</f>
        <v/>
      </c>
      <c r="R30">
        <f>R29+0.05</f>
        <v/>
      </c>
      <c r="S30">
        <f>S29+0.01</f>
        <v/>
      </c>
      <c r="T30">
        <f>T29+0.7</f>
        <v/>
      </c>
      <c r="U30">
        <f>U29+1.1</f>
        <v/>
      </c>
      <c r="V30">
        <f>V29+0.25</f>
        <v/>
      </c>
      <c r="W30">
        <f>W29+0.5</f>
        <v/>
      </c>
    </row>
    <row r="31">
      <c r="E31">
        <f>O31=ROUND(20*0.1,10)</f>
        <v/>
      </c>
      <c r="F31">
        <f>P31=ROUND(20*0.2,10)</f>
        <v/>
      </c>
      <c r="G31">
        <f>Q31=ROUND(20*0.3,10)</f>
        <v/>
      </c>
      <c r="H31">
        <f>R31=ROUND(20*0.05,10)</f>
        <v/>
      </c>
      <c r="I31">
        <f>S31=ROUND(20*0.01,10)</f>
        <v/>
      </c>
      <c r="J31">
        <f>T31=ROUND(20*0.7,10)</f>
        <v/>
      </c>
      <c r="K31">
        <f>U31=ROUND(20*1.1,10)</f>
        <v/>
      </c>
      <c r="L31">
        <f>V31=ROUND(20*0.25,10)</f>
        <v/>
      </c>
      <c r="M31">
        <f>W31=ROUND(20*0.5,10)</f>
        <v/>
      </c>
      <c r="O31">
        <f>O30+0.1</f>
        <v/>
      </c>
      <c r="P31">
        <f>P30+0.2</f>
        <v/>
      </c>
      <c r="Q31">
        <f>Q30+0.3</f>
        <v/>
      </c>
      <c r="R31">
        <f>R30+0.05</f>
        <v/>
      </c>
      <c r="S31">
        <f>S30+0.01</f>
        <v/>
      </c>
      <c r="T31">
        <f>T30+0.7</f>
        <v/>
      </c>
      <c r="U31">
        <f>U30+1.1</f>
        <v/>
      </c>
      <c r="V31">
        <f>V30+0.25</f>
        <v/>
      </c>
      <c r="W31">
        <f>W30+0.5</f>
        <v/>
      </c>
    </row>
    <row r="32">
      <c r="E32">
        <f>O32=ROUND(21*0.1,10)</f>
        <v/>
      </c>
      <c r="F32">
        <f>P32=ROUND(21*0.2,10)</f>
        <v/>
      </c>
      <c r="G32">
        <f>Q32=ROUND(21*0.3,10)</f>
        <v/>
      </c>
      <c r="H32">
        <f>R32=ROUND(21*0.05,10)</f>
        <v/>
      </c>
      <c r="I32">
        <f>S32=ROUND(21*0.01,10)</f>
        <v/>
      </c>
      <c r="J32">
        <f>T32=ROUND(21*0.7,10)</f>
        <v/>
      </c>
      <c r="K32">
        <f>U32=ROUND(21*1.1,10)</f>
        <v/>
      </c>
      <c r="L32">
        <f>V32=ROUND(21*0.25,10)</f>
        <v/>
      </c>
      <c r="M32">
        <f>W32=ROUND(21*0.5,10)</f>
        <v/>
      </c>
      <c r="O32">
        <f>O31+0.1</f>
        <v/>
      </c>
      <c r="P32">
        <f>P31+0.2</f>
        <v/>
      </c>
      <c r="Q32">
        <f>Q31+0.3</f>
        <v/>
      </c>
      <c r="R32">
        <f>R31+0.05</f>
        <v/>
      </c>
      <c r="S32">
        <f>S31+0.01</f>
        <v/>
      </c>
      <c r="T32">
        <f>T31+0.7</f>
        <v/>
      </c>
      <c r="U32">
        <f>U31+1.1</f>
        <v/>
      </c>
      <c r="V32">
        <f>V31+0.25</f>
        <v/>
      </c>
      <c r="W32">
        <f>W31+0.5</f>
        <v/>
      </c>
    </row>
    <row r="33">
      <c r="E33">
        <f>O33=ROUND(22*0.1,10)</f>
        <v/>
      </c>
      <c r="F33">
        <f>P33=ROUND(22*0.2,10)</f>
        <v/>
      </c>
      <c r="G33">
        <f>Q33=ROUND(22*0.3,10)</f>
        <v/>
      </c>
      <c r="H33">
        <f>R33=ROUND(22*0.05,10)</f>
        <v/>
      </c>
      <c r="I33">
        <f>S33=ROUND(22*0.01,10)</f>
        <v/>
      </c>
      <c r="J33">
        <f>T33=ROUND(22*0.7,10)</f>
        <v/>
      </c>
      <c r="K33">
        <f>U33=ROUND(22*1.1,10)</f>
        <v/>
      </c>
      <c r="L33">
        <f>V33=ROUND(22*0.25,10)</f>
        <v/>
      </c>
      <c r="M33">
        <f>W33=ROUND(22*0.5,10)</f>
        <v/>
      </c>
      <c r="O33">
        <f>O32+0.1</f>
        <v/>
      </c>
      <c r="P33">
        <f>P32+0.2</f>
        <v/>
      </c>
      <c r="Q33">
        <f>Q32+0.3</f>
        <v/>
      </c>
      <c r="R33">
        <f>R32+0.05</f>
        <v/>
      </c>
      <c r="S33">
        <f>S32+0.01</f>
        <v/>
      </c>
      <c r="T33">
        <f>T32+0.7</f>
        <v/>
      </c>
      <c r="U33">
        <f>U32+1.1</f>
        <v/>
      </c>
      <c r="V33">
        <f>V32+0.25</f>
        <v/>
      </c>
      <c r="W33">
        <f>W32+0.5</f>
        <v/>
      </c>
    </row>
    <row r="34">
      <c r="E34">
        <f>O34=ROUND(23*0.1,10)</f>
        <v/>
      </c>
      <c r="F34">
        <f>P34=ROUND(23*0.2,10)</f>
        <v/>
      </c>
      <c r="G34">
        <f>Q34=ROUND(23*0.3,10)</f>
        <v/>
      </c>
      <c r="H34">
        <f>R34=ROUND(23*0.05,10)</f>
        <v/>
      </c>
      <c r="I34">
        <f>S34=ROUND(23*0.01,10)</f>
        <v/>
      </c>
      <c r="J34">
        <f>T34=ROUND(23*0.7,10)</f>
        <v/>
      </c>
      <c r="K34">
        <f>U34=ROUND(23*1.1,10)</f>
        <v/>
      </c>
      <c r="L34">
        <f>V34=ROUND(23*0.25,10)</f>
        <v/>
      </c>
      <c r="M34">
        <f>W34=ROUND(23*0.5,10)</f>
        <v/>
      </c>
      <c r="O34">
        <f>O33+0.1</f>
        <v/>
      </c>
      <c r="P34">
        <f>P33+0.2</f>
        <v/>
      </c>
      <c r="Q34">
        <f>Q33+0.3</f>
        <v/>
      </c>
      <c r="R34">
        <f>R33+0.05</f>
        <v/>
      </c>
      <c r="S34">
        <f>S33+0.01</f>
        <v/>
      </c>
      <c r="T34">
        <f>T33+0.7</f>
        <v/>
      </c>
      <c r="U34">
        <f>U33+1.1</f>
        <v/>
      </c>
      <c r="V34">
        <f>V33+0.25</f>
        <v/>
      </c>
      <c r="W34">
        <f>W33+0.5</f>
        <v/>
      </c>
    </row>
    <row r="35">
      <c r="E35">
        <f>O35=ROUND(24*0.1,10)</f>
        <v/>
      </c>
      <c r="F35">
        <f>P35=ROUND(24*0.2,10)</f>
        <v/>
      </c>
      <c r="G35">
        <f>Q35=ROUND(24*0.3,10)</f>
        <v/>
      </c>
      <c r="H35">
        <f>R35=ROUND(24*0.05,10)</f>
        <v/>
      </c>
      <c r="I35">
        <f>S35=ROUND(24*0.01,10)</f>
        <v/>
      </c>
      <c r="J35">
        <f>T35=ROUND(24*0.7,10)</f>
        <v/>
      </c>
      <c r="K35">
        <f>U35=ROUND(24*1.1,10)</f>
        <v/>
      </c>
      <c r="L35">
        <f>V35=ROUND(24*0.25,10)</f>
        <v/>
      </c>
      <c r="M35">
        <f>W35=ROUND(24*0.5,10)</f>
        <v/>
      </c>
      <c r="O35">
        <f>O34+0.1</f>
        <v/>
      </c>
      <c r="P35">
        <f>P34+0.2</f>
        <v/>
      </c>
      <c r="Q35">
        <f>Q34+0.3</f>
        <v/>
      </c>
      <c r="R35">
        <f>R34+0.05</f>
        <v/>
      </c>
      <c r="S35">
        <f>S34+0.01</f>
        <v/>
      </c>
      <c r="T35">
        <f>T34+0.7</f>
        <v/>
      </c>
      <c r="U35">
        <f>U34+1.1</f>
        <v/>
      </c>
      <c r="V35">
        <f>V34+0.25</f>
        <v/>
      </c>
      <c r="W35">
        <f>W34+0.5</f>
        <v/>
      </c>
    </row>
    <row r="36">
      <c r="E36">
        <f>O36=ROUND(25*0.1,10)</f>
        <v/>
      </c>
      <c r="F36">
        <f>P36=ROUND(25*0.2,10)</f>
        <v/>
      </c>
      <c r="G36">
        <f>Q36=ROUND(25*0.3,10)</f>
        <v/>
      </c>
      <c r="H36">
        <f>R36=ROUND(25*0.05,10)</f>
        <v/>
      </c>
      <c r="I36">
        <f>S36=ROUND(25*0.01,10)</f>
        <v/>
      </c>
      <c r="J36">
        <f>T36=ROUND(25*0.7,10)</f>
        <v/>
      </c>
      <c r="K36">
        <f>U36=ROUND(25*1.1,10)</f>
        <v/>
      </c>
      <c r="L36">
        <f>V36=ROUND(25*0.25,10)</f>
        <v/>
      </c>
      <c r="M36">
        <f>W36=ROUND(25*0.5,10)</f>
        <v/>
      </c>
      <c r="O36">
        <f>O35+0.1</f>
        <v/>
      </c>
      <c r="P36">
        <f>P35+0.2</f>
        <v/>
      </c>
      <c r="Q36">
        <f>Q35+0.3</f>
        <v/>
      </c>
      <c r="R36">
        <f>R35+0.05</f>
        <v/>
      </c>
      <c r="S36">
        <f>S35+0.01</f>
        <v/>
      </c>
      <c r="T36">
        <f>T35+0.7</f>
        <v/>
      </c>
      <c r="U36">
        <f>U35+1.1</f>
        <v/>
      </c>
      <c r="V36">
        <f>V35+0.25</f>
        <v/>
      </c>
      <c r="W36">
        <f>W35+0.5</f>
        <v/>
      </c>
    </row>
    <row r="37">
      <c r="E37">
        <f>O37=ROUND(26*0.1,10)</f>
        <v/>
      </c>
      <c r="F37">
        <f>P37=ROUND(26*0.2,10)</f>
        <v/>
      </c>
      <c r="G37">
        <f>Q37=ROUND(26*0.3,10)</f>
        <v/>
      </c>
      <c r="H37">
        <f>R37=ROUND(26*0.05,10)</f>
        <v/>
      </c>
      <c r="I37">
        <f>S37=ROUND(26*0.01,10)</f>
        <v/>
      </c>
      <c r="J37">
        <f>T37=ROUND(26*0.7,10)</f>
        <v/>
      </c>
      <c r="K37">
        <f>U37=ROUND(26*1.1,10)</f>
        <v/>
      </c>
      <c r="L37">
        <f>V37=ROUND(26*0.25,10)</f>
        <v/>
      </c>
      <c r="M37">
        <f>W37=ROUND(26*0.5,10)</f>
        <v/>
      </c>
      <c r="O37">
        <f>O36+0.1</f>
        <v/>
      </c>
      <c r="P37">
        <f>P36+0.2</f>
        <v/>
      </c>
      <c r="Q37">
        <f>Q36+0.3</f>
        <v/>
      </c>
      <c r="R37">
        <f>R36+0.05</f>
        <v/>
      </c>
      <c r="S37">
        <f>S36+0.01</f>
        <v/>
      </c>
      <c r="T37">
        <f>T36+0.7</f>
        <v/>
      </c>
      <c r="U37">
        <f>U36+1.1</f>
        <v/>
      </c>
      <c r="V37">
        <f>V36+0.25</f>
        <v/>
      </c>
      <c r="W37">
        <f>W36+0.5</f>
        <v/>
      </c>
    </row>
    <row r="38">
      <c r="E38">
        <f>O38=ROUND(27*0.1,10)</f>
        <v/>
      </c>
      <c r="F38">
        <f>P38=ROUND(27*0.2,10)</f>
        <v/>
      </c>
      <c r="G38">
        <f>Q38=ROUND(27*0.3,10)</f>
        <v/>
      </c>
      <c r="H38">
        <f>R38=ROUND(27*0.05,10)</f>
        <v/>
      </c>
      <c r="I38">
        <f>S38=ROUND(27*0.01,10)</f>
        <v/>
      </c>
      <c r="J38">
        <f>T38=ROUND(27*0.7,10)</f>
        <v/>
      </c>
      <c r="K38">
        <f>U38=ROUND(27*1.1,10)</f>
        <v/>
      </c>
      <c r="L38">
        <f>V38=ROUND(27*0.25,10)</f>
        <v/>
      </c>
      <c r="M38">
        <f>W38=ROUND(27*0.5,10)</f>
        <v/>
      </c>
      <c r="O38">
        <f>O37+0.1</f>
        <v/>
      </c>
      <c r="P38">
        <f>P37+0.2</f>
        <v/>
      </c>
      <c r="Q38">
        <f>Q37+0.3</f>
        <v/>
      </c>
      <c r="R38">
        <f>R37+0.05</f>
        <v/>
      </c>
      <c r="S38">
        <f>S37+0.01</f>
        <v/>
      </c>
      <c r="T38">
        <f>T37+0.7</f>
        <v/>
      </c>
      <c r="U38">
        <f>U37+1.1</f>
        <v/>
      </c>
      <c r="V38">
        <f>V37+0.25</f>
        <v/>
      </c>
      <c r="W38">
        <f>W37+0.5</f>
        <v/>
      </c>
    </row>
    <row r="39">
      <c r="E39">
        <f>O39=ROUND(28*0.1,10)</f>
        <v/>
      </c>
      <c r="F39">
        <f>P39=ROUND(28*0.2,10)</f>
        <v/>
      </c>
      <c r="G39">
        <f>Q39=ROUND(28*0.3,10)</f>
        <v/>
      </c>
      <c r="H39">
        <f>R39=ROUND(28*0.05,10)</f>
        <v/>
      </c>
      <c r="I39">
        <f>S39=ROUND(28*0.01,10)</f>
        <v/>
      </c>
      <c r="J39">
        <f>T39=ROUND(28*0.7,10)</f>
        <v/>
      </c>
      <c r="K39">
        <f>U39=ROUND(28*1.1,10)</f>
        <v/>
      </c>
      <c r="L39">
        <f>V39=ROUND(28*0.25,10)</f>
        <v/>
      </c>
      <c r="M39">
        <f>W39=ROUND(28*0.5,10)</f>
        <v/>
      </c>
      <c r="O39">
        <f>O38+0.1</f>
        <v/>
      </c>
      <c r="P39">
        <f>P38+0.2</f>
        <v/>
      </c>
      <c r="Q39">
        <f>Q38+0.3</f>
        <v/>
      </c>
      <c r="R39">
        <f>R38+0.05</f>
        <v/>
      </c>
      <c r="S39">
        <f>S38+0.01</f>
        <v/>
      </c>
      <c r="T39">
        <f>T38+0.7</f>
        <v/>
      </c>
      <c r="U39">
        <f>U38+1.1</f>
        <v/>
      </c>
      <c r="V39">
        <f>V38+0.25</f>
        <v/>
      </c>
      <c r="W39">
        <f>W38+0.5</f>
        <v/>
      </c>
    </row>
    <row r="40">
      <c r="E40">
        <f>O40=ROUND(29*0.1,10)</f>
        <v/>
      </c>
      <c r="F40">
        <f>P40=ROUND(29*0.2,10)</f>
        <v/>
      </c>
      <c r="G40">
        <f>Q40=ROUND(29*0.3,10)</f>
        <v/>
      </c>
      <c r="H40">
        <f>R40=ROUND(29*0.05,10)</f>
        <v/>
      </c>
      <c r="I40">
        <f>S40=ROUND(29*0.01,10)</f>
        <v/>
      </c>
      <c r="J40">
        <f>T40=ROUND(29*0.7,10)</f>
        <v/>
      </c>
      <c r="K40">
        <f>U40=ROUND(29*1.1,10)</f>
        <v/>
      </c>
      <c r="L40">
        <f>V40=ROUND(29*0.25,10)</f>
        <v/>
      </c>
      <c r="M40">
        <f>W40=ROUND(29*0.5,10)</f>
        <v/>
      </c>
      <c r="O40">
        <f>O39+0.1</f>
        <v/>
      </c>
      <c r="P40">
        <f>P39+0.2</f>
        <v/>
      </c>
      <c r="Q40">
        <f>Q39+0.3</f>
        <v/>
      </c>
      <c r="R40">
        <f>R39+0.05</f>
        <v/>
      </c>
      <c r="S40">
        <f>S39+0.01</f>
        <v/>
      </c>
      <c r="T40">
        <f>T39+0.7</f>
        <v/>
      </c>
      <c r="U40">
        <f>U39+1.1</f>
        <v/>
      </c>
      <c r="V40">
        <f>V39+0.25</f>
        <v/>
      </c>
      <c r="W40">
        <f>W39+0.5</f>
        <v/>
      </c>
    </row>
    <row r="41">
      <c r="E41">
        <f>O41=ROUND(30*0.1,10)</f>
        <v/>
      </c>
      <c r="F41">
        <f>P41=ROUND(30*0.2,10)</f>
        <v/>
      </c>
      <c r="G41">
        <f>Q41=ROUND(30*0.3,10)</f>
        <v/>
      </c>
      <c r="H41">
        <f>R41=ROUND(30*0.05,10)</f>
        <v/>
      </c>
      <c r="I41">
        <f>S41=ROUND(30*0.01,10)</f>
        <v/>
      </c>
      <c r="J41">
        <f>T41=ROUND(30*0.7,10)</f>
        <v/>
      </c>
      <c r="K41">
        <f>U41=ROUND(30*1.1,10)</f>
        <v/>
      </c>
      <c r="L41">
        <f>V41=ROUND(30*0.25,10)</f>
        <v/>
      </c>
      <c r="M41">
        <f>W41=ROUND(30*0.5,10)</f>
        <v/>
      </c>
      <c r="O41">
        <f>O40+0.1</f>
        <v/>
      </c>
      <c r="P41">
        <f>P40+0.2</f>
        <v/>
      </c>
      <c r="Q41">
        <f>Q40+0.3</f>
        <v/>
      </c>
      <c r="R41">
        <f>R40+0.05</f>
        <v/>
      </c>
      <c r="S41">
        <f>S40+0.01</f>
        <v/>
      </c>
      <c r="T41">
        <f>T40+0.7</f>
        <v/>
      </c>
      <c r="U41">
        <f>U40+1.1</f>
        <v/>
      </c>
      <c r="V41">
        <f>V40+0.25</f>
        <v/>
      </c>
      <c r="W41">
        <f>W40+0.5</f>
        <v/>
      </c>
    </row>
    <row r="42">
      <c r="E42">
        <f>O42=ROUND(31*0.1,10)</f>
        <v/>
      </c>
      <c r="F42">
        <f>P42=ROUND(31*0.2,10)</f>
        <v/>
      </c>
      <c r="G42">
        <f>Q42=ROUND(31*0.3,10)</f>
        <v/>
      </c>
      <c r="H42">
        <f>R42=ROUND(31*0.05,10)</f>
        <v/>
      </c>
      <c r="I42">
        <f>S42=ROUND(31*0.01,10)</f>
        <v/>
      </c>
      <c r="J42">
        <f>T42=ROUND(31*0.7,10)</f>
        <v/>
      </c>
      <c r="K42">
        <f>U42=ROUND(31*1.1,10)</f>
        <v/>
      </c>
      <c r="L42">
        <f>V42=ROUND(31*0.25,10)</f>
        <v/>
      </c>
      <c r="M42">
        <f>W42=ROUND(31*0.5,10)</f>
        <v/>
      </c>
      <c r="O42">
        <f>O41+0.1</f>
        <v/>
      </c>
      <c r="P42">
        <f>P41+0.2</f>
        <v/>
      </c>
      <c r="Q42">
        <f>Q41+0.3</f>
        <v/>
      </c>
      <c r="R42">
        <f>R41+0.05</f>
        <v/>
      </c>
      <c r="S42">
        <f>S41+0.01</f>
        <v/>
      </c>
      <c r="T42">
        <f>T41+0.7</f>
        <v/>
      </c>
      <c r="U42">
        <f>U41+1.1</f>
        <v/>
      </c>
      <c r="V42">
        <f>V41+0.25</f>
        <v/>
      </c>
      <c r="W42">
        <f>W41+0.5</f>
        <v/>
      </c>
    </row>
    <row r="43">
      <c r="E43">
        <f>O43=ROUND(32*0.1,10)</f>
        <v/>
      </c>
      <c r="F43">
        <f>P43=ROUND(32*0.2,10)</f>
        <v/>
      </c>
      <c r="G43">
        <f>Q43=ROUND(32*0.3,10)</f>
        <v/>
      </c>
      <c r="H43">
        <f>R43=ROUND(32*0.05,10)</f>
        <v/>
      </c>
      <c r="I43">
        <f>S43=ROUND(32*0.01,10)</f>
        <v/>
      </c>
      <c r="J43">
        <f>T43=ROUND(32*0.7,10)</f>
        <v/>
      </c>
      <c r="K43">
        <f>U43=ROUND(32*1.1,10)</f>
        <v/>
      </c>
      <c r="L43">
        <f>V43=ROUND(32*0.25,10)</f>
        <v/>
      </c>
      <c r="M43">
        <f>W43=ROUND(32*0.5,10)</f>
        <v/>
      </c>
      <c r="O43">
        <f>O42+0.1</f>
        <v/>
      </c>
      <c r="P43">
        <f>P42+0.2</f>
        <v/>
      </c>
      <c r="Q43">
        <f>Q42+0.3</f>
        <v/>
      </c>
      <c r="R43">
        <f>R42+0.05</f>
        <v/>
      </c>
      <c r="S43">
        <f>S42+0.01</f>
        <v/>
      </c>
      <c r="T43">
        <f>T42+0.7</f>
        <v/>
      </c>
      <c r="U43">
        <f>U42+1.1</f>
        <v/>
      </c>
      <c r="V43">
        <f>V42+0.25</f>
        <v/>
      </c>
      <c r="W43">
        <f>W42+0.5</f>
        <v/>
      </c>
    </row>
    <row r="44">
      <c r="E44">
        <f>O44=ROUND(33*0.1,10)</f>
        <v/>
      </c>
      <c r="F44">
        <f>P44=ROUND(33*0.2,10)</f>
        <v/>
      </c>
      <c r="G44">
        <f>Q44=ROUND(33*0.3,10)</f>
        <v/>
      </c>
      <c r="H44">
        <f>R44=ROUND(33*0.05,10)</f>
        <v/>
      </c>
      <c r="I44">
        <f>S44=ROUND(33*0.01,10)</f>
        <v/>
      </c>
      <c r="J44">
        <f>T44=ROUND(33*0.7,10)</f>
        <v/>
      </c>
      <c r="K44">
        <f>U44=ROUND(33*1.1,10)</f>
        <v/>
      </c>
      <c r="L44">
        <f>V44=ROUND(33*0.25,10)</f>
        <v/>
      </c>
      <c r="M44">
        <f>W44=ROUND(33*0.5,10)</f>
        <v/>
      </c>
      <c r="O44">
        <f>O43+0.1</f>
        <v/>
      </c>
      <c r="P44">
        <f>P43+0.2</f>
        <v/>
      </c>
      <c r="Q44">
        <f>Q43+0.3</f>
        <v/>
      </c>
      <c r="R44">
        <f>R43+0.05</f>
        <v/>
      </c>
      <c r="S44">
        <f>S43+0.01</f>
        <v/>
      </c>
      <c r="T44">
        <f>T43+0.7</f>
        <v/>
      </c>
      <c r="U44">
        <f>U43+1.1</f>
        <v/>
      </c>
      <c r="V44">
        <f>V43+0.25</f>
        <v/>
      </c>
      <c r="W44">
        <f>W43+0.5</f>
        <v/>
      </c>
    </row>
    <row r="45">
      <c r="E45">
        <f>O45=ROUND(34*0.1,10)</f>
        <v/>
      </c>
      <c r="F45">
        <f>P45=ROUND(34*0.2,10)</f>
        <v/>
      </c>
      <c r="G45">
        <f>Q45=ROUND(34*0.3,10)</f>
        <v/>
      </c>
      <c r="H45">
        <f>R45=ROUND(34*0.05,10)</f>
        <v/>
      </c>
      <c r="I45">
        <f>S45=ROUND(34*0.01,10)</f>
        <v/>
      </c>
      <c r="J45">
        <f>T45=ROUND(34*0.7,10)</f>
        <v/>
      </c>
      <c r="K45">
        <f>U45=ROUND(34*1.1,10)</f>
        <v/>
      </c>
      <c r="L45">
        <f>V45=ROUND(34*0.25,10)</f>
        <v/>
      </c>
      <c r="M45">
        <f>W45=ROUND(34*0.5,10)</f>
        <v/>
      </c>
      <c r="O45">
        <f>O44+0.1</f>
        <v/>
      </c>
      <c r="P45">
        <f>P44+0.2</f>
        <v/>
      </c>
      <c r="Q45">
        <f>Q44+0.3</f>
        <v/>
      </c>
      <c r="R45">
        <f>R44+0.05</f>
        <v/>
      </c>
      <c r="S45">
        <f>S44+0.01</f>
        <v/>
      </c>
      <c r="T45">
        <f>T44+0.7</f>
        <v/>
      </c>
      <c r="U45">
        <f>U44+1.1</f>
        <v/>
      </c>
      <c r="V45">
        <f>V44+0.25</f>
        <v/>
      </c>
      <c r="W45">
        <f>W44+0.5</f>
        <v/>
      </c>
    </row>
    <row r="46">
      <c r="E46">
        <f>O46=ROUND(35*0.1,10)</f>
        <v/>
      </c>
      <c r="F46">
        <f>P46=ROUND(35*0.2,10)</f>
        <v/>
      </c>
      <c r="G46">
        <f>Q46=ROUND(35*0.3,10)</f>
        <v/>
      </c>
      <c r="H46">
        <f>R46=ROUND(35*0.05,10)</f>
        <v/>
      </c>
      <c r="I46">
        <f>S46=ROUND(35*0.01,10)</f>
        <v/>
      </c>
      <c r="J46">
        <f>T46=ROUND(35*0.7,10)</f>
        <v/>
      </c>
      <c r="K46">
        <f>U46=ROUND(35*1.1,10)</f>
        <v/>
      </c>
      <c r="L46">
        <f>V46=ROUND(35*0.25,10)</f>
        <v/>
      </c>
      <c r="M46">
        <f>W46=ROUND(35*0.5,10)</f>
        <v/>
      </c>
      <c r="O46">
        <f>O45+0.1</f>
        <v/>
      </c>
      <c r="P46">
        <f>P45+0.2</f>
        <v/>
      </c>
      <c r="Q46">
        <f>Q45+0.3</f>
        <v/>
      </c>
      <c r="R46">
        <f>R45+0.05</f>
        <v/>
      </c>
      <c r="S46">
        <f>S45+0.01</f>
        <v/>
      </c>
      <c r="T46">
        <f>T45+0.7</f>
        <v/>
      </c>
      <c r="U46">
        <f>U45+1.1</f>
        <v/>
      </c>
      <c r="V46">
        <f>V45+0.25</f>
        <v/>
      </c>
      <c r="W46">
        <f>W45+0.5</f>
        <v/>
      </c>
    </row>
    <row r="47">
      <c r="E47">
        <f>O47=ROUND(36*0.1,10)</f>
        <v/>
      </c>
      <c r="F47">
        <f>P47=ROUND(36*0.2,10)</f>
        <v/>
      </c>
      <c r="G47">
        <f>Q47=ROUND(36*0.3,10)</f>
        <v/>
      </c>
      <c r="H47">
        <f>R47=ROUND(36*0.05,10)</f>
        <v/>
      </c>
      <c r="I47">
        <f>S47=ROUND(36*0.01,10)</f>
        <v/>
      </c>
      <c r="J47">
        <f>T47=ROUND(36*0.7,10)</f>
        <v/>
      </c>
      <c r="K47">
        <f>U47=ROUND(36*1.1,10)</f>
        <v/>
      </c>
      <c r="L47">
        <f>V47=ROUND(36*0.25,10)</f>
        <v/>
      </c>
      <c r="M47">
        <f>W47=ROUND(36*0.5,10)</f>
        <v/>
      </c>
      <c r="O47">
        <f>O46+0.1</f>
        <v/>
      </c>
      <c r="P47">
        <f>P46+0.2</f>
        <v/>
      </c>
      <c r="Q47">
        <f>Q46+0.3</f>
        <v/>
      </c>
      <c r="R47">
        <f>R46+0.05</f>
        <v/>
      </c>
      <c r="S47">
        <f>S46+0.01</f>
        <v/>
      </c>
      <c r="T47">
        <f>T46+0.7</f>
        <v/>
      </c>
      <c r="U47">
        <f>U46+1.1</f>
        <v/>
      </c>
      <c r="V47">
        <f>V46+0.25</f>
        <v/>
      </c>
      <c r="W47">
        <f>W46+0.5</f>
        <v/>
      </c>
    </row>
    <row r="48">
      <c r="E48">
        <f>O48=ROUND(37*0.1,10)</f>
        <v/>
      </c>
      <c r="F48">
        <f>P48=ROUND(37*0.2,10)</f>
        <v/>
      </c>
      <c r="G48">
        <f>Q48=ROUND(37*0.3,10)</f>
        <v/>
      </c>
      <c r="H48">
        <f>R48=ROUND(37*0.05,10)</f>
        <v/>
      </c>
      <c r="I48">
        <f>S48=ROUND(37*0.01,10)</f>
        <v/>
      </c>
      <c r="J48">
        <f>T48=ROUND(37*0.7,10)</f>
        <v/>
      </c>
      <c r="K48">
        <f>U48=ROUND(37*1.1,10)</f>
        <v/>
      </c>
      <c r="L48">
        <f>V48=ROUND(37*0.25,10)</f>
        <v/>
      </c>
      <c r="M48">
        <f>W48=ROUND(37*0.5,10)</f>
        <v/>
      </c>
      <c r="O48">
        <f>O47+0.1</f>
        <v/>
      </c>
      <c r="P48">
        <f>P47+0.2</f>
        <v/>
      </c>
      <c r="Q48">
        <f>Q47+0.3</f>
        <v/>
      </c>
      <c r="R48">
        <f>R47+0.05</f>
        <v/>
      </c>
      <c r="S48">
        <f>S47+0.01</f>
        <v/>
      </c>
      <c r="T48">
        <f>T47+0.7</f>
        <v/>
      </c>
      <c r="U48">
        <f>U47+1.1</f>
        <v/>
      </c>
      <c r="V48">
        <f>V47+0.25</f>
        <v/>
      </c>
      <c r="W48">
        <f>W47+0.5</f>
        <v/>
      </c>
    </row>
    <row r="49">
      <c r="E49">
        <f>O49=ROUND(38*0.1,10)</f>
        <v/>
      </c>
      <c r="F49">
        <f>P49=ROUND(38*0.2,10)</f>
        <v/>
      </c>
      <c r="G49">
        <f>Q49=ROUND(38*0.3,10)</f>
        <v/>
      </c>
      <c r="H49">
        <f>R49=ROUND(38*0.05,10)</f>
        <v/>
      </c>
      <c r="I49">
        <f>S49=ROUND(38*0.01,10)</f>
        <v/>
      </c>
      <c r="J49">
        <f>T49=ROUND(38*0.7,10)</f>
        <v/>
      </c>
      <c r="K49">
        <f>U49=ROUND(38*1.1,10)</f>
        <v/>
      </c>
      <c r="L49">
        <f>V49=ROUND(38*0.25,10)</f>
        <v/>
      </c>
      <c r="M49">
        <f>W49=ROUND(38*0.5,10)</f>
        <v/>
      </c>
      <c r="O49">
        <f>O48+0.1</f>
        <v/>
      </c>
      <c r="P49">
        <f>P48+0.2</f>
        <v/>
      </c>
      <c r="Q49">
        <f>Q48+0.3</f>
        <v/>
      </c>
      <c r="R49">
        <f>R48+0.05</f>
        <v/>
      </c>
      <c r="S49">
        <f>S48+0.01</f>
        <v/>
      </c>
      <c r="T49">
        <f>T48+0.7</f>
        <v/>
      </c>
      <c r="U49">
        <f>U48+1.1</f>
        <v/>
      </c>
      <c r="V49">
        <f>V48+0.25</f>
        <v/>
      </c>
      <c r="W49">
        <f>W48+0.5</f>
        <v/>
      </c>
    </row>
    <row r="50">
      <c r="E50">
        <f>O50=ROUND(39*0.1,10)</f>
        <v/>
      </c>
      <c r="F50">
        <f>P50=ROUND(39*0.2,10)</f>
        <v/>
      </c>
      <c r="G50">
        <f>Q50=ROUND(39*0.3,10)</f>
        <v/>
      </c>
      <c r="H50">
        <f>R50=ROUND(39*0.05,10)</f>
        <v/>
      </c>
      <c r="I50">
        <f>S50=ROUND(39*0.01,10)</f>
        <v/>
      </c>
      <c r="J50">
        <f>T50=ROUND(39*0.7,10)</f>
        <v/>
      </c>
      <c r="K50">
        <f>U50=ROUND(39*1.1,10)</f>
        <v/>
      </c>
      <c r="L50">
        <f>V50=ROUND(39*0.25,10)</f>
        <v/>
      </c>
      <c r="M50">
        <f>W50=ROUND(39*0.5,10)</f>
        <v/>
      </c>
      <c r="O50">
        <f>O49+0.1</f>
        <v/>
      </c>
      <c r="P50">
        <f>P49+0.2</f>
        <v/>
      </c>
      <c r="Q50">
        <f>Q49+0.3</f>
        <v/>
      </c>
      <c r="R50">
        <f>R49+0.05</f>
        <v/>
      </c>
      <c r="S50">
        <f>S49+0.01</f>
        <v/>
      </c>
      <c r="T50">
        <f>T49+0.7</f>
        <v/>
      </c>
      <c r="U50">
        <f>U49+1.1</f>
        <v/>
      </c>
      <c r="V50">
        <f>V49+0.25</f>
        <v/>
      </c>
      <c r="W50">
        <f>W49+0.5</f>
        <v/>
      </c>
    </row>
    <row r="51">
      <c r="E51">
        <f>O51=ROUND(40*0.1,10)</f>
        <v/>
      </c>
      <c r="F51">
        <f>P51=ROUND(40*0.2,10)</f>
        <v/>
      </c>
      <c r="G51">
        <f>Q51=ROUND(40*0.3,10)</f>
        <v/>
      </c>
      <c r="H51">
        <f>R51=ROUND(40*0.05,10)</f>
        <v/>
      </c>
      <c r="I51">
        <f>S51=ROUND(40*0.01,10)</f>
        <v/>
      </c>
      <c r="J51">
        <f>T51=ROUND(40*0.7,10)</f>
        <v/>
      </c>
      <c r="K51">
        <f>U51=ROUND(40*1.1,10)</f>
        <v/>
      </c>
      <c r="L51">
        <f>V51=ROUND(40*0.25,10)</f>
        <v/>
      </c>
      <c r="M51">
        <f>W51=ROUND(40*0.5,10)</f>
        <v/>
      </c>
      <c r="O51">
        <f>O50+0.1</f>
        <v/>
      </c>
      <c r="P51">
        <f>P50+0.2</f>
        <v/>
      </c>
      <c r="Q51">
        <f>Q50+0.3</f>
        <v/>
      </c>
      <c r="R51">
        <f>R50+0.05</f>
        <v/>
      </c>
      <c r="S51">
        <f>S50+0.01</f>
        <v/>
      </c>
      <c r="T51">
        <f>T50+0.7</f>
        <v/>
      </c>
      <c r="U51">
        <f>U50+1.1</f>
        <v/>
      </c>
      <c r="V51">
        <f>V50+0.25</f>
        <v/>
      </c>
      <c r="W51">
        <f>W50+0.5</f>
        <v/>
      </c>
    </row>
    <row r="52">
      <c r="E52">
        <f>O52=ROUND(41*0.1,10)</f>
        <v/>
      </c>
      <c r="F52">
        <f>P52=ROUND(41*0.2,10)</f>
        <v/>
      </c>
      <c r="G52">
        <f>Q52=ROUND(41*0.3,10)</f>
        <v/>
      </c>
      <c r="H52">
        <f>R52=ROUND(41*0.05,10)</f>
        <v/>
      </c>
      <c r="I52">
        <f>S52=ROUND(41*0.01,10)</f>
        <v/>
      </c>
      <c r="J52">
        <f>T52=ROUND(41*0.7,10)</f>
        <v/>
      </c>
      <c r="K52">
        <f>U52=ROUND(41*1.1,10)</f>
        <v/>
      </c>
      <c r="L52">
        <f>V52=ROUND(41*0.25,10)</f>
        <v/>
      </c>
      <c r="M52">
        <f>W52=ROUND(41*0.5,10)</f>
        <v/>
      </c>
      <c r="O52">
        <f>O51+0.1</f>
        <v/>
      </c>
      <c r="P52">
        <f>P51+0.2</f>
        <v/>
      </c>
      <c r="Q52">
        <f>Q51+0.3</f>
        <v/>
      </c>
      <c r="R52">
        <f>R51+0.05</f>
        <v/>
      </c>
      <c r="S52">
        <f>S51+0.01</f>
        <v/>
      </c>
      <c r="T52">
        <f>T51+0.7</f>
        <v/>
      </c>
      <c r="U52">
        <f>U51+1.1</f>
        <v/>
      </c>
      <c r="V52">
        <f>V51+0.25</f>
        <v/>
      </c>
      <c r="W52">
        <f>W51+0.5</f>
        <v/>
      </c>
    </row>
    <row r="53">
      <c r="E53">
        <f>O53=ROUND(42*0.1,10)</f>
        <v/>
      </c>
      <c r="F53">
        <f>P53=ROUND(42*0.2,10)</f>
        <v/>
      </c>
      <c r="G53">
        <f>Q53=ROUND(42*0.3,10)</f>
        <v/>
      </c>
      <c r="H53">
        <f>R53=ROUND(42*0.05,10)</f>
        <v/>
      </c>
      <c r="I53">
        <f>S53=ROUND(42*0.01,10)</f>
        <v/>
      </c>
      <c r="J53">
        <f>T53=ROUND(42*0.7,10)</f>
        <v/>
      </c>
      <c r="K53">
        <f>U53=ROUND(42*1.1,10)</f>
        <v/>
      </c>
      <c r="L53">
        <f>V53=ROUND(42*0.25,10)</f>
        <v/>
      </c>
      <c r="M53">
        <f>W53=ROUND(42*0.5,10)</f>
        <v/>
      </c>
      <c r="O53">
        <f>O52+0.1</f>
        <v/>
      </c>
      <c r="P53">
        <f>P52+0.2</f>
        <v/>
      </c>
      <c r="Q53">
        <f>Q52+0.3</f>
        <v/>
      </c>
      <c r="R53">
        <f>R52+0.05</f>
        <v/>
      </c>
      <c r="S53">
        <f>S52+0.01</f>
        <v/>
      </c>
      <c r="T53">
        <f>T52+0.7</f>
        <v/>
      </c>
      <c r="U53">
        <f>U52+1.1</f>
        <v/>
      </c>
      <c r="V53">
        <f>V52+0.25</f>
        <v/>
      </c>
      <c r="W53">
        <f>W52+0.5</f>
        <v/>
      </c>
    </row>
    <row r="54">
      <c r="E54">
        <f>O54=ROUND(43*0.1,10)</f>
        <v/>
      </c>
      <c r="F54">
        <f>P54=ROUND(43*0.2,10)</f>
        <v/>
      </c>
      <c r="G54">
        <f>Q54=ROUND(43*0.3,10)</f>
        <v/>
      </c>
      <c r="H54">
        <f>R54=ROUND(43*0.05,10)</f>
        <v/>
      </c>
      <c r="I54">
        <f>S54=ROUND(43*0.01,10)</f>
        <v/>
      </c>
      <c r="J54">
        <f>T54=ROUND(43*0.7,10)</f>
        <v/>
      </c>
      <c r="K54">
        <f>U54=ROUND(43*1.1,10)</f>
        <v/>
      </c>
      <c r="L54">
        <f>V54=ROUND(43*0.25,10)</f>
        <v/>
      </c>
      <c r="M54">
        <f>W54=ROUND(43*0.5,10)</f>
        <v/>
      </c>
      <c r="O54">
        <f>O53+0.1</f>
        <v/>
      </c>
      <c r="P54">
        <f>P53+0.2</f>
        <v/>
      </c>
      <c r="Q54">
        <f>Q53+0.3</f>
        <v/>
      </c>
      <c r="R54">
        <f>R53+0.05</f>
        <v/>
      </c>
      <c r="S54">
        <f>S53+0.01</f>
        <v/>
      </c>
      <c r="T54">
        <f>T53+0.7</f>
        <v/>
      </c>
      <c r="U54">
        <f>U53+1.1</f>
        <v/>
      </c>
      <c r="V54">
        <f>V53+0.25</f>
        <v/>
      </c>
      <c r="W54">
        <f>W53+0.5</f>
        <v/>
      </c>
    </row>
    <row r="55">
      <c r="E55">
        <f>O55=ROUND(44*0.1,10)</f>
        <v/>
      </c>
      <c r="F55">
        <f>P55=ROUND(44*0.2,10)</f>
        <v/>
      </c>
      <c r="G55">
        <f>Q55=ROUND(44*0.3,10)</f>
        <v/>
      </c>
      <c r="H55">
        <f>R55=ROUND(44*0.05,10)</f>
        <v/>
      </c>
      <c r="I55">
        <f>S55=ROUND(44*0.01,10)</f>
        <v/>
      </c>
      <c r="J55">
        <f>T55=ROUND(44*0.7,10)</f>
        <v/>
      </c>
      <c r="K55">
        <f>U55=ROUND(44*1.1,10)</f>
        <v/>
      </c>
      <c r="L55">
        <f>V55=ROUND(44*0.25,10)</f>
        <v/>
      </c>
      <c r="M55">
        <f>W55=ROUND(44*0.5,10)</f>
        <v/>
      </c>
      <c r="O55">
        <f>O54+0.1</f>
        <v/>
      </c>
      <c r="P55">
        <f>P54+0.2</f>
        <v/>
      </c>
      <c r="Q55">
        <f>Q54+0.3</f>
        <v/>
      </c>
      <c r="R55">
        <f>R54+0.05</f>
        <v/>
      </c>
      <c r="S55">
        <f>S54+0.01</f>
        <v/>
      </c>
      <c r="T55">
        <f>T54+0.7</f>
        <v/>
      </c>
      <c r="U55">
        <f>U54+1.1</f>
        <v/>
      </c>
      <c r="V55">
        <f>V54+0.25</f>
        <v/>
      </c>
      <c r="W55">
        <f>W54+0.5</f>
        <v/>
      </c>
    </row>
    <row r="56">
      <c r="E56">
        <f>O56=ROUND(45*0.1,10)</f>
        <v/>
      </c>
      <c r="F56">
        <f>P56=ROUND(45*0.2,10)</f>
        <v/>
      </c>
      <c r="G56">
        <f>Q56=ROUND(45*0.3,10)</f>
        <v/>
      </c>
      <c r="H56">
        <f>R56=ROUND(45*0.05,10)</f>
        <v/>
      </c>
      <c r="I56">
        <f>S56=ROUND(45*0.01,10)</f>
        <v/>
      </c>
      <c r="J56">
        <f>T56=ROUND(45*0.7,10)</f>
        <v/>
      </c>
      <c r="K56">
        <f>U56=ROUND(45*1.1,10)</f>
        <v/>
      </c>
      <c r="L56">
        <f>V56=ROUND(45*0.25,10)</f>
        <v/>
      </c>
      <c r="M56">
        <f>W56=ROUND(45*0.5,10)</f>
        <v/>
      </c>
      <c r="O56">
        <f>O55+0.1</f>
        <v/>
      </c>
      <c r="P56">
        <f>P55+0.2</f>
        <v/>
      </c>
      <c r="Q56">
        <f>Q55+0.3</f>
        <v/>
      </c>
      <c r="R56">
        <f>R55+0.05</f>
        <v/>
      </c>
      <c r="S56">
        <f>S55+0.01</f>
        <v/>
      </c>
      <c r="T56">
        <f>T55+0.7</f>
        <v/>
      </c>
      <c r="U56">
        <f>U55+1.1</f>
        <v/>
      </c>
      <c r="V56">
        <f>V55+0.25</f>
        <v/>
      </c>
      <c r="W56">
        <f>W55+0.5</f>
        <v/>
      </c>
    </row>
    <row r="57">
      <c r="E57">
        <f>O57=ROUND(46*0.1,10)</f>
        <v/>
      </c>
      <c r="F57">
        <f>P57=ROUND(46*0.2,10)</f>
        <v/>
      </c>
      <c r="G57">
        <f>Q57=ROUND(46*0.3,10)</f>
        <v/>
      </c>
      <c r="H57">
        <f>R57=ROUND(46*0.05,10)</f>
        <v/>
      </c>
      <c r="I57">
        <f>S57=ROUND(46*0.01,10)</f>
        <v/>
      </c>
      <c r="J57">
        <f>T57=ROUND(46*0.7,10)</f>
        <v/>
      </c>
      <c r="K57">
        <f>U57=ROUND(46*1.1,10)</f>
        <v/>
      </c>
      <c r="L57">
        <f>V57=ROUND(46*0.25,10)</f>
        <v/>
      </c>
      <c r="M57">
        <f>W57=ROUND(46*0.5,10)</f>
        <v/>
      </c>
      <c r="O57">
        <f>O56+0.1</f>
        <v/>
      </c>
      <c r="P57">
        <f>P56+0.2</f>
        <v/>
      </c>
      <c r="Q57">
        <f>Q56+0.3</f>
        <v/>
      </c>
      <c r="R57">
        <f>R56+0.05</f>
        <v/>
      </c>
      <c r="S57">
        <f>S56+0.01</f>
        <v/>
      </c>
      <c r="T57">
        <f>T56+0.7</f>
        <v/>
      </c>
      <c r="U57">
        <f>U56+1.1</f>
        <v/>
      </c>
      <c r="V57">
        <f>V56+0.25</f>
        <v/>
      </c>
      <c r="W57">
        <f>W56+0.5</f>
        <v/>
      </c>
    </row>
    <row r="58">
      <c r="E58">
        <f>O58=ROUND(47*0.1,10)</f>
        <v/>
      </c>
      <c r="F58">
        <f>P58=ROUND(47*0.2,10)</f>
        <v/>
      </c>
      <c r="G58">
        <f>Q58=ROUND(47*0.3,10)</f>
        <v/>
      </c>
      <c r="H58">
        <f>R58=ROUND(47*0.05,10)</f>
        <v/>
      </c>
      <c r="I58">
        <f>S58=ROUND(47*0.01,10)</f>
        <v/>
      </c>
      <c r="J58">
        <f>T58=ROUND(47*0.7,10)</f>
        <v/>
      </c>
      <c r="K58">
        <f>U58=ROUND(47*1.1,10)</f>
        <v/>
      </c>
      <c r="L58">
        <f>V58=ROUND(47*0.25,10)</f>
        <v/>
      </c>
      <c r="M58">
        <f>W58=ROUND(47*0.5,10)</f>
        <v/>
      </c>
      <c r="O58">
        <f>O57+0.1</f>
        <v/>
      </c>
      <c r="P58">
        <f>P57+0.2</f>
        <v/>
      </c>
      <c r="Q58">
        <f>Q57+0.3</f>
        <v/>
      </c>
      <c r="R58">
        <f>R57+0.05</f>
        <v/>
      </c>
      <c r="S58">
        <f>S57+0.01</f>
        <v/>
      </c>
      <c r="T58">
        <f>T57+0.7</f>
        <v/>
      </c>
      <c r="U58">
        <f>U57+1.1</f>
        <v/>
      </c>
      <c r="V58">
        <f>V57+0.25</f>
        <v/>
      </c>
      <c r="W58">
        <f>W57+0.5</f>
        <v/>
      </c>
    </row>
    <row r="59">
      <c r="E59">
        <f>O59=ROUND(48*0.1,10)</f>
        <v/>
      </c>
      <c r="F59">
        <f>P59=ROUND(48*0.2,10)</f>
        <v/>
      </c>
      <c r="G59">
        <f>Q59=ROUND(48*0.3,10)</f>
        <v/>
      </c>
      <c r="H59">
        <f>R59=ROUND(48*0.05,10)</f>
        <v/>
      </c>
      <c r="I59">
        <f>S59=ROUND(48*0.01,10)</f>
        <v/>
      </c>
      <c r="J59">
        <f>T59=ROUND(48*0.7,10)</f>
        <v/>
      </c>
      <c r="K59">
        <f>U59=ROUND(48*1.1,10)</f>
        <v/>
      </c>
      <c r="L59">
        <f>V59=ROUND(48*0.25,10)</f>
        <v/>
      </c>
      <c r="M59">
        <f>W59=ROUND(48*0.5,10)</f>
        <v/>
      </c>
      <c r="O59">
        <f>O58+0.1</f>
        <v/>
      </c>
      <c r="P59">
        <f>P58+0.2</f>
        <v/>
      </c>
      <c r="Q59">
        <f>Q58+0.3</f>
        <v/>
      </c>
      <c r="R59">
        <f>R58+0.05</f>
        <v/>
      </c>
      <c r="S59">
        <f>S58+0.01</f>
        <v/>
      </c>
      <c r="T59">
        <f>T58+0.7</f>
        <v/>
      </c>
      <c r="U59">
        <f>U58+1.1</f>
        <v/>
      </c>
      <c r="V59">
        <f>V58+0.25</f>
        <v/>
      </c>
      <c r="W59">
        <f>W58+0.5</f>
        <v/>
      </c>
    </row>
    <row r="60">
      <c r="E60">
        <f>O60=ROUND(49*0.1,10)</f>
        <v/>
      </c>
      <c r="F60">
        <f>P60=ROUND(49*0.2,10)</f>
        <v/>
      </c>
      <c r="G60">
        <f>Q60=ROUND(49*0.3,10)</f>
        <v/>
      </c>
      <c r="H60">
        <f>R60=ROUND(49*0.05,10)</f>
        <v/>
      </c>
      <c r="I60">
        <f>S60=ROUND(49*0.01,10)</f>
        <v/>
      </c>
      <c r="J60">
        <f>T60=ROUND(49*0.7,10)</f>
        <v/>
      </c>
      <c r="K60">
        <f>U60=ROUND(49*1.1,10)</f>
        <v/>
      </c>
      <c r="L60">
        <f>V60=ROUND(49*0.25,10)</f>
        <v/>
      </c>
      <c r="M60">
        <f>W60=ROUND(49*0.5,10)</f>
        <v/>
      </c>
      <c r="O60">
        <f>O59+0.1</f>
        <v/>
      </c>
      <c r="P60">
        <f>P59+0.2</f>
        <v/>
      </c>
      <c r="Q60">
        <f>Q59+0.3</f>
        <v/>
      </c>
      <c r="R60">
        <f>R59+0.05</f>
        <v/>
      </c>
      <c r="S60">
        <f>S59+0.01</f>
        <v/>
      </c>
      <c r="T60">
        <f>T59+0.7</f>
        <v/>
      </c>
      <c r="U60">
        <f>U59+1.1</f>
        <v/>
      </c>
      <c r="V60">
        <f>V59+0.25</f>
        <v/>
      </c>
      <c r="W60">
        <f>W59+0.5</f>
        <v/>
      </c>
    </row>
    <row r="61">
      <c r="E61">
        <f>O61=ROUND(50*0.1,10)</f>
        <v/>
      </c>
      <c r="F61">
        <f>P61=ROUND(50*0.2,10)</f>
        <v/>
      </c>
      <c r="G61">
        <f>Q61=ROUND(50*0.3,10)</f>
        <v/>
      </c>
      <c r="H61">
        <f>R61=ROUND(50*0.05,10)</f>
        <v/>
      </c>
      <c r="I61">
        <f>S61=ROUND(50*0.01,10)</f>
        <v/>
      </c>
      <c r="J61">
        <f>T61=ROUND(50*0.7,10)</f>
        <v/>
      </c>
      <c r="K61">
        <f>U61=ROUND(50*1.1,10)</f>
        <v/>
      </c>
      <c r="L61">
        <f>V61=ROUND(50*0.25,10)</f>
        <v/>
      </c>
      <c r="M61">
        <f>W61=ROUND(50*0.5,10)</f>
        <v/>
      </c>
      <c r="O61">
        <f>O60+0.1</f>
        <v/>
      </c>
      <c r="P61">
        <f>P60+0.2</f>
        <v/>
      </c>
      <c r="Q61">
        <f>Q60+0.3</f>
        <v/>
      </c>
      <c r="R61">
        <f>R60+0.05</f>
        <v/>
      </c>
      <c r="S61">
        <f>S60+0.01</f>
        <v/>
      </c>
      <c r="T61">
        <f>T60+0.7</f>
        <v/>
      </c>
      <c r="U61">
        <f>U60+1.1</f>
        <v/>
      </c>
      <c r="V61">
        <f>V60+0.25</f>
        <v/>
      </c>
      <c r="W61">
        <f>W60+0.5</f>
        <v/>
      </c>
    </row>
    <row r="62">
      <c r="E62">
        <f>O62=ROUND(51*0.1,10)</f>
        <v/>
      </c>
      <c r="F62">
        <f>P62=ROUND(51*0.2,10)</f>
        <v/>
      </c>
      <c r="G62">
        <f>Q62=ROUND(51*0.3,10)</f>
        <v/>
      </c>
      <c r="H62">
        <f>R62=ROUND(51*0.05,10)</f>
        <v/>
      </c>
      <c r="I62">
        <f>S62=ROUND(51*0.01,10)</f>
        <v/>
      </c>
      <c r="J62">
        <f>T62=ROUND(51*0.7,10)</f>
        <v/>
      </c>
      <c r="K62">
        <f>U62=ROUND(51*1.1,10)</f>
        <v/>
      </c>
      <c r="L62">
        <f>V62=ROUND(51*0.25,10)</f>
        <v/>
      </c>
      <c r="M62">
        <f>W62=ROUND(51*0.5,10)</f>
        <v/>
      </c>
      <c r="O62">
        <f>O61+0.1</f>
        <v/>
      </c>
      <c r="P62">
        <f>P61+0.2</f>
        <v/>
      </c>
      <c r="Q62">
        <f>Q61+0.3</f>
        <v/>
      </c>
      <c r="R62">
        <f>R61+0.05</f>
        <v/>
      </c>
      <c r="S62">
        <f>S61+0.01</f>
        <v/>
      </c>
      <c r="T62">
        <f>T61+0.7</f>
        <v/>
      </c>
      <c r="U62">
        <f>U61+1.1</f>
        <v/>
      </c>
      <c r="V62">
        <f>V61+0.25</f>
        <v/>
      </c>
      <c r="W62">
        <f>W61+0.5</f>
        <v/>
      </c>
    </row>
    <row r="63">
      <c r="E63">
        <f>O63=ROUND(52*0.1,10)</f>
        <v/>
      </c>
      <c r="F63">
        <f>P63=ROUND(52*0.2,10)</f>
        <v/>
      </c>
      <c r="G63">
        <f>Q63=ROUND(52*0.3,10)</f>
        <v/>
      </c>
      <c r="H63">
        <f>R63=ROUND(52*0.05,10)</f>
        <v/>
      </c>
      <c r="I63">
        <f>S63=ROUND(52*0.01,10)</f>
        <v/>
      </c>
      <c r="J63">
        <f>T63=ROUND(52*0.7,10)</f>
        <v/>
      </c>
      <c r="K63">
        <f>U63=ROUND(52*1.1,10)</f>
        <v/>
      </c>
      <c r="L63">
        <f>V63=ROUND(52*0.25,10)</f>
        <v/>
      </c>
      <c r="M63">
        <f>W63=ROUND(52*0.5,10)</f>
        <v/>
      </c>
      <c r="O63">
        <f>O62+0.1</f>
        <v/>
      </c>
      <c r="P63">
        <f>P62+0.2</f>
        <v/>
      </c>
      <c r="Q63">
        <f>Q62+0.3</f>
        <v/>
      </c>
      <c r="R63">
        <f>R62+0.05</f>
        <v/>
      </c>
      <c r="S63">
        <f>S62+0.01</f>
        <v/>
      </c>
      <c r="T63">
        <f>T62+0.7</f>
        <v/>
      </c>
      <c r="U63">
        <f>U62+1.1</f>
        <v/>
      </c>
      <c r="V63">
        <f>V62+0.25</f>
        <v/>
      </c>
      <c r="W63">
        <f>W62+0.5</f>
        <v/>
      </c>
    </row>
    <row r="64">
      <c r="E64">
        <f>O64=ROUND(53*0.1,10)</f>
        <v/>
      </c>
      <c r="F64">
        <f>P64=ROUND(53*0.2,10)</f>
        <v/>
      </c>
      <c r="G64">
        <f>Q64=ROUND(53*0.3,10)</f>
        <v/>
      </c>
      <c r="H64">
        <f>R64=ROUND(53*0.05,10)</f>
        <v/>
      </c>
      <c r="I64">
        <f>S64=ROUND(53*0.01,10)</f>
        <v/>
      </c>
      <c r="J64">
        <f>T64=ROUND(53*0.7,10)</f>
        <v/>
      </c>
      <c r="K64">
        <f>U64=ROUND(53*1.1,10)</f>
        <v/>
      </c>
      <c r="L64">
        <f>V64=ROUND(53*0.25,10)</f>
        <v/>
      </c>
      <c r="M64">
        <f>W64=ROUND(53*0.5,10)</f>
        <v/>
      </c>
      <c r="O64">
        <f>O63+0.1</f>
        <v/>
      </c>
      <c r="P64">
        <f>P63+0.2</f>
        <v/>
      </c>
      <c r="Q64">
        <f>Q63+0.3</f>
        <v/>
      </c>
      <c r="R64">
        <f>R63+0.05</f>
        <v/>
      </c>
      <c r="S64">
        <f>S63+0.01</f>
        <v/>
      </c>
      <c r="T64">
        <f>T63+0.7</f>
        <v/>
      </c>
      <c r="U64">
        <f>U63+1.1</f>
        <v/>
      </c>
      <c r="V64">
        <f>V63+0.25</f>
        <v/>
      </c>
      <c r="W64">
        <f>W63+0.5</f>
        <v/>
      </c>
    </row>
    <row r="65">
      <c r="E65">
        <f>O65=ROUND(54*0.1,10)</f>
        <v/>
      </c>
      <c r="F65">
        <f>P65=ROUND(54*0.2,10)</f>
        <v/>
      </c>
      <c r="G65">
        <f>Q65=ROUND(54*0.3,10)</f>
        <v/>
      </c>
      <c r="H65">
        <f>R65=ROUND(54*0.05,10)</f>
        <v/>
      </c>
      <c r="I65">
        <f>S65=ROUND(54*0.01,10)</f>
        <v/>
      </c>
      <c r="J65">
        <f>T65=ROUND(54*0.7,10)</f>
        <v/>
      </c>
      <c r="K65">
        <f>U65=ROUND(54*1.1,10)</f>
        <v/>
      </c>
      <c r="L65">
        <f>V65=ROUND(54*0.25,10)</f>
        <v/>
      </c>
      <c r="M65">
        <f>W65=ROUND(54*0.5,10)</f>
        <v/>
      </c>
      <c r="O65">
        <f>O64+0.1</f>
        <v/>
      </c>
      <c r="P65">
        <f>P64+0.2</f>
        <v/>
      </c>
      <c r="Q65">
        <f>Q64+0.3</f>
        <v/>
      </c>
      <c r="R65">
        <f>R64+0.05</f>
        <v/>
      </c>
      <c r="S65">
        <f>S64+0.01</f>
        <v/>
      </c>
      <c r="T65">
        <f>T64+0.7</f>
        <v/>
      </c>
      <c r="U65">
        <f>U64+1.1</f>
        <v/>
      </c>
      <c r="V65">
        <f>V64+0.25</f>
        <v/>
      </c>
      <c r="W65">
        <f>W64+0.5</f>
        <v/>
      </c>
    </row>
    <row r="66">
      <c r="E66">
        <f>O66=ROUND(55*0.1,10)</f>
        <v/>
      </c>
      <c r="F66">
        <f>P66=ROUND(55*0.2,10)</f>
        <v/>
      </c>
      <c r="G66">
        <f>Q66=ROUND(55*0.3,10)</f>
        <v/>
      </c>
      <c r="H66">
        <f>R66=ROUND(55*0.05,10)</f>
        <v/>
      </c>
      <c r="I66">
        <f>S66=ROUND(55*0.01,10)</f>
        <v/>
      </c>
      <c r="J66">
        <f>T66=ROUND(55*0.7,10)</f>
        <v/>
      </c>
      <c r="K66">
        <f>U66=ROUND(55*1.1,10)</f>
        <v/>
      </c>
      <c r="L66">
        <f>V66=ROUND(55*0.25,10)</f>
        <v/>
      </c>
      <c r="M66">
        <f>W66=ROUND(55*0.5,10)</f>
        <v/>
      </c>
      <c r="O66">
        <f>O65+0.1</f>
        <v/>
      </c>
      <c r="P66">
        <f>P65+0.2</f>
        <v/>
      </c>
      <c r="Q66">
        <f>Q65+0.3</f>
        <v/>
      </c>
      <c r="R66">
        <f>R65+0.05</f>
        <v/>
      </c>
      <c r="S66">
        <f>S65+0.01</f>
        <v/>
      </c>
      <c r="T66">
        <f>T65+0.7</f>
        <v/>
      </c>
      <c r="U66">
        <f>U65+1.1</f>
        <v/>
      </c>
      <c r="V66">
        <f>V65+0.25</f>
        <v/>
      </c>
      <c r="W66">
        <f>W65+0.5</f>
        <v/>
      </c>
    </row>
    <row r="67">
      <c r="E67">
        <f>O67=ROUND(56*0.1,10)</f>
        <v/>
      </c>
      <c r="F67">
        <f>P67=ROUND(56*0.2,10)</f>
        <v/>
      </c>
      <c r="G67">
        <f>Q67=ROUND(56*0.3,10)</f>
        <v/>
      </c>
      <c r="H67">
        <f>R67=ROUND(56*0.05,10)</f>
        <v/>
      </c>
      <c r="I67">
        <f>S67=ROUND(56*0.01,10)</f>
        <v/>
      </c>
      <c r="J67">
        <f>T67=ROUND(56*0.7,10)</f>
        <v/>
      </c>
      <c r="K67">
        <f>U67=ROUND(56*1.1,10)</f>
        <v/>
      </c>
      <c r="L67">
        <f>V67=ROUND(56*0.25,10)</f>
        <v/>
      </c>
      <c r="M67">
        <f>W67=ROUND(56*0.5,10)</f>
        <v/>
      </c>
      <c r="O67">
        <f>O66+0.1</f>
        <v/>
      </c>
      <c r="P67">
        <f>P66+0.2</f>
        <v/>
      </c>
      <c r="Q67">
        <f>Q66+0.3</f>
        <v/>
      </c>
      <c r="R67">
        <f>R66+0.05</f>
        <v/>
      </c>
      <c r="S67">
        <f>S66+0.01</f>
        <v/>
      </c>
      <c r="T67">
        <f>T66+0.7</f>
        <v/>
      </c>
      <c r="U67">
        <f>U66+1.1</f>
        <v/>
      </c>
      <c r="V67">
        <f>V66+0.25</f>
        <v/>
      </c>
      <c r="W67">
        <f>W66+0.5</f>
        <v/>
      </c>
    </row>
    <row r="68">
      <c r="E68">
        <f>O68=ROUND(57*0.1,10)</f>
        <v/>
      </c>
      <c r="F68">
        <f>P68=ROUND(57*0.2,10)</f>
        <v/>
      </c>
      <c r="G68">
        <f>Q68=ROUND(57*0.3,10)</f>
        <v/>
      </c>
      <c r="H68">
        <f>R68=ROUND(57*0.05,10)</f>
        <v/>
      </c>
      <c r="I68">
        <f>S68=ROUND(57*0.01,10)</f>
        <v/>
      </c>
      <c r="J68">
        <f>T68=ROUND(57*0.7,10)</f>
        <v/>
      </c>
      <c r="K68">
        <f>U68=ROUND(57*1.1,10)</f>
        <v/>
      </c>
      <c r="L68">
        <f>V68=ROUND(57*0.25,10)</f>
        <v/>
      </c>
      <c r="M68">
        <f>W68=ROUND(57*0.5,10)</f>
        <v/>
      </c>
      <c r="O68">
        <f>O67+0.1</f>
        <v/>
      </c>
      <c r="P68">
        <f>P67+0.2</f>
        <v/>
      </c>
      <c r="Q68">
        <f>Q67+0.3</f>
        <v/>
      </c>
      <c r="R68">
        <f>R67+0.05</f>
        <v/>
      </c>
      <c r="S68">
        <f>S67+0.01</f>
        <v/>
      </c>
      <c r="T68">
        <f>T67+0.7</f>
        <v/>
      </c>
      <c r="U68">
        <f>U67+1.1</f>
        <v/>
      </c>
      <c r="V68">
        <f>V67+0.25</f>
        <v/>
      </c>
      <c r="W68">
        <f>W67+0.5</f>
        <v/>
      </c>
    </row>
    <row r="69">
      <c r="E69">
        <f>O69=ROUND(58*0.1,10)</f>
        <v/>
      </c>
      <c r="F69">
        <f>P69=ROUND(58*0.2,10)</f>
        <v/>
      </c>
      <c r="G69">
        <f>Q69=ROUND(58*0.3,10)</f>
        <v/>
      </c>
      <c r="H69">
        <f>R69=ROUND(58*0.05,10)</f>
        <v/>
      </c>
      <c r="I69">
        <f>S69=ROUND(58*0.01,10)</f>
        <v/>
      </c>
      <c r="J69">
        <f>T69=ROUND(58*0.7,10)</f>
        <v/>
      </c>
      <c r="K69">
        <f>U69=ROUND(58*1.1,10)</f>
        <v/>
      </c>
      <c r="L69">
        <f>V69=ROUND(58*0.25,10)</f>
        <v/>
      </c>
      <c r="M69">
        <f>W69=ROUND(58*0.5,10)</f>
        <v/>
      </c>
      <c r="O69">
        <f>O68+0.1</f>
        <v/>
      </c>
      <c r="P69">
        <f>P68+0.2</f>
        <v/>
      </c>
      <c r="Q69">
        <f>Q68+0.3</f>
        <v/>
      </c>
      <c r="R69">
        <f>R68+0.05</f>
        <v/>
      </c>
      <c r="S69">
        <f>S68+0.01</f>
        <v/>
      </c>
      <c r="T69">
        <f>T68+0.7</f>
        <v/>
      </c>
      <c r="U69">
        <f>U68+1.1</f>
        <v/>
      </c>
      <c r="V69">
        <f>V68+0.25</f>
        <v/>
      </c>
      <c r="W69">
        <f>W68+0.5</f>
        <v/>
      </c>
    </row>
    <row r="70">
      <c r="E70">
        <f>O70=ROUND(59*0.1,10)</f>
        <v/>
      </c>
      <c r="F70">
        <f>P70=ROUND(59*0.2,10)</f>
        <v/>
      </c>
      <c r="G70">
        <f>Q70=ROUND(59*0.3,10)</f>
        <v/>
      </c>
      <c r="H70">
        <f>R70=ROUND(59*0.05,10)</f>
        <v/>
      </c>
      <c r="I70">
        <f>S70=ROUND(59*0.01,10)</f>
        <v/>
      </c>
      <c r="J70">
        <f>T70=ROUND(59*0.7,10)</f>
        <v/>
      </c>
      <c r="K70">
        <f>U70=ROUND(59*1.1,10)</f>
        <v/>
      </c>
      <c r="L70">
        <f>V70=ROUND(59*0.25,10)</f>
        <v/>
      </c>
      <c r="M70">
        <f>W70=ROUND(59*0.5,10)</f>
        <v/>
      </c>
      <c r="O70">
        <f>O69+0.1</f>
        <v/>
      </c>
      <c r="P70">
        <f>P69+0.2</f>
        <v/>
      </c>
      <c r="Q70">
        <f>Q69+0.3</f>
        <v/>
      </c>
      <c r="R70">
        <f>R69+0.05</f>
        <v/>
      </c>
      <c r="S70">
        <f>S69+0.01</f>
        <v/>
      </c>
      <c r="T70">
        <f>T69+0.7</f>
        <v/>
      </c>
      <c r="U70">
        <f>U69+1.1</f>
        <v/>
      </c>
      <c r="V70">
        <f>V69+0.25</f>
        <v/>
      </c>
      <c r="W70">
        <f>W69+0.5</f>
        <v/>
      </c>
    </row>
    <row r="71">
      <c r="E71">
        <f>O71=ROUND(60*0.1,10)</f>
        <v/>
      </c>
      <c r="F71">
        <f>P71=ROUND(60*0.2,10)</f>
        <v/>
      </c>
      <c r="G71">
        <f>Q71=ROUND(60*0.3,10)</f>
        <v/>
      </c>
      <c r="H71">
        <f>R71=ROUND(60*0.05,10)</f>
        <v/>
      </c>
      <c r="I71">
        <f>S71=ROUND(60*0.01,10)</f>
        <v/>
      </c>
      <c r="J71">
        <f>T71=ROUND(60*0.7,10)</f>
        <v/>
      </c>
      <c r="K71">
        <f>U71=ROUND(60*1.1,10)</f>
        <v/>
      </c>
      <c r="L71">
        <f>V71=ROUND(60*0.25,10)</f>
        <v/>
      </c>
      <c r="M71">
        <f>W71=ROUND(60*0.5,10)</f>
        <v/>
      </c>
      <c r="O71">
        <f>O70+0.1</f>
        <v/>
      </c>
      <c r="P71">
        <f>P70+0.2</f>
        <v/>
      </c>
      <c r="Q71">
        <f>Q70+0.3</f>
        <v/>
      </c>
      <c r="R71">
        <f>R70+0.05</f>
        <v/>
      </c>
      <c r="S71">
        <f>S70+0.01</f>
        <v/>
      </c>
      <c r="T71">
        <f>T70+0.7</f>
        <v/>
      </c>
      <c r="U71">
        <f>U70+1.1</f>
        <v/>
      </c>
      <c r="V71">
        <f>V70+0.25</f>
        <v/>
      </c>
      <c r="W71">
        <f>W70+0.5</f>
        <v/>
      </c>
    </row>
    <row r="72">
      <c r="E72">
        <f>O72=ROUND(61*0.1,10)</f>
        <v/>
      </c>
      <c r="F72">
        <f>P72=ROUND(61*0.2,10)</f>
        <v/>
      </c>
      <c r="G72">
        <f>Q72=ROUND(61*0.3,10)</f>
        <v/>
      </c>
      <c r="H72">
        <f>R72=ROUND(61*0.05,10)</f>
        <v/>
      </c>
      <c r="I72">
        <f>S72=ROUND(61*0.01,10)</f>
        <v/>
      </c>
      <c r="J72">
        <f>T72=ROUND(61*0.7,10)</f>
        <v/>
      </c>
      <c r="K72">
        <f>U72=ROUND(61*1.1,10)</f>
        <v/>
      </c>
      <c r="L72">
        <f>V72=ROUND(61*0.25,10)</f>
        <v/>
      </c>
      <c r="M72">
        <f>W72=ROUND(61*0.5,10)</f>
        <v/>
      </c>
      <c r="O72">
        <f>O71+0.1</f>
        <v/>
      </c>
      <c r="P72">
        <f>P71+0.2</f>
        <v/>
      </c>
      <c r="Q72">
        <f>Q71+0.3</f>
        <v/>
      </c>
      <c r="R72">
        <f>R71+0.05</f>
        <v/>
      </c>
      <c r="S72">
        <f>S71+0.01</f>
        <v/>
      </c>
      <c r="T72">
        <f>T71+0.7</f>
        <v/>
      </c>
      <c r="U72">
        <f>U71+1.1</f>
        <v/>
      </c>
      <c r="V72">
        <f>V71+0.25</f>
        <v/>
      </c>
      <c r="W72">
        <f>W71+0.5</f>
        <v/>
      </c>
    </row>
    <row r="73">
      <c r="E73">
        <f>O73=ROUND(62*0.1,10)</f>
        <v/>
      </c>
      <c r="F73">
        <f>P73=ROUND(62*0.2,10)</f>
        <v/>
      </c>
      <c r="G73">
        <f>Q73=ROUND(62*0.3,10)</f>
        <v/>
      </c>
      <c r="H73">
        <f>R73=ROUND(62*0.05,10)</f>
        <v/>
      </c>
      <c r="I73">
        <f>S73=ROUND(62*0.01,10)</f>
        <v/>
      </c>
      <c r="J73">
        <f>T73=ROUND(62*0.7,10)</f>
        <v/>
      </c>
      <c r="K73">
        <f>U73=ROUND(62*1.1,10)</f>
        <v/>
      </c>
      <c r="L73">
        <f>V73=ROUND(62*0.25,10)</f>
        <v/>
      </c>
      <c r="M73">
        <f>W73=ROUND(62*0.5,10)</f>
        <v/>
      </c>
      <c r="O73">
        <f>O72+0.1</f>
        <v/>
      </c>
      <c r="P73">
        <f>P72+0.2</f>
        <v/>
      </c>
      <c r="Q73">
        <f>Q72+0.3</f>
        <v/>
      </c>
      <c r="R73">
        <f>R72+0.05</f>
        <v/>
      </c>
      <c r="S73">
        <f>S72+0.01</f>
        <v/>
      </c>
      <c r="T73">
        <f>T72+0.7</f>
        <v/>
      </c>
      <c r="U73">
        <f>U72+1.1</f>
        <v/>
      </c>
      <c r="V73">
        <f>V72+0.25</f>
        <v/>
      </c>
      <c r="W73">
        <f>W72+0.5</f>
        <v/>
      </c>
    </row>
    <row r="74">
      <c r="E74">
        <f>O74=ROUND(63*0.1,10)</f>
        <v/>
      </c>
      <c r="F74">
        <f>P74=ROUND(63*0.2,10)</f>
        <v/>
      </c>
      <c r="G74">
        <f>Q74=ROUND(63*0.3,10)</f>
        <v/>
      </c>
      <c r="H74">
        <f>R74=ROUND(63*0.05,10)</f>
        <v/>
      </c>
      <c r="I74">
        <f>S74=ROUND(63*0.01,10)</f>
        <v/>
      </c>
      <c r="J74">
        <f>T74=ROUND(63*0.7,10)</f>
        <v/>
      </c>
      <c r="K74">
        <f>U74=ROUND(63*1.1,10)</f>
        <v/>
      </c>
      <c r="L74">
        <f>V74=ROUND(63*0.25,10)</f>
        <v/>
      </c>
      <c r="M74">
        <f>W74=ROUND(63*0.5,10)</f>
        <v/>
      </c>
      <c r="O74">
        <f>O73+0.1</f>
        <v/>
      </c>
      <c r="P74">
        <f>P73+0.2</f>
        <v/>
      </c>
      <c r="Q74">
        <f>Q73+0.3</f>
        <v/>
      </c>
      <c r="R74">
        <f>R73+0.05</f>
        <v/>
      </c>
      <c r="S74">
        <f>S73+0.01</f>
        <v/>
      </c>
      <c r="T74">
        <f>T73+0.7</f>
        <v/>
      </c>
      <c r="U74">
        <f>U73+1.1</f>
        <v/>
      </c>
      <c r="V74">
        <f>V73+0.25</f>
        <v/>
      </c>
      <c r="W74">
        <f>W73+0.5</f>
        <v/>
      </c>
    </row>
    <row r="75">
      <c r="E75">
        <f>O75=ROUND(64*0.1,10)</f>
        <v/>
      </c>
      <c r="F75">
        <f>P75=ROUND(64*0.2,10)</f>
        <v/>
      </c>
      <c r="G75">
        <f>Q75=ROUND(64*0.3,10)</f>
        <v/>
      </c>
      <c r="H75">
        <f>R75=ROUND(64*0.05,10)</f>
        <v/>
      </c>
      <c r="I75">
        <f>S75=ROUND(64*0.01,10)</f>
        <v/>
      </c>
      <c r="J75">
        <f>T75=ROUND(64*0.7,10)</f>
        <v/>
      </c>
      <c r="K75">
        <f>U75=ROUND(64*1.1,10)</f>
        <v/>
      </c>
      <c r="L75">
        <f>V75=ROUND(64*0.25,10)</f>
        <v/>
      </c>
      <c r="M75">
        <f>W75=ROUND(64*0.5,10)</f>
        <v/>
      </c>
      <c r="O75">
        <f>O74+0.1</f>
        <v/>
      </c>
      <c r="P75">
        <f>P74+0.2</f>
        <v/>
      </c>
      <c r="Q75">
        <f>Q74+0.3</f>
        <v/>
      </c>
      <c r="R75">
        <f>R74+0.05</f>
        <v/>
      </c>
      <c r="S75">
        <f>S74+0.01</f>
        <v/>
      </c>
      <c r="T75">
        <f>T74+0.7</f>
        <v/>
      </c>
      <c r="U75">
        <f>U74+1.1</f>
        <v/>
      </c>
      <c r="V75">
        <f>V74+0.25</f>
        <v/>
      </c>
      <c r="W75">
        <f>W74+0.5</f>
        <v/>
      </c>
    </row>
    <row r="76">
      <c r="E76">
        <f>O76=ROUND(65*0.1,10)</f>
        <v/>
      </c>
      <c r="F76">
        <f>P76=ROUND(65*0.2,10)</f>
        <v/>
      </c>
      <c r="G76">
        <f>Q76=ROUND(65*0.3,10)</f>
        <v/>
      </c>
      <c r="H76">
        <f>R76=ROUND(65*0.05,10)</f>
        <v/>
      </c>
      <c r="I76">
        <f>S76=ROUND(65*0.01,10)</f>
        <v/>
      </c>
      <c r="J76">
        <f>T76=ROUND(65*0.7,10)</f>
        <v/>
      </c>
      <c r="K76">
        <f>U76=ROUND(65*1.1,10)</f>
        <v/>
      </c>
      <c r="L76">
        <f>V76=ROUND(65*0.25,10)</f>
        <v/>
      </c>
      <c r="M76">
        <f>W76=ROUND(65*0.5,10)</f>
        <v/>
      </c>
      <c r="O76">
        <f>O75+0.1</f>
        <v/>
      </c>
      <c r="P76">
        <f>P75+0.2</f>
        <v/>
      </c>
      <c r="Q76">
        <f>Q75+0.3</f>
        <v/>
      </c>
      <c r="R76">
        <f>R75+0.05</f>
        <v/>
      </c>
      <c r="S76">
        <f>S75+0.01</f>
        <v/>
      </c>
      <c r="T76">
        <f>T75+0.7</f>
        <v/>
      </c>
      <c r="U76">
        <f>U75+1.1</f>
        <v/>
      </c>
      <c r="V76">
        <f>V75+0.25</f>
        <v/>
      </c>
      <c r="W76">
        <f>W75+0.5</f>
        <v/>
      </c>
    </row>
    <row r="77">
      <c r="E77">
        <f>O77=ROUND(66*0.1,10)</f>
        <v/>
      </c>
      <c r="F77">
        <f>P77=ROUND(66*0.2,10)</f>
        <v/>
      </c>
      <c r="G77">
        <f>Q77=ROUND(66*0.3,10)</f>
        <v/>
      </c>
      <c r="H77">
        <f>R77=ROUND(66*0.05,10)</f>
        <v/>
      </c>
      <c r="I77">
        <f>S77=ROUND(66*0.01,10)</f>
        <v/>
      </c>
      <c r="J77">
        <f>T77=ROUND(66*0.7,10)</f>
        <v/>
      </c>
      <c r="K77">
        <f>U77=ROUND(66*1.1,10)</f>
        <v/>
      </c>
      <c r="L77">
        <f>V77=ROUND(66*0.25,10)</f>
        <v/>
      </c>
      <c r="M77">
        <f>W77=ROUND(66*0.5,10)</f>
        <v/>
      </c>
      <c r="O77">
        <f>O76+0.1</f>
        <v/>
      </c>
      <c r="P77">
        <f>P76+0.2</f>
        <v/>
      </c>
      <c r="Q77">
        <f>Q76+0.3</f>
        <v/>
      </c>
      <c r="R77">
        <f>R76+0.05</f>
        <v/>
      </c>
      <c r="S77">
        <f>S76+0.01</f>
        <v/>
      </c>
      <c r="T77">
        <f>T76+0.7</f>
        <v/>
      </c>
      <c r="U77">
        <f>U76+1.1</f>
        <v/>
      </c>
      <c r="V77">
        <f>V76+0.25</f>
        <v/>
      </c>
      <c r="W77">
        <f>W76+0.5</f>
        <v/>
      </c>
    </row>
    <row r="78">
      <c r="E78">
        <f>O78=ROUND(67*0.1,10)</f>
        <v/>
      </c>
      <c r="F78">
        <f>P78=ROUND(67*0.2,10)</f>
        <v/>
      </c>
      <c r="G78">
        <f>Q78=ROUND(67*0.3,10)</f>
        <v/>
      </c>
      <c r="H78">
        <f>R78=ROUND(67*0.05,10)</f>
        <v/>
      </c>
      <c r="I78">
        <f>S78=ROUND(67*0.01,10)</f>
        <v/>
      </c>
      <c r="J78">
        <f>T78=ROUND(67*0.7,10)</f>
        <v/>
      </c>
      <c r="K78">
        <f>U78=ROUND(67*1.1,10)</f>
        <v/>
      </c>
      <c r="L78">
        <f>V78=ROUND(67*0.25,10)</f>
        <v/>
      </c>
      <c r="M78">
        <f>W78=ROUND(67*0.5,10)</f>
        <v/>
      </c>
      <c r="O78">
        <f>O77+0.1</f>
        <v/>
      </c>
      <c r="P78">
        <f>P77+0.2</f>
        <v/>
      </c>
      <c r="Q78">
        <f>Q77+0.3</f>
        <v/>
      </c>
      <c r="R78">
        <f>R77+0.05</f>
        <v/>
      </c>
      <c r="S78">
        <f>S77+0.01</f>
        <v/>
      </c>
      <c r="T78">
        <f>T77+0.7</f>
        <v/>
      </c>
      <c r="U78">
        <f>U77+1.1</f>
        <v/>
      </c>
      <c r="V78">
        <f>V77+0.25</f>
        <v/>
      </c>
      <c r="W78">
        <f>W77+0.5</f>
        <v/>
      </c>
    </row>
    <row r="79">
      <c r="E79">
        <f>O79=ROUND(68*0.1,10)</f>
        <v/>
      </c>
      <c r="F79">
        <f>P79=ROUND(68*0.2,10)</f>
        <v/>
      </c>
      <c r="G79">
        <f>Q79=ROUND(68*0.3,10)</f>
        <v/>
      </c>
      <c r="H79">
        <f>R79=ROUND(68*0.05,10)</f>
        <v/>
      </c>
      <c r="I79">
        <f>S79=ROUND(68*0.01,10)</f>
        <v/>
      </c>
      <c r="J79">
        <f>T79=ROUND(68*0.7,10)</f>
        <v/>
      </c>
      <c r="K79">
        <f>U79=ROUND(68*1.1,10)</f>
        <v/>
      </c>
      <c r="L79">
        <f>V79=ROUND(68*0.25,10)</f>
        <v/>
      </c>
      <c r="M79">
        <f>W79=ROUND(68*0.5,10)</f>
        <v/>
      </c>
      <c r="O79">
        <f>O78+0.1</f>
        <v/>
      </c>
      <c r="P79">
        <f>P78+0.2</f>
        <v/>
      </c>
      <c r="Q79">
        <f>Q78+0.3</f>
        <v/>
      </c>
      <c r="R79">
        <f>R78+0.05</f>
        <v/>
      </c>
      <c r="S79">
        <f>S78+0.01</f>
        <v/>
      </c>
      <c r="T79">
        <f>T78+0.7</f>
        <v/>
      </c>
      <c r="U79">
        <f>U78+1.1</f>
        <v/>
      </c>
      <c r="V79">
        <f>V78+0.25</f>
        <v/>
      </c>
      <c r="W79">
        <f>W78+0.5</f>
        <v/>
      </c>
    </row>
    <row r="80">
      <c r="E80">
        <f>O80=ROUND(69*0.1,10)</f>
        <v/>
      </c>
      <c r="F80">
        <f>P80=ROUND(69*0.2,10)</f>
        <v/>
      </c>
      <c r="G80">
        <f>Q80=ROUND(69*0.3,10)</f>
        <v/>
      </c>
      <c r="H80">
        <f>R80=ROUND(69*0.05,10)</f>
        <v/>
      </c>
      <c r="I80">
        <f>S80=ROUND(69*0.01,10)</f>
        <v/>
      </c>
      <c r="J80">
        <f>T80=ROUND(69*0.7,10)</f>
        <v/>
      </c>
      <c r="K80">
        <f>U80=ROUND(69*1.1,10)</f>
        <v/>
      </c>
      <c r="L80">
        <f>V80=ROUND(69*0.25,10)</f>
        <v/>
      </c>
      <c r="M80">
        <f>W80=ROUND(69*0.5,10)</f>
        <v/>
      </c>
      <c r="O80">
        <f>O79+0.1</f>
        <v/>
      </c>
      <c r="P80">
        <f>P79+0.2</f>
        <v/>
      </c>
      <c r="Q80">
        <f>Q79+0.3</f>
        <v/>
      </c>
      <c r="R80">
        <f>R79+0.05</f>
        <v/>
      </c>
      <c r="S80">
        <f>S79+0.01</f>
        <v/>
      </c>
      <c r="T80">
        <f>T79+0.7</f>
        <v/>
      </c>
      <c r="U80">
        <f>U79+1.1</f>
        <v/>
      </c>
      <c r="V80">
        <f>V79+0.25</f>
        <v/>
      </c>
      <c r="W80">
        <f>W79+0.5</f>
        <v/>
      </c>
    </row>
    <row r="81">
      <c r="E81">
        <f>O81=ROUND(70*0.1,10)</f>
        <v/>
      </c>
      <c r="F81">
        <f>P81=ROUND(70*0.2,10)</f>
        <v/>
      </c>
      <c r="G81">
        <f>Q81=ROUND(70*0.3,10)</f>
        <v/>
      </c>
      <c r="H81">
        <f>R81=ROUND(70*0.05,10)</f>
        <v/>
      </c>
      <c r="I81">
        <f>S81=ROUND(70*0.01,10)</f>
        <v/>
      </c>
      <c r="J81">
        <f>T81=ROUND(70*0.7,10)</f>
        <v/>
      </c>
      <c r="K81">
        <f>U81=ROUND(70*1.1,10)</f>
        <v/>
      </c>
      <c r="L81">
        <f>V81=ROUND(70*0.25,10)</f>
        <v/>
      </c>
      <c r="M81">
        <f>W81=ROUND(70*0.5,10)</f>
        <v/>
      </c>
      <c r="O81">
        <f>O80+0.1</f>
        <v/>
      </c>
      <c r="P81">
        <f>P80+0.2</f>
        <v/>
      </c>
      <c r="Q81">
        <f>Q80+0.3</f>
        <v/>
      </c>
      <c r="R81">
        <f>R80+0.05</f>
        <v/>
      </c>
      <c r="S81">
        <f>S80+0.01</f>
        <v/>
      </c>
      <c r="T81">
        <f>T80+0.7</f>
        <v/>
      </c>
      <c r="U81">
        <f>U80+1.1</f>
        <v/>
      </c>
      <c r="V81">
        <f>V80+0.25</f>
        <v/>
      </c>
      <c r="W81">
        <f>W80+0.5</f>
        <v/>
      </c>
    </row>
    <row r="82">
      <c r="E82">
        <f>O82=ROUND(71*0.1,10)</f>
        <v/>
      </c>
      <c r="F82">
        <f>P82=ROUND(71*0.2,10)</f>
        <v/>
      </c>
      <c r="G82">
        <f>Q82=ROUND(71*0.3,10)</f>
        <v/>
      </c>
      <c r="H82">
        <f>R82=ROUND(71*0.05,10)</f>
        <v/>
      </c>
      <c r="I82">
        <f>S82=ROUND(71*0.01,10)</f>
        <v/>
      </c>
      <c r="J82">
        <f>T82=ROUND(71*0.7,10)</f>
        <v/>
      </c>
      <c r="K82">
        <f>U82=ROUND(71*1.1,10)</f>
        <v/>
      </c>
      <c r="L82">
        <f>V82=ROUND(71*0.25,10)</f>
        <v/>
      </c>
      <c r="M82">
        <f>W82=ROUND(71*0.5,10)</f>
        <v/>
      </c>
      <c r="O82">
        <f>O81+0.1</f>
        <v/>
      </c>
      <c r="P82">
        <f>P81+0.2</f>
        <v/>
      </c>
      <c r="Q82">
        <f>Q81+0.3</f>
        <v/>
      </c>
      <c r="R82">
        <f>R81+0.05</f>
        <v/>
      </c>
      <c r="S82">
        <f>S81+0.01</f>
        <v/>
      </c>
      <c r="T82">
        <f>T81+0.7</f>
        <v/>
      </c>
      <c r="U82">
        <f>U81+1.1</f>
        <v/>
      </c>
      <c r="V82">
        <f>V81+0.25</f>
        <v/>
      </c>
      <c r="W82">
        <f>W81+0.5</f>
        <v/>
      </c>
    </row>
    <row r="83">
      <c r="E83">
        <f>O83=ROUND(72*0.1,10)</f>
        <v/>
      </c>
      <c r="F83">
        <f>P83=ROUND(72*0.2,10)</f>
        <v/>
      </c>
      <c r="G83">
        <f>Q83=ROUND(72*0.3,10)</f>
        <v/>
      </c>
      <c r="H83">
        <f>R83=ROUND(72*0.05,10)</f>
        <v/>
      </c>
      <c r="I83">
        <f>S83=ROUND(72*0.01,10)</f>
        <v/>
      </c>
      <c r="J83">
        <f>T83=ROUND(72*0.7,10)</f>
        <v/>
      </c>
      <c r="K83">
        <f>U83=ROUND(72*1.1,10)</f>
        <v/>
      </c>
      <c r="L83">
        <f>V83=ROUND(72*0.25,10)</f>
        <v/>
      </c>
      <c r="M83">
        <f>W83=ROUND(72*0.5,10)</f>
        <v/>
      </c>
      <c r="O83">
        <f>O82+0.1</f>
        <v/>
      </c>
      <c r="P83">
        <f>P82+0.2</f>
        <v/>
      </c>
      <c r="Q83">
        <f>Q82+0.3</f>
        <v/>
      </c>
      <c r="R83">
        <f>R82+0.05</f>
        <v/>
      </c>
      <c r="S83">
        <f>S82+0.01</f>
        <v/>
      </c>
      <c r="T83">
        <f>T82+0.7</f>
        <v/>
      </c>
      <c r="U83">
        <f>U82+1.1</f>
        <v/>
      </c>
      <c r="V83">
        <f>V82+0.25</f>
        <v/>
      </c>
      <c r="W83">
        <f>W82+0.5</f>
        <v/>
      </c>
    </row>
    <row r="84">
      <c r="E84">
        <f>O84=ROUND(73*0.1,10)</f>
        <v/>
      </c>
      <c r="F84">
        <f>P84=ROUND(73*0.2,10)</f>
        <v/>
      </c>
      <c r="G84">
        <f>Q84=ROUND(73*0.3,10)</f>
        <v/>
      </c>
      <c r="H84">
        <f>R84=ROUND(73*0.05,10)</f>
        <v/>
      </c>
      <c r="I84">
        <f>S84=ROUND(73*0.01,10)</f>
        <v/>
      </c>
      <c r="J84">
        <f>T84=ROUND(73*0.7,10)</f>
        <v/>
      </c>
      <c r="K84">
        <f>U84=ROUND(73*1.1,10)</f>
        <v/>
      </c>
      <c r="L84">
        <f>V84=ROUND(73*0.25,10)</f>
        <v/>
      </c>
      <c r="M84">
        <f>W84=ROUND(73*0.5,10)</f>
        <v/>
      </c>
      <c r="O84">
        <f>O83+0.1</f>
        <v/>
      </c>
      <c r="P84">
        <f>P83+0.2</f>
        <v/>
      </c>
      <c r="Q84">
        <f>Q83+0.3</f>
        <v/>
      </c>
      <c r="R84">
        <f>R83+0.05</f>
        <v/>
      </c>
      <c r="S84">
        <f>S83+0.01</f>
        <v/>
      </c>
      <c r="T84">
        <f>T83+0.7</f>
        <v/>
      </c>
      <c r="U84">
        <f>U83+1.1</f>
        <v/>
      </c>
      <c r="V84">
        <f>V83+0.25</f>
        <v/>
      </c>
      <c r="W84">
        <f>W83+0.5</f>
        <v/>
      </c>
    </row>
    <row r="85">
      <c r="E85">
        <f>O85=ROUND(74*0.1,10)</f>
        <v/>
      </c>
      <c r="F85">
        <f>P85=ROUND(74*0.2,10)</f>
        <v/>
      </c>
      <c r="G85">
        <f>Q85=ROUND(74*0.3,10)</f>
        <v/>
      </c>
      <c r="H85">
        <f>R85=ROUND(74*0.05,10)</f>
        <v/>
      </c>
      <c r="I85">
        <f>S85=ROUND(74*0.01,10)</f>
        <v/>
      </c>
      <c r="J85">
        <f>T85=ROUND(74*0.7,10)</f>
        <v/>
      </c>
      <c r="K85">
        <f>U85=ROUND(74*1.1,10)</f>
        <v/>
      </c>
      <c r="L85">
        <f>V85=ROUND(74*0.25,10)</f>
        <v/>
      </c>
      <c r="M85">
        <f>W85=ROUND(74*0.5,10)</f>
        <v/>
      </c>
      <c r="O85">
        <f>O84+0.1</f>
        <v/>
      </c>
      <c r="P85">
        <f>P84+0.2</f>
        <v/>
      </c>
      <c r="Q85">
        <f>Q84+0.3</f>
        <v/>
      </c>
      <c r="R85">
        <f>R84+0.05</f>
        <v/>
      </c>
      <c r="S85">
        <f>S84+0.01</f>
        <v/>
      </c>
      <c r="T85">
        <f>T84+0.7</f>
        <v/>
      </c>
      <c r="U85">
        <f>U84+1.1</f>
        <v/>
      </c>
      <c r="V85">
        <f>V84+0.25</f>
        <v/>
      </c>
      <c r="W85">
        <f>W84+0.5</f>
        <v/>
      </c>
    </row>
    <row r="86">
      <c r="E86">
        <f>O86=ROUND(75*0.1,10)</f>
        <v/>
      </c>
      <c r="F86">
        <f>P86=ROUND(75*0.2,10)</f>
        <v/>
      </c>
      <c r="G86">
        <f>Q86=ROUND(75*0.3,10)</f>
        <v/>
      </c>
      <c r="H86">
        <f>R86=ROUND(75*0.05,10)</f>
        <v/>
      </c>
      <c r="I86">
        <f>S86=ROUND(75*0.01,10)</f>
        <v/>
      </c>
      <c r="J86">
        <f>T86=ROUND(75*0.7,10)</f>
        <v/>
      </c>
      <c r="K86">
        <f>U86=ROUND(75*1.1,10)</f>
        <v/>
      </c>
      <c r="L86">
        <f>V86=ROUND(75*0.25,10)</f>
        <v/>
      </c>
      <c r="M86">
        <f>W86=ROUND(75*0.5,10)</f>
        <v/>
      </c>
      <c r="O86">
        <f>O85+0.1</f>
        <v/>
      </c>
      <c r="P86">
        <f>P85+0.2</f>
        <v/>
      </c>
      <c r="Q86">
        <f>Q85+0.3</f>
        <v/>
      </c>
      <c r="R86">
        <f>R85+0.05</f>
        <v/>
      </c>
      <c r="S86">
        <f>S85+0.01</f>
        <v/>
      </c>
      <c r="T86">
        <f>T85+0.7</f>
        <v/>
      </c>
      <c r="U86">
        <f>U85+1.1</f>
        <v/>
      </c>
      <c r="V86">
        <f>V85+0.25</f>
        <v/>
      </c>
      <c r="W86">
        <f>W85+0.5</f>
        <v/>
      </c>
    </row>
    <row r="87">
      <c r="E87">
        <f>O87=ROUND(76*0.1,10)</f>
        <v/>
      </c>
      <c r="F87">
        <f>P87=ROUND(76*0.2,10)</f>
        <v/>
      </c>
      <c r="G87">
        <f>Q87=ROUND(76*0.3,10)</f>
        <v/>
      </c>
      <c r="H87">
        <f>R87=ROUND(76*0.05,10)</f>
        <v/>
      </c>
      <c r="I87">
        <f>S87=ROUND(76*0.01,10)</f>
        <v/>
      </c>
      <c r="J87">
        <f>T87=ROUND(76*0.7,10)</f>
        <v/>
      </c>
      <c r="K87">
        <f>U87=ROUND(76*1.1,10)</f>
        <v/>
      </c>
      <c r="L87">
        <f>V87=ROUND(76*0.25,10)</f>
        <v/>
      </c>
      <c r="M87">
        <f>W87=ROUND(76*0.5,10)</f>
        <v/>
      </c>
      <c r="O87">
        <f>O86+0.1</f>
        <v/>
      </c>
      <c r="P87">
        <f>P86+0.2</f>
        <v/>
      </c>
      <c r="Q87">
        <f>Q86+0.3</f>
        <v/>
      </c>
      <c r="R87">
        <f>R86+0.05</f>
        <v/>
      </c>
      <c r="S87">
        <f>S86+0.01</f>
        <v/>
      </c>
      <c r="T87">
        <f>T86+0.7</f>
        <v/>
      </c>
      <c r="U87">
        <f>U86+1.1</f>
        <v/>
      </c>
      <c r="V87">
        <f>V86+0.25</f>
        <v/>
      </c>
      <c r="W87">
        <f>W86+0.5</f>
        <v/>
      </c>
    </row>
    <row r="88">
      <c r="E88">
        <f>O88=ROUND(77*0.1,10)</f>
        <v/>
      </c>
      <c r="F88">
        <f>P88=ROUND(77*0.2,10)</f>
        <v/>
      </c>
      <c r="G88">
        <f>Q88=ROUND(77*0.3,10)</f>
        <v/>
      </c>
      <c r="H88">
        <f>R88=ROUND(77*0.05,10)</f>
        <v/>
      </c>
      <c r="I88">
        <f>S88=ROUND(77*0.01,10)</f>
        <v/>
      </c>
      <c r="J88">
        <f>T88=ROUND(77*0.7,10)</f>
        <v/>
      </c>
      <c r="K88">
        <f>U88=ROUND(77*1.1,10)</f>
        <v/>
      </c>
      <c r="L88">
        <f>V88=ROUND(77*0.25,10)</f>
        <v/>
      </c>
      <c r="M88">
        <f>W88=ROUND(77*0.5,10)</f>
        <v/>
      </c>
      <c r="O88">
        <f>O87+0.1</f>
        <v/>
      </c>
      <c r="P88">
        <f>P87+0.2</f>
        <v/>
      </c>
      <c r="Q88">
        <f>Q87+0.3</f>
        <v/>
      </c>
      <c r="R88">
        <f>R87+0.05</f>
        <v/>
      </c>
      <c r="S88">
        <f>S87+0.01</f>
        <v/>
      </c>
      <c r="T88">
        <f>T87+0.7</f>
        <v/>
      </c>
      <c r="U88">
        <f>U87+1.1</f>
        <v/>
      </c>
      <c r="V88">
        <f>V87+0.25</f>
        <v/>
      </c>
      <c r="W88">
        <f>W87+0.5</f>
        <v/>
      </c>
    </row>
    <row r="89">
      <c r="E89">
        <f>O89=ROUND(78*0.1,10)</f>
        <v/>
      </c>
      <c r="F89">
        <f>P89=ROUND(78*0.2,10)</f>
        <v/>
      </c>
      <c r="G89">
        <f>Q89=ROUND(78*0.3,10)</f>
        <v/>
      </c>
      <c r="H89">
        <f>R89=ROUND(78*0.05,10)</f>
        <v/>
      </c>
      <c r="I89">
        <f>S89=ROUND(78*0.01,10)</f>
        <v/>
      </c>
      <c r="J89">
        <f>T89=ROUND(78*0.7,10)</f>
        <v/>
      </c>
      <c r="K89">
        <f>U89=ROUND(78*1.1,10)</f>
        <v/>
      </c>
      <c r="L89">
        <f>V89=ROUND(78*0.25,10)</f>
        <v/>
      </c>
      <c r="M89">
        <f>W89=ROUND(78*0.5,10)</f>
        <v/>
      </c>
      <c r="O89">
        <f>O88+0.1</f>
        <v/>
      </c>
      <c r="P89">
        <f>P88+0.2</f>
        <v/>
      </c>
      <c r="Q89">
        <f>Q88+0.3</f>
        <v/>
      </c>
      <c r="R89">
        <f>R88+0.05</f>
        <v/>
      </c>
      <c r="S89">
        <f>S88+0.01</f>
        <v/>
      </c>
      <c r="T89">
        <f>T88+0.7</f>
        <v/>
      </c>
      <c r="U89">
        <f>U88+1.1</f>
        <v/>
      </c>
      <c r="V89">
        <f>V88+0.25</f>
        <v/>
      </c>
      <c r="W89">
        <f>W88+0.5</f>
        <v/>
      </c>
    </row>
    <row r="90">
      <c r="E90">
        <f>O90=ROUND(79*0.1,10)</f>
        <v/>
      </c>
      <c r="F90">
        <f>P90=ROUND(79*0.2,10)</f>
        <v/>
      </c>
      <c r="G90">
        <f>Q90=ROUND(79*0.3,10)</f>
        <v/>
      </c>
      <c r="H90">
        <f>R90=ROUND(79*0.05,10)</f>
        <v/>
      </c>
      <c r="I90">
        <f>S90=ROUND(79*0.01,10)</f>
        <v/>
      </c>
      <c r="J90">
        <f>T90=ROUND(79*0.7,10)</f>
        <v/>
      </c>
      <c r="K90">
        <f>U90=ROUND(79*1.1,10)</f>
        <v/>
      </c>
      <c r="L90">
        <f>V90=ROUND(79*0.25,10)</f>
        <v/>
      </c>
      <c r="M90">
        <f>W90=ROUND(79*0.5,10)</f>
        <v/>
      </c>
      <c r="O90">
        <f>O89+0.1</f>
        <v/>
      </c>
      <c r="P90">
        <f>P89+0.2</f>
        <v/>
      </c>
      <c r="Q90">
        <f>Q89+0.3</f>
        <v/>
      </c>
      <c r="R90">
        <f>R89+0.05</f>
        <v/>
      </c>
      <c r="S90">
        <f>S89+0.01</f>
        <v/>
      </c>
      <c r="T90">
        <f>T89+0.7</f>
        <v/>
      </c>
      <c r="U90">
        <f>U89+1.1</f>
        <v/>
      </c>
      <c r="V90">
        <f>V89+0.25</f>
        <v/>
      </c>
      <c r="W90">
        <f>W89+0.5</f>
        <v/>
      </c>
    </row>
    <row r="91">
      <c r="E91">
        <f>O91=ROUND(80*0.1,10)</f>
        <v/>
      </c>
      <c r="F91">
        <f>P91=ROUND(80*0.2,10)</f>
        <v/>
      </c>
      <c r="G91">
        <f>Q91=ROUND(80*0.3,10)</f>
        <v/>
      </c>
      <c r="H91">
        <f>R91=ROUND(80*0.05,10)</f>
        <v/>
      </c>
      <c r="I91">
        <f>S91=ROUND(80*0.01,10)</f>
        <v/>
      </c>
      <c r="J91">
        <f>T91=ROUND(80*0.7,10)</f>
        <v/>
      </c>
      <c r="K91">
        <f>U91=ROUND(80*1.1,10)</f>
        <v/>
      </c>
      <c r="L91">
        <f>V91=ROUND(80*0.25,10)</f>
        <v/>
      </c>
      <c r="M91">
        <f>W91=ROUND(80*0.5,10)</f>
        <v/>
      </c>
      <c r="O91">
        <f>O90+0.1</f>
        <v/>
      </c>
      <c r="P91">
        <f>P90+0.2</f>
        <v/>
      </c>
      <c r="Q91">
        <f>Q90+0.3</f>
        <v/>
      </c>
      <c r="R91">
        <f>R90+0.05</f>
        <v/>
      </c>
      <c r="S91">
        <f>S90+0.01</f>
        <v/>
      </c>
      <c r="T91">
        <f>T90+0.7</f>
        <v/>
      </c>
      <c r="U91">
        <f>U90+1.1</f>
        <v/>
      </c>
      <c r="V91">
        <f>V90+0.25</f>
        <v/>
      </c>
      <c r="W91">
        <f>W90+0.5</f>
        <v/>
      </c>
    </row>
    <row r="92">
      <c r="E92">
        <f>O92=ROUND(81*0.1,10)</f>
        <v/>
      </c>
      <c r="F92">
        <f>P92=ROUND(81*0.2,10)</f>
        <v/>
      </c>
      <c r="G92">
        <f>Q92=ROUND(81*0.3,10)</f>
        <v/>
      </c>
      <c r="H92">
        <f>R92=ROUND(81*0.05,10)</f>
        <v/>
      </c>
      <c r="I92">
        <f>S92=ROUND(81*0.01,10)</f>
        <v/>
      </c>
      <c r="J92">
        <f>T92=ROUND(81*0.7,10)</f>
        <v/>
      </c>
      <c r="K92">
        <f>U92=ROUND(81*1.1,10)</f>
        <v/>
      </c>
      <c r="L92">
        <f>V92=ROUND(81*0.25,10)</f>
        <v/>
      </c>
      <c r="M92">
        <f>W92=ROUND(81*0.5,10)</f>
        <v/>
      </c>
      <c r="O92">
        <f>O91+0.1</f>
        <v/>
      </c>
      <c r="P92">
        <f>P91+0.2</f>
        <v/>
      </c>
      <c r="Q92">
        <f>Q91+0.3</f>
        <v/>
      </c>
      <c r="R92">
        <f>R91+0.05</f>
        <v/>
      </c>
      <c r="S92">
        <f>S91+0.01</f>
        <v/>
      </c>
      <c r="T92">
        <f>T91+0.7</f>
        <v/>
      </c>
      <c r="U92">
        <f>U91+1.1</f>
        <v/>
      </c>
      <c r="V92">
        <f>V91+0.25</f>
        <v/>
      </c>
      <c r="W92">
        <f>W91+0.5</f>
        <v/>
      </c>
    </row>
    <row r="93">
      <c r="E93">
        <f>O93=ROUND(82*0.1,10)</f>
        <v/>
      </c>
      <c r="F93">
        <f>P93=ROUND(82*0.2,10)</f>
        <v/>
      </c>
      <c r="G93">
        <f>Q93=ROUND(82*0.3,10)</f>
        <v/>
      </c>
      <c r="H93">
        <f>R93=ROUND(82*0.05,10)</f>
        <v/>
      </c>
      <c r="I93">
        <f>S93=ROUND(82*0.01,10)</f>
        <v/>
      </c>
      <c r="J93">
        <f>T93=ROUND(82*0.7,10)</f>
        <v/>
      </c>
      <c r="K93">
        <f>U93=ROUND(82*1.1,10)</f>
        <v/>
      </c>
      <c r="L93">
        <f>V93=ROUND(82*0.25,10)</f>
        <v/>
      </c>
      <c r="M93">
        <f>W93=ROUND(82*0.5,10)</f>
        <v/>
      </c>
      <c r="O93">
        <f>O92+0.1</f>
        <v/>
      </c>
      <c r="P93">
        <f>P92+0.2</f>
        <v/>
      </c>
      <c r="Q93">
        <f>Q92+0.3</f>
        <v/>
      </c>
      <c r="R93">
        <f>R92+0.05</f>
        <v/>
      </c>
      <c r="S93">
        <f>S92+0.01</f>
        <v/>
      </c>
      <c r="T93">
        <f>T92+0.7</f>
        <v/>
      </c>
      <c r="U93">
        <f>U92+1.1</f>
        <v/>
      </c>
      <c r="V93">
        <f>V92+0.25</f>
        <v/>
      </c>
      <c r="W93">
        <f>W92+0.5</f>
        <v/>
      </c>
    </row>
    <row r="94">
      <c r="E94">
        <f>O94=ROUND(83*0.1,10)</f>
        <v/>
      </c>
      <c r="F94">
        <f>P94=ROUND(83*0.2,10)</f>
        <v/>
      </c>
      <c r="G94">
        <f>Q94=ROUND(83*0.3,10)</f>
        <v/>
      </c>
      <c r="H94">
        <f>R94=ROUND(83*0.05,10)</f>
        <v/>
      </c>
      <c r="I94">
        <f>S94=ROUND(83*0.01,10)</f>
        <v/>
      </c>
      <c r="J94">
        <f>T94=ROUND(83*0.7,10)</f>
        <v/>
      </c>
      <c r="K94">
        <f>U94=ROUND(83*1.1,10)</f>
        <v/>
      </c>
      <c r="L94">
        <f>V94=ROUND(83*0.25,10)</f>
        <v/>
      </c>
      <c r="M94">
        <f>W94=ROUND(83*0.5,10)</f>
        <v/>
      </c>
      <c r="O94">
        <f>O93+0.1</f>
        <v/>
      </c>
      <c r="P94">
        <f>P93+0.2</f>
        <v/>
      </c>
      <c r="Q94">
        <f>Q93+0.3</f>
        <v/>
      </c>
      <c r="R94">
        <f>R93+0.05</f>
        <v/>
      </c>
      <c r="S94">
        <f>S93+0.01</f>
        <v/>
      </c>
      <c r="T94">
        <f>T93+0.7</f>
        <v/>
      </c>
      <c r="U94">
        <f>U93+1.1</f>
        <v/>
      </c>
      <c r="V94">
        <f>V93+0.25</f>
        <v/>
      </c>
      <c r="W94">
        <f>W93+0.5</f>
        <v/>
      </c>
    </row>
    <row r="95">
      <c r="E95">
        <f>O95=ROUND(84*0.1,10)</f>
        <v/>
      </c>
      <c r="F95">
        <f>P95=ROUND(84*0.2,10)</f>
        <v/>
      </c>
      <c r="G95">
        <f>Q95=ROUND(84*0.3,10)</f>
        <v/>
      </c>
      <c r="H95">
        <f>R95=ROUND(84*0.05,10)</f>
        <v/>
      </c>
      <c r="I95">
        <f>S95=ROUND(84*0.01,10)</f>
        <v/>
      </c>
      <c r="J95">
        <f>T95=ROUND(84*0.7,10)</f>
        <v/>
      </c>
      <c r="K95">
        <f>U95=ROUND(84*1.1,10)</f>
        <v/>
      </c>
      <c r="L95">
        <f>V95=ROUND(84*0.25,10)</f>
        <v/>
      </c>
      <c r="M95">
        <f>W95=ROUND(84*0.5,10)</f>
        <v/>
      </c>
      <c r="O95">
        <f>O94+0.1</f>
        <v/>
      </c>
      <c r="P95">
        <f>P94+0.2</f>
        <v/>
      </c>
      <c r="Q95">
        <f>Q94+0.3</f>
        <v/>
      </c>
      <c r="R95">
        <f>R94+0.05</f>
        <v/>
      </c>
      <c r="S95">
        <f>S94+0.01</f>
        <v/>
      </c>
      <c r="T95">
        <f>T94+0.7</f>
        <v/>
      </c>
      <c r="U95">
        <f>U94+1.1</f>
        <v/>
      </c>
      <c r="V95">
        <f>V94+0.25</f>
        <v/>
      </c>
      <c r="W95">
        <f>W94+0.5</f>
        <v/>
      </c>
    </row>
    <row r="96">
      <c r="E96">
        <f>O96=ROUND(85*0.1,10)</f>
        <v/>
      </c>
      <c r="F96">
        <f>P96=ROUND(85*0.2,10)</f>
        <v/>
      </c>
      <c r="G96">
        <f>Q96=ROUND(85*0.3,10)</f>
        <v/>
      </c>
      <c r="H96">
        <f>R96=ROUND(85*0.05,10)</f>
        <v/>
      </c>
      <c r="I96">
        <f>S96=ROUND(85*0.01,10)</f>
        <v/>
      </c>
      <c r="J96">
        <f>T96=ROUND(85*0.7,10)</f>
        <v/>
      </c>
      <c r="K96">
        <f>U96=ROUND(85*1.1,10)</f>
        <v/>
      </c>
      <c r="L96">
        <f>V96=ROUND(85*0.25,10)</f>
        <v/>
      </c>
      <c r="M96">
        <f>W96=ROUND(85*0.5,10)</f>
        <v/>
      </c>
      <c r="O96">
        <f>O95+0.1</f>
        <v/>
      </c>
      <c r="P96">
        <f>P95+0.2</f>
        <v/>
      </c>
      <c r="Q96">
        <f>Q95+0.3</f>
        <v/>
      </c>
      <c r="R96">
        <f>R95+0.05</f>
        <v/>
      </c>
      <c r="S96">
        <f>S95+0.01</f>
        <v/>
      </c>
      <c r="T96">
        <f>T95+0.7</f>
        <v/>
      </c>
      <c r="U96">
        <f>U95+1.1</f>
        <v/>
      </c>
      <c r="V96">
        <f>V95+0.25</f>
        <v/>
      </c>
      <c r="W96">
        <f>W95+0.5</f>
        <v/>
      </c>
    </row>
    <row r="97">
      <c r="E97">
        <f>O97=ROUND(86*0.1,10)</f>
        <v/>
      </c>
      <c r="F97">
        <f>P97=ROUND(86*0.2,10)</f>
        <v/>
      </c>
      <c r="G97">
        <f>Q97=ROUND(86*0.3,10)</f>
        <v/>
      </c>
      <c r="H97">
        <f>R97=ROUND(86*0.05,10)</f>
        <v/>
      </c>
      <c r="I97">
        <f>S97=ROUND(86*0.01,10)</f>
        <v/>
      </c>
      <c r="J97">
        <f>T97=ROUND(86*0.7,10)</f>
        <v/>
      </c>
      <c r="K97">
        <f>U97=ROUND(86*1.1,10)</f>
        <v/>
      </c>
      <c r="L97">
        <f>V97=ROUND(86*0.25,10)</f>
        <v/>
      </c>
      <c r="M97">
        <f>W97=ROUND(86*0.5,10)</f>
        <v/>
      </c>
      <c r="O97">
        <f>O96+0.1</f>
        <v/>
      </c>
      <c r="P97">
        <f>P96+0.2</f>
        <v/>
      </c>
      <c r="Q97">
        <f>Q96+0.3</f>
        <v/>
      </c>
      <c r="R97">
        <f>R96+0.05</f>
        <v/>
      </c>
      <c r="S97">
        <f>S96+0.01</f>
        <v/>
      </c>
      <c r="T97">
        <f>T96+0.7</f>
        <v/>
      </c>
      <c r="U97">
        <f>U96+1.1</f>
        <v/>
      </c>
      <c r="V97">
        <f>V96+0.25</f>
        <v/>
      </c>
      <c r="W97">
        <f>W96+0.5</f>
        <v/>
      </c>
    </row>
    <row r="98">
      <c r="E98">
        <f>O98=ROUND(87*0.1,10)</f>
        <v/>
      </c>
      <c r="F98">
        <f>P98=ROUND(87*0.2,10)</f>
        <v/>
      </c>
      <c r="G98">
        <f>Q98=ROUND(87*0.3,10)</f>
        <v/>
      </c>
      <c r="H98">
        <f>R98=ROUND(87*0.05,10)</f>
        <v/>
      </c>
      <c r="I98">
        <f>S98=ROUND(87*0.01,10)</f>
        <v/>
      </c>
      <c r="J98">
        <f>T98=ROUND(87*0.7,10)</f>
        <v/>
      </c>
      <c r="K98">
        <f>U98=ROUND(87*1.1,10)</f>
        <v/>
      </c>
      <c r="L98">
        <f>V98=ROUND(87*0.25,10)</f>
        <v/>
      </c>
      <c r="M98">
        <f>W98=ROUND(87*0.5,10)</f>
        <v/>
      </c>
      <c r="O98">
        <f>O97+0.1</f>
        <v/>
      </c>
      <c r="P98">
        <f>P97+0.2</f>
        <v/>
      </c>
      <c r="Q98">
        <f>Q97+0.3</f>
        <v/>
      </c>
      <c r="R98">
        <f>R97+0.05</f>
        <v/>
      </c>
      <c r="S98">
        <f>S97+0.01</f>
        <v/>
      </c>
      <c r="T98">
        <f>T97+0.7</f>
        <v/>
      </c>
      <c r="U98">
        <f>U97+1.1</f>
        <v/>
      </c>
      <c r="V98">
        <f>V97+0.25</f>
        <v/>
      </c>
      <c r="W98">
        <f>W97+0.5</f>
        <v/>
      </c>
    </row>
    <row r="99">
      <c r="E99">
        <f>O99=ROUND(88*0.1,10)</f>
        <v/>
      </c>
      <c r="F99">
        <f>P99=ROUND(88*0.2,10)</f>
        <v/>
      </c>
      <c r="G99">
        <f>Q99=ROUND(88*0.3,10)</f>
        <v/>
      </c>
      <c r="H99">
        <f>R99=ROUND(88*0.05,10)</f>
        <v/>
      </c>
      <c r="I99">
        <f>S99=ROUND(88*0.01,10)</f>
        <v/>
      </c>
      <c r="J99">
        <f>T99=ROUND(88*0.7,10)</f>
        <v/>
      </c>
      <c r="K99">
        <f>U99=ROUND(88*1.1,10)</f>
        <v/>
      </c>
      <c r="L99">
        <f>V99=ROUND(88*0.25,10)</f>
        <v/>
      </c>
      <c r="M99">
        <f>W99=ROUND(88*0.5,10)</f>
        <v/>
      </c>
      <c r="O99">
        <f>O98+0.1</f>
        <v/>
      </c>
      <c r="P99">
        <f>P98+0.2</f>
        <v/>
      </c>
      <c r="Q99">
        <f>Q98+0.3</f>
        <v/>
      </c>
      <c r="R99">
        <f>R98+0.05</f>
        <v/>
      </c>
      <c r="S99">
        <f>S98+0.01</f>
        <v/>
      </c>
      <c r="T99">
        <f>T98+0.7</f>
        <v/>
      </c>
      <c r="U99">
        <f>U98+1.1</f>
        <v/>
      </c>
      <c r="V99">
        <f>V98+0.25</f>
        <v/>
      </c>
      <c r="W99">
        <f>W98+0.5</f>
        <v/>
      </c>
    </row>
    <row r="100">
      <c r="E100">
        <f>O100=ROUND(89*0.1,10)</f>
        <v/>
      </c>
      <c r="F100">
        <f>P100=ROUND(89*0.2,10)</f>
        <v/>
      </c>
      <c r="G100">
        <f>Q100=ROUND(89*0.3,10)</f>
        <v/>
      </c>
      <c r="H100">
        <f>R100=ROUND(89*0.05,10)</f>
        <v/>
      </c>
      <c r="I100">
        <f>S100=ROUND(89*0.01,10)</f>
        <v/>
      </c>
      <c r="J100">
        <f>T100=ROUND(89*0.7,10)</f>
        <v/>
      </c>
      <c r="K100">
        <f>U100=ROUND(89*1.1,10)</f>
        <v/>
      </c>
      <c r="L100">
        <f>V100=ROUND(89*0.25,10)</f>
        <v/>
      </c>
      <c r="M100">
        <f>W100=ROUND(89*0.5,10)</f>
        <v/>
      </c>
      <c r="O100">
        <f>O99+0.1</f>
        <v/>
      </c>
      <c r="P100">
        <f>P99+0.2</f>
        <v/>
      </c>
      <c r="Q100">
        <f>Q99+0.3</f>
        <v/>
      </c>
      <c r="R100">
        <f>R99+0.05</f>
        <v/>
      </c>
      <c r="S100">
        <f>S99+0.01</f>
        <v/>
      </c>
      <c r="T100">
        <f>T99+0.7</f>
        <v/>
      </c>
      <c r="U100">
        <f>U99+1.1</f>
        <v/>
      </c>
      <c r="V100">
        <f>V99+0.25</f>
        <v/>
      </c>
      <c r="W100">
        <f>W99+0.5</f>
        <v/>
      </c>
    </row>
    <row r="101">
      <c r="E101">
        <f>O101=ROUND(90*0.1,10)</f>
        <v/>
      </c>
      <c r="F101">
        <f>P101=ROUND(90*0.2,10)</f>
        <v/>
      </c>
      <c r="G101">
        <f>Q101=ROUND(90*0.3,10)</f>
        <v/>
      </c>
      <c r="H101">
        <f>R101=ROUND(90*0.05,10)</f>
        <v/>
      </c>
      <c r="I101">
        <f>S101=ROUND(90*0.01,10)</f>
        <v/>
      </c>
      <c r="J101">
        <f>T101=ROUND(90*0.7,10)</f>
        <v/>
      </c>
      <c r="K101">
        <f>U101=ROUND(90*1.1,10)</f>
        <v/>
      </c>
      <c r="L101">
        <f>V101=ROUND(90*0.25,10)</f>
        <v/>
      </c>
      <c r="M101">
        <f>W101=ROUND(90*0.5,10)</f>
        <v/>
      </c>
      <c r="O101">
        <f>O100+0.1</f>
        <v/>
      </c>
      <c r="P101">
        <f>P100+0.2</f>
        <v/>
      </c>
      <c r="Q101">
        <f>Q100+0.3</f>
        <v/>
      </c>
      <c r="R101">
        <f>R100+0.05</f>
        <v/>
      </c>
      <c r="S101">
        <f>S100+0.01</f>
        <v/>
      </c>
      <c r="T101">
        <f>T100+0.7</f>
        <v/>
      </c>
      <c r="U101">
        <f>U100+1.1</f>
        <v/>
      </c>
      <c r="V101">
        <f>V100+0.25</f>
        <v/>
      </c>
      <c r="W101">
        <f>W100+0.5</f>
        <v/>
      </c>
    </row>
    <row r="102">
      <c r="E102">
        <f>O102=ROUND(91*0.1,10)</f>
        <v/>
      </c>
      <c r="F102">
        <f>P102=ROUND(91*0.2,10)</f>
        <v/>
      </c>
      <c r="G102">
        <f>Q102=ROUND(91*0.3,10)</f>
        <v/>
      </c>
      <c r="H102">
        <f>R102=ROUND(91*0.05,10)</f>
        <v/>
      </c>
      <c r="I102">
        <f>S102=ROUND(91*0.01,10)</f>
        <v/>
      </c>
      <c r="J102">
        <f>T102=ROUND(91*0.7,10)</f>
        <v/>
      </c>
      <c r="K102">
        <f>U102=ROUND(91*1.1,10)</f>
        <v/>
      </c>
      <c r="L102">
        <f>V102=ROUND(91*0.25,10)</f>
        <v/>
      </c>
      <c r="M102">
        <f>W102=ROUND(91*0.5,10)</f>
        <v/>
      </c>
      <c r="O102">
        <f>O101+0.1</f>
        <v/>
      </c>
      <c r="P102">
        <f>P101+0.2</f>
        <v/>
      </c>
      <c r="Q102">
        <f>Q101+0.3</f>
        <v/>
      </c>
      <c r="R102">
        <f>R101+0.05</f>
        <v/>
      </c>
      <c r="S102">
        <f>S101+0.01</f>
        <v/>
      </c>
      <c r="T102">
        <f>T101+0.7</f>
        <v/>
      </c>
      <c r="U102">
        <f>U101+1.1</f>
        <v/>
      </c>
      <c r="V102">
        <f>V101+0.25</f>
        <v/>
      </c>
      <c r="W102">
        <f>W101+0.5</f>
        <v/>
      </c>
    </row>
    <row r="103">
      <c r="E103">
        <f>O103=ROUND(92*0.1,10)</f>
        <v/>
      </c>
      <c r="F103">
        <f>P103=ROUND(92*0.2,10)</f>
        <v/>
      </c>
      <c r="G103">
        <f>Q103=ROUND(92*0.3,10)</f>
        <v/>
      </c>
      <c r="H103">
        <f>R103=ROUND(92*0.05,10)</f>
        <v/>
      </c>
      <c r="I103">
        <f>S103=ROUND(92*0.01,10)</f>
        <v/>
      </c>
      <c r="J103">
        <f>T103=ROUND(92*0.7,10)</f>
        <v/>
      </c>
      <c r="K103">
        <f>U103=ROUND(92*1.1,10)</f>
        <v/>
      </c>
      <c r="L103">
        <f>V103=ROUND(92*0.25,10)</f>
        <v/>
      </c>
      <c r="M103">
        <f>W103=ROUND(92*0.5,10)</f>
        <v/>
      </c>
      <c r="O103">
        <f>O102+0.1</f>
        <v/>
      </c>
      <c r="P103">
        <f>P102+0.2</f>
        <v/>
      </c>
      <c r="Q103">
        <f>Q102+0.3</f>
        <v/>
      </c>
      <c r="R103">
        <f>R102+0.05</f>
        <v/>
      </c>
      <c r="S103">
        <f>S102+0.01</f>
        <v/>
      </c>
      <c r="T103">
        <f>T102+0.7</f>
        <v/>
      </c>
      <c r="U103">
        <f>U102+1.1</f>
        <v/>
      </c>
      <c r="V103">
        <f>V102+0.25</f>
        <v/>
      </c>
      <c r="W103">
        <f>W102+0.5</f>
        <v/>
      </c>
    </row>
    <row r="104">
      <c r="E104">
        <f>O104=ROUND(93*0.1,10)</f>
        <v/>
      </c>
      <c r="F104">
        <f>P104=ROUND(93*0.2,10)</f>
        <v/>
      </c>
      <c r="G104">
        <f>Q104=ROUND(93*0.3,10)</f>
        <v/>
      </c>
      <c r="H104">
        <f>R104=ROUND(93*0.05,10)</f>
        <v/>
      </c>
      <c r="I104">
        <f>S104=ROUND(93*0.01,10)</f>
        <v/>
      </c>
      <c r="J104">
        <f>T104=ROUND(93*0.7,10)</f>
        <v/>
      </c>
      <c r="K104">
        <f>U104=ROUND(93*1.1,10)</f>
        <v/>
      </c>
      <c r="L104">
        <f>V104=ROUND(93*0.25,10)</f>
        <v/>
      </c>
      <c r="M104">
        <f>W104=ROUND(93*0.5,10)</f>
        <v/>
      </c>
      <c r="O104">
        <f>O103+0.1</f>
        <v/>
      </c>
      <c r="P104">
        <f>P103+0.2</f>
        <v/>
      </c>
      <c r="Q104">
        <f>Q103+0.3</f>
        <v/>
      </c>
      <c r="R104">
        <f>R103+0.05</f>
        <v/>
      </c>
      <c r="S104">
        <f>S103+0.01</f>
        <v/>
      </c>
      <c r="T104">
        <f>T103+0.7</f>
        <v/>
      </c>
      <c r="U104">
        <f>U103+1.1</f>
        <v/>
      </c>
      <c r="V104">
        <f>V103+0.25</f>
        <v/>
      </c>
      <c r="W104">
        <f>W103+0.5</f>
        <v/>
      </c>
    </row>
    <row r="105">
      <c r="E105">
        <f>O105=ROUND(94*0.1,10)</f>
        <v/>
      </c>
      <c r="F105">
        <f>P105=ROUND(94*0.2,10)</f>
        <v/>
      </c>
      <c r="G105">
        <f>Q105=ROUND(94*0.3,10)</f>
        <v/>
      </c>
      <c r="H105">
        <f>R105=ROUND(94*0.05,10)</f>
        <v/>
      </c>
      <c r="I105">
        <f>S105=ROUND(94*0.01,10)</f>
        <v/>
      </c>
      <c r="J105">
        <f>T105=ROUND(94*0.7,10)</f>
        <v/>
      </c>
      <c r="K105">
        <f>U105=ROUND(94*1.1,10)</f>
        <v/>
      </c>
      <c r="L105">
        <f>V105=ROUND(94*0.25,10)</f>
        <v/>
      </c>
      <c r="M105">
        <f>W105=ROUND(94*0.5,10)</f>
        <v/>
      </c>
      <c r="O105">
        <f>O104+0.1</f>
        <v/>
      </c>
      <c r="P105">
        <f>P104+0.2</f>
        <v/>
      </c>
      <c r="Q105">
        <f>Q104+0.3</f>
        <v/>
      </c>
      <c r="R105">
        <f>R104+0.05</f>
        <v/>
      </c>
      <c r="S105">
        <f>S104+0.01</f>
        <v/>
      </c>
      <c r="T105">
        <f>T104+0.7</f>
        <v/>
      </c>
      <c r="U105">
        <f>U104+1.1</f>
        <v/>
      </c>
      <c r="V105">
        <f>V104+0.25</f>
        <v/>
      </c>
      <c r="W105">
        <f>W104+0.5</f>
        <v/>
      </c>
    </row>
    <row r="106">
      <c r="E106">
        <f>O106=ROUND(95*0.1,10)</f>
        <v/>
      </c>
      <c r="F106">
        <f>P106=ROUND(95*0.2,10)</f>
        <v/>
      </c>
      <c r="G106">
        <f>Q106=ROUND(95*0.3,10)</f>
        <v/>
      </c>
      <c r="H106">
        <f>R106=ROUND(95*0.05,10)</f>
        <v/>
      </c>
      <c r="I106">
        <f>S106=ROUND(95*0.01,10)</f>
        <v/>
      </c>
      <c r="J106">
        <f>T106=ROUND(95*0.7,10)</f>
        <v/>
      </c>
      <c r="K106">
        <f>U106=ROUND(95*1.1,10)</f>
        <v/>
      </c>
      <c r="L106">
        <f>V106=ROUND(95*0.25,10)</f>
        <v/>
      </c>
      <c r="M106">
        <f>W106=ROUND(95*0.5,10)</f>
        <v/>
      </c>
      <c r="O106">
        <f>O105+0.1</f>
        <v/>
      </c>
      <c r="P106">
        <f>P105+0.2</f>
        <v/>
      </c>
      <c r="Q106">
        <f>Q105+0.3</f>
        <v/>
      </c>
      <c r="R106">
        <f>R105+0.05</f>
        <v/>
      </c>
      <c r="S106">
        <f>S105+0.01</f>
        <v/>
      </c>
      <c r="T106">
        <f>T105+0.7</f>
        <v/>
      </c>
      <c r="U106">
        <f>U105+1.1</f>
        <v/>
      </c>
      <c r="V106">
        <f>V105+0.25</f>
        <v/>
      </c>
      <c r="W106">
        <f>W105+0.5</f>
        <v/>
      </c>
    </row>
    <row r="107">
      <c r="E107">
        <f>O107=ROUND(96*0.1,10)</f>
        <v/>
      </c>
      <c r="F107">
        <f>P107=ROUND(96*0.2,10)</f>
        <v/>
      </c>
      <c r="G107">
        <f>Q107=ROUND(96*0.3,10)</f>
        <v/>
      </c>
      <c r="H107">
        <f>R107=ROUND(96*0.05,10)</f>
        <v/>
      </c>
      <c r="I107">
        <f>S107=ROUND(96*0.01,10)</f>
        <v/>
      </c>
      <c r="J107">
        <f>T107=ROUND(96*0.7,10)</f>
        <v/>
      </c>
      <c r="K107">
        <f>U107=ROUND(96*1.1,10)</f>
        <v/>
      </c>
      <c r="L107">
        <f>V107=ROUND(96*0.25,10)</f>
        <v/>
      </c>
      <c r="M107">
        <f>W107=ROUND(96*0.5,10)</f>
        <v/>
      </c>
      <c r="O107">
        <f>O106+0.1</f>
        <v/>
      </c>
      <c r="P107">
        <f>P106+0.2</f>
        <v/>
      </c>
      <c r="Q107">
        <f>Q106+0.3</f>
        <v/>
      </c>
      <c r="R107">
        <f>R106+0.05</f>
        <v/>
      </c>
      <c r="S107">
        <f>S106+0.01</f>
        <v/>
      </c>
      <c r="T107">
        <f>T106+0.7</f>
        <v/>
      </c>
      <c r="U107">
        <f>U106+1.1</f>
        <v/>
      </c>
      <c r="V107">
        <f>V106+0.25</f>
        <v/>
      </c>
      <c r="W107">
        <f>W106+0.5</f>
        <v/>
      </c>
    </row>
    <row r="108">
      <c r="E108">
        <f>O108=ROUND(97*0.1,10)</f>
        <v/>
      </c>
      <c r="F108">
        <f>P108=ROUND(97*0.2,10)</f>
        <v/>
      </c>
      <c r="G108">
        <f>Q108=ROUND(97*0.3,10)</f>
        <v/>
      </c>
      <c r="H108">
        <f>R108=ROUND(97*0.05,10)</f>
        <v/>
      </c>
      <c r="I108">
        <f>S108=ROUND(97*0.01,10)</f>
        <v/>
      </c>
      <c r="J108">
        <f>T108=ROUND(97*0.7,10)</f>
        <v/>
      </c>
      <c r="K108">
        <f>U108=ROUND(97*1.1,10)</f>
        <v/>
      </c>
      <c r="L108">
        <f>V108=ROUND(97*0.25,10)</f>
        <v/>
      </c>
      <c r="M108">
        <f>W108=ROUND(97*0.5,10)</f>
        <v/>
      </c>
      <c r="O108">
        <f>O107+0.1</f>
        <v/>
      </c>
      <c r="P108">
        <f>P107+0.2</f>
        <v/>
      </c>
      <c r="Q108">
        <f>Q107+0.3</f>
        <v/>
      </c>
      <c r="R108">
        <f>R107+0.05</f>
        <v/>
      </c>
      <c r="S108">
        <f>S107+0.01</f>
        <v/>
      </c>
      <c r="T108">
        <f>T107+0.7</f>
        <v/>
      </c>
      <c r="U108">
        <f>U107+1.1</f>
        <v/>
      </c>
      <c r="V108">
        <f>V107+0.25</f>
        <v/>
      </c>
      <c r="W108">
        <f>W107+0.5</f>
        <v/>
      </c>
    </row>
    <row r="109">
      <c r="E109">
        <f>O109=ROUND(98*0.1,10)</f>
        <v/>
      </c>
      <c r="F109">
        <f>P109=ROUND(98*0.2,10)</f>
        <v/>
      </c>
      <c r="G109">
        <f>Q109=ROUND(98*0.3,10)</f>
        <v/>
      </c>
      <c r="H109">
        <f>R109=ROUND(98*0.05,10)</f>
        <v/>
      </c>
      <c r="I109">
        <f>S109=ROUND(98*0.01,10)</f>
        <v/>
      </c>
      <c r="J109">
        <f>T109=ROUND(98*0.7,10)</f>
        <v/>
      </c>
      <c r="K109">
        <f>U109=ROUND(98*1.1,10)</f>
        <v/>
      </c>
      <c r="L109">
        <f>V109=ROUND(98*0.25,10)</f>
        <v/>
      </c>
      <c r="M109">
        <f>W109=ROUND(98*0.5,10)</f>
        <v/>
      </c>
      <c r="O109">
        <f>O108+0.1</f>
        <v/>
      </c>
      <c r="P109">
        <f>P108+0.2</f>
        <v/>
      </c>
      <c r="Q109">
        <f>Q108+0.3</f>
        <v/>
      </c>
      <c r="R109">
        <f>R108+0.05</f>
        <v/>
      </c>
      <c r="S109">
        <f>S108+0.01</f>
        <v/>
      </c>
      <c r="T109">
        <f>T108+0.7</f>
        <v/>
      </c>
      <c r="U109">
        <f>U108+1.1</f>
        <v/>
      </c>
      <c r="V109">
        <f>V108+0.25</f>
        <v/>
      </c>
      <c r="W109">
        <f>W108+0.5</f>
        <v/>
      </c>
    </row>
    <row r="110">
      <c r="E110">
        <f>O110=ROUND(99*0.1,10)</f>
        <v/>
      </c>
      <c r="F110">
        <f>P110=ROUND(99*0.2,10)</f>
        <v/>
      </c>
      <c r="G110">
        <f>Q110=ROUND(99*0.3,10)</f>
        <v/>
      </c>
      <c r="H110">
        <f>R110=ROUND(99*0.05,10)</f>
        <v/>
      </c>
      <c r="I110">
        <f>S110=ROUND(99*0.01,10)</f>
        <v/>
      </c>
      <c r="J110">
        <f>T110=ROUND(99*0.7,10)</f>
        <v/>
      </c>
      <c r="K110">
        <f>U110=ROUND(99*1.1,10)</f>
        <v/>
      </c>
      <c r="L110">
        <f>V110=ROUND(99*0.25,10)</f>
        <v/>
      </c>
      <c r="M110">
        <f>W110=ROUND(99*0.5,10)</f>
        <v/>
      </c>
      <c r="O110">
        <f>O109+0.1</f>
        <v/>
      </c>
      <c r="P110">
        <f>P109+0.2</f>
        <v/>
      </c>
      <c r="Q110">
        <f>Q109+0.3</f>
        <v/>
      </c>
      <c r="R110">
        <f>R109+0.05</f>
        <v/>
      </c>
      <c r="S110">
        <f>S109+0.01</f>
        <v/>
      </c>
      <c r="T110">
        <f>T109+0.7</f>
        <v/>
      </c>
      <c r="U110">
        <f>U109+1.1</f>
        <v/>
      </c>
      <c r="V110">
        <f>V109+0.25</f>
        <v/>
      </c>
      <c r="W110">
        <f>W109+0.5</f>
        <v/>
      </c>
    </row>
    <row r="111">
      <c r="E111">
        <f>O111=ROUND(100*0.1,10)</f>
        <v/>
      </c>
      <c r="F111">
        <f>P111=ROUND(100*0.2,10)</f>
        <v/>
      </c>
      <c r="G111">
        <f>Q111=ROUND(100*0.3,10)</f>
        <v/>
      </c>
      <c r="H111">
        <f>R111=ROUND(100*0.05,10)</f>
        <v/>
      </c>
      <c r="I111">
        <f>S111=ROUND(100*0.01,10)</f>
        <v/>
      </c>
      <c r="J111">
        <f>T111=ROUND(100*0.7,10)</f>
        <v/>
      </c>
      <c r="K111">
        <f>U111=ROUND(100*1.1,10)</f>
        <v/>
      </c>
      <c r="L111">
        <f>V111=ROUND(100*0.25,10)</f>
        <v/>
      </c>
      <c r="M111">
        <f>W111=ROUND(100*0.5,10)</f>
        <v/>
      </c>
      <c r="O111">
        <f>O110+0.1</f>
        <v/>
      </c>
      <c r="P111">
        <f>P110+0.2</f>
        <v/>
      </c>
      <c r="Q111">
        <f>Q110+0.3</f>
        <v/>
      </c>
      <c r="R111">
        <f>R110+0.05</f>
        <v/>
      </c>
      <c r="S111">
        <f>S110+0.01</f>
        <v/>
      </c>
      <c r="T111">
        <f>T110+0.7</f>
        <v/>
      </c>
      <c r="U111">
        <f>U110+1.1</f>
        <v/>
      </c>
      <c r="V111">
        <f>V110+0.25</f>
        <v/>
      </c>
      <c r="W111">
        <f>W110+0.5</f>
        <v/>
      </c>
    </row>
    <row r="112">
      <c r="E112">
        <f>O112=ROUND(101*0.1,10)</f>
        <v/>
      </c>
      <c r="F112">
        <f>P112=ROUND(101*0.2,10)</f>
        <v/>
      </c>
      <c r="G112">
        <f>Q112=ROUND(101*0.3,10)</f>
        <v/>
      </c>
      <c r="H112">
        <f>R112=ROUND(101*0.05,10)</f>
        <v/>
      </c>
      <c r="I112">
        <f>S112=ROUND(101*0.01,10)</f>
        <v/>
      </c>
      <c r="J112">
        <f>T112=ROUND(101*0.7,10)</f>
        <v/>
      </c>
      <c r="K112">
        <f>U112=ROUND(101*1.1,10)</f>
        <v/>
      </c>
      <c r="L112">
        <f>V112=ROUND(101*0.25,10)</f>
        <v/>
      </c>
      <c r="M112">
        <f>W112=ROUND(101*0.5,10)</f>
        <v/>
      </c>
      <c r="O112">
        <f>O111+0.1</f>
        <v/>
      </c>
      <c r="P112">
        <f>P111+0.2</f>
        <v/>
      </c>
      <c r="Q112">
        <f>Q111+0.3</f>
        <v/>
      </c>
      <c r="R112">
        <f>R111+0.05</f>
        <v/>
      </c>
      <c r="S112">
        <f>S111+0.01</f>
        <v/>
      </c>
      <c r="T112">
        <f>T111+0.7</f>
        <v/>
      </c>
      <c r="U112">
        <f>U111+1.1</f>
        <v/>
      </c>
      <c r="V112">
        <f>V111+0.25</f>
        <v/>
      </c>
      <c r="W112">
        <f>W111+0.5</f>
        <v/>
      </c>
    </row>
    <row r="113">
      <c r="E113">
        <f>O113=ROUND(102*0.1,10)</f>
        <v/>
      </c>
      <c r="F113">
        <f>P113=ROUND(102*0.2,10)</f>
        <v/>
      </c>
      <c r="G113">
        <f>Q113=ROUND(102*0.3,10)</f>
        <v/>
      </c>
      <c r="H113">
        <f>R113=ROUND(102*0.05,10)</f>
        <v/>
      </c>
      <c r="I113">
        <f>S113=ROUND(102*0.01,10)</f>
        <v/>
      </c>
      <c r="J113">
        <f>T113=ROUND(102*0.7,10)</f>
        <v/>
      </c>
      <c r="K113">
        <f>U113=ROUND(102*1.1,10)</f>
        <v/>
      </c>
      <c r="L113">
        <f>V113=ROUND(102*0.25,10)</f>
        <v/>
      </c>
      <c r="M113">
        <f>W113=ROUND(102*0.5,10)</f>
        <v/>
      </c>
      <c r="O113">
        <f>O112+0.1</f>
        <v/>
      </c>
      <c r="P113">
        <f>P112+0.2</f>
        <v/>
      </c>
      <c r="Q113">
        <f>Q112+0.3</f>
        <v/>
      </c>
      <c r="R113">
        <f>R112+0.05</f>
        <v/>
      </c>
      <c r="S113">
        <f>S112+0.01</f>
        <v/>
      </c>
      <c r="T113">
        <f>T112+0.7</f>
        <v/>
      </c>
      <c r="U113">
        <f>U112+1.1</f>
        <v/>
      </c>
      <c r="V113">
        <f>V112+0.25</f>
        <v/>
      </c>
      <c r="W113">
        <f>W112+0.5</f>
        <v/>
      </c>
    </row>
    <row r="114">
      <c r="E114">
        <f>O114=ROUND(103*0.1,10)</f>
        <v/>
      </c>
      <c r="F114">
        <f>P114=ROUND(103*0.2,10)</f>
        <v/>
      </c>
      <c r="G114">
        <f>Q114=ROUND(103*0.3,10)</f>
        <v/>
      </c>
      <c r="H114">
        <f>R114=ROUND(103*0.05,10)</f>
        <v/>
      </c>
      <c r="I114">
        <f>S114=ROUND(103*0.01,10)</f>
        <v/>
      </c>
      <c r="J114">
        <f>T114=ROUND(103*0.7,10)</f>
        <v/>
      </c>
      <c r="K114">
        <f>U114=ROUND(103*1.1,10)</f>
        <v/>
      </c>
      <c r="L114">
        <f>V114=ROUND(103*0.25,10)</f>
        <v/>
      </c>
      <c r="M114">
        <f>W114=ROUND(103*0.5,10)</f>
        <v/>
      </c>
      <c r="O114">
        <f>O113+0.1</f>
        <v/>
      </c>
      <c r="P114">
        <f>P113+0.2</f>
        <v/>
      </c>
      <c r="Q114">
        <f>Q113+0.3</f>
        <v/>
      </c>
      <c r="R114">
        <f>R113+0.05</f>
        <v/>
      </c>
      <c r="S114">
        <f>S113+0.01</f>
        <v/>
      </c>
      <c r="T114">
        <f>T113+0.7</f>
        <v/>
      </c>
      <c r="U114">
        <f>U113+1.1</f>
        <v/>
      </c>
      <c r="V114">
        <f>V113+0.25</f>
        <v/>
      </c>
      <c r="W114">
        <f>W113+0.5</f>
        <v/>
      </c>
    </row>
    <row r="115">
      <c r="E115">
        <f>O115=ROUND(104*0.1,10)</f>
        <v/>
      </c>
      <c r="F115">
        <f>P115=ROUND(104*0.2,10)</f>
        <v/>
      </c>
      <c r="G115">
        <f>Q115=ROUND(104*0.3,10)</f>
        <v/>
      </c>
      <c r="H115">
        <f>R115=ROUND(104*0.05,10)</f>
        <v/>
      </c>
      <c r="I115">
        <f>S115=ROUND(104*0.01,10)</f>
        <v/>
      </c>
      <c r="J115">
        <f>T115=ROUND(104*0.7,10)</f>
        <v/>
      </c>
      <c r="K115">
        <f>U115=ROUND(104*1.1,10)</f>
        <v/>
      </c>
      <c r="L115">
        <f>V115=ROUND(104*0.25,10)</f>
        <v/>
      </c>
      <c r="M115">
        <f>W115=ROUND(104*0.5,10)</f>
        <v/>
      </c>
      <c r="O115">
        <f>O114+0.1</f>
        <v/>
      </c>
      <c r="P115">
        <f>P114+0.2</f>
        <v/>
      </c>
      <c r="Q115">
        <f>Q114+0.3</f>
        <v/>
      </c>
      <c r="R115">
        <f>R114+0.05</f>
        <v/>
      </c>
      <c r="S115">
        <f>S114+0.01</f>
        <v/>
      </c>
      <c r="T115">
        <f>T114+0.7</f>
        <v/>
      </c>
      <c r="U115">
        <f>U114+1.1</f>
        <v/>
      </c>
      <c r="V115">
        <f>V114+0.25</f>
        <v/>
      </c>
      <c r="W115">
        <f>W114+0.5</f>
        <v/>
      </c>
    </row>
    <row r="116">
      <c r="E116">
        <f>O116=ROUND(105*0.1,10)</f>
        <v/>
      </c>
      <c r="F116">
        <f>P116=ROUND(105*0.2,10)</f>
        <v/>
      </c>
      <c r="G116">
        <f>Q116=ROUND(105*0.3,10)</f>
        <v/>
      </c>
      <c r="H116">
        <f>R116=ROUND(105*0.05,10)</f>
        <v/>
      </c>
      <c r="I116">
        <f>S116=ROUND(105*0.01,10)</f>
        <v/>
      </c>
      <c r="J116">
        <f>T116=ROUND(105*0.7,10)</f>
        <v/>
      </c>
      <c r="K116">
        <f>U116=ROUND(105*1.1,10)</f>
        <v/>
      </c>
      <c r="L116">
        <f>V116=ROUND(105*0.25,10)</f>
        <v/>
      </c>
      <c r="M116">
        <f>W116=ROUND(105*0.5,10)</f>
        <v/>
      </c>
      <c r="O116">
        <f>O115+0.1</f>
        <v/>
      </c>
      <c r="P116">
        <f>P115+0.2</f>
        <v/>
      </c>
      <c r="Q116">
        <f>Q115+0.3</f>
        <v/>
      </c>
      <c r="R116">
        <f>R115+0.05</f>
        <v/>
      </c>
      <c r="S116">
        <f>S115+0.01</f>
        <v/>
      </c>
      <c r="T116">
        <f>T115+0.7</f>
        <v/>
      </c>
      <c r="U116">
        <f>U115+1.1</f>
        <v/>
      </c>
      <c r="V116">
        <f>V115+0.25</f>
        <v/>
      </c>
      <c r="W116">
        <f>W115+0.5</f>
        <v/>
      </c>
    </row>
    <row r="117">
      <c r="E117">
        <f>O117=ROUND(106*0.1,10)</f>
        <v/>
      </c>
      <c r="F117">
        <f>P117=ROUND(106*0.2,10)</f>
        <v/>
      </c>
      <c r="G117">
        <f>Q117=ROUND(106*0.3,10)</f>
        <v/>
      </c>
      <c r="H117">
        <f>R117=ROUND(106*0.05,10)</f>
        <v/>
      </c>
      <c r="I117">
        <f>S117=ROUND(106*0.01,10)</f>
        <v/>
      </c>
      <c r="J117">
        <f>T117=ROUND(106*0.7,10)</f>
        <v/>
      </c>
      <c r="K117">
        <f>U117=ROUND(106*1.1,10)</f>
        <v/>
      </c>
      <c r="L117">
        <f>V117=ROUND(106*0.25,10)</f>
        <v/>
      </c>
      <c r="M117">
        <f>W117=ROUND(106*0.5,10)</f>
        <v/>
      </c>
      <c r="O117">
        <f>O116+0.1</f>
        <v/>
      </c>
      <c r="P117">
        <f>P116+0.2</f>
        <v/>
      </c>
      <c r="Q117">
        <f>Q116+0.3</f>
        <v/>
      </c>
      <c r="R117">
        <f>R116+0.05</f>
        <v/>
      </c>
      <c r="S117">
        <f>S116+0.01</f>
        <v/>
      </c>
      <c r="T117">
        <f>T116+0.7</f>
        <v/>
      </c>
      <c r="U117">
        <f>U116+1.1</f>
        <v/>
      </c>
      <c r="V117">
        <f>V116+0.25</f>
        <v/>
      </c>
      <c r="W117">
        <f>W116+0.5</f>
        <v/>
      </c>
    </row>
    <row r="118">
      <c r="E118">
        <f>O118=ROUND(107*0.1,10)</f>
        <v/>
      </c>
      <c r="F118">
        <f>P118=ROUND(107*0.2,10)</f>
        <v/>
      </c>
      <c r="G118">
        <f>Q118=ROUND(107*0.3,10)</f>
        <v/>
      </c>
      <c r="H118">
        <f>R118=ROUND(107*0.05,10)</f>
        <v/>
      </c>
      <c r="I118">
        <f>S118=ROUND(107*0.01,10)</f>
        <v/>
      </c>
      <c r="J118">
        <f>T118=ROUND(107*0.7,10)</f>
        <v/>
      </c>
      <c r="K118">
        <f>U118=ROUND(107*1.1,10)</f>
        <v/>
      </c>
      <c r="L118">
        <f>V118=ROUND(107*0.25,10)</f>
        <v/>
      </c>
      <c r="M118">
        <f>W118=ROUND(107*0.5,10)</f>
        <v/>
      </c>
      <c r="O118">
        <f>O117+0.1</f>
        <v/>
      </c>
      <c r="P118">
        <f>P117+0.2</f>
        <v/>
      </c>
      <c r="Q118">
        <f>Q117+0.3</f>
        <v/>
      </c>
      <c r="R118">
        <f>R117+0.05</f>
        <v/>
      </c>
      <c r="S118">
        <f>S117+0.01</f>
        <v/>
      </c>
      <c r="T118">
        <f>T117+0.7</f>
        <v/>
      </c>
      <c r="U118">
        <f>U117+1.1</f>
        <v/>
      </c>
      <c r="V118">
        <f>V117+0.25</f>
        <v/>
      </c>
      <c r="W118">
        <f>W117+0.5</f>
        <v/>
      </c>
    </row>
    <row r="119">
      <c r="E119">
        <f>O119=ROUND(108*0.1,10)</f>
        <v/>
      </c>
      <c r="F119">
        <f>P119=ROUND(108*0.2,10)</f>
        <v/>
      </c>
      <c r="G119">
        <f>Q119=ROUND(108*0.3,10)</f>
        <v/>
      </c>
      <c r="H119">
        <f>R119=ROUND(108*0.05,10)</f>
        <v/>
      </c>
      <c r="I119">
        <f>S119=ROUND(108*0.01,10)</f>
        <v/>
      </c>
      <c r="J119">
        <f>T119=ROUND(108*0.7,10)</f>
        <v/>
      </c>
      <c r="K119">
        <f>U119=ROUND(108*1.1,10)</f>
        <v/>
      </c>
      <c r="L119">
        <f>V119=ROUND(108*0.25,10)</f>
        <v/>
      </c>
      <c r="M119">
        <f>W119=ROUND(108*0.5,10)</f>
        <v/>
      </c>
      <c r="O119">
        <f>O118+0.1</f>
        <v/>
      </c>
      <c r="P119">
        <f>P118+0.2</f>
        <v/>
      </c>
      <c r="Q119">
        <f>Q118+0.3</f>
        <v/>
      </c>
      <c r="R119">
        <f>R118+0.05</f>
        <v/>
      </c>
      <c r="S119">
        <f>S118+0.01</f>
        <v/>
      </c>
      <c r="T119">
        <f>T118+0.7</f>
        <v/>
      </c>
      <c r="U119">
        <f>U118+1.1</f>
        <v/>
      </c>
      <c r="V119">
        <f>V118+0.25</f>
        <v/>
      </c>
      <c r="W119">
        <f>W118+0.5</f>
        <v/>
      </c>
    </row>
    <row r="120">
      <c r="E120">
        <f>O120=ROUND(109*0.1,10)</f>
        <v/>
      </c>
      <c r="F120">
        <f>P120=ROUND(109*0.2,10)</f>
        <v/>
      </c>
      <c r="G120">
        <f>Q120=ROUND(109*0.3,10)</f>
        <v/>
      </c>
      <c r="H120">
        <f>R120=ROUND(109*0.05,10)</f>
        <v/>
      </c>
      <c r="I120">
        <f>S120=ROUND(109*0.01,10)</f>
        <v/>
      </c>
      <c r="J120">
        <f>T120=ROUND(109*0.7,10)</f>
        <v/>
      </c>
      <c r="K120">
        <f>U120=ROUND(109*1.1,10)</f>
        <v/>
      </c>
      <c r="L120">
        <f>V120=ROUND(109*0.25,10)</f>
        <v/>
      </c>
      <c r="M120">
        <f>W120=ROUND(109*0.5,10)</f>
        <v/>
      </c>
      <c r="O120">
        <f>O119+0.1</f>
        <v/>
      </c>
      <c r="P120">
        <f>P119+0.2</f>
        <v/>
      </c>
      <c r="Q120">
        <f>Q119+0.3</f>
        <v/>
      </c>
      <c r="R120">
        <f>R119+0.05</f>
        <v/>
      </c>
      <c r="S120">
        <f>S119+0.01</f>
        <v/>
      </c>
      <c r="T120">
        <f>T119+0.7</f>
        <v/>
      </c>
      <c r="U120">
        <f>U119+1.1</f>
        <v/>
      </c>
      <c r="V120">
        <f>V119+0.25</f>
        <v/>
      </c>
      <c r="W120">
        <f>W119+0.5</f>
        <v/>
      </c>
    </row>
    <row r="121">
      <c r="E121">
        <f>O121=ROUND(110*0.1,10)</f>
        <v/>
      </c>
      <c r="F121">
        <f>P121=ROUND(110*0.2,10)</f>
        <v/>
      </c>
      <c r="G121">
        <f>Q121=ROUND(110*0.3,10)</f>
        <v/>
      </c>
      <c r="H121">
        <f>R121=ROUND(110*0.05,10)</f>
        <v/>
      </c>
      <c r="I121">
        <f>S121=ROUND(110*0.01,10)</f>
        <v/>
      </c>
      <c r="J121">
        <f>T121=ROUND(110*0.7,10)</f>
        <v/>
      </c>
      <c r="K121">
        <f>U121=ROUND(110*1.1,10)</f>
        <v/>
      </c>
      <c r="L121">
        <f>V121=ROUND(110*0.25,10)</f>
        <v/>
      </c>
      <c r="M121">
        <f>W121=ROUND(110*0.5,10)</f>
        <v/>
      </c>
      <c r="O121">
        <f>O120+0.1</f>
        <v/>
      </c>
      <c r="P121">
        <f>P120+0.2</f>
        <v/>
      </c>
      <c r="Q121">
        <f>Q120+0.3</f>
        <v/>
      </c>
      <c r="R121">
        <f>R120+0.05</f>
        <v/>
      </c>
      <c r="S121">
        <f>S120+0.01</f>
        <v/>
      </c>
      <c r="T121">
        <f>T120+0.7</f>
        <v/>
      </c>
      <c r="U121">
        <f>U120+1.1</f>
        <v/>
      </c>
      <c r="V121">
        <f>V120+0.25</f>
        <v/>
      </c>
      <c r="W121">
        <f>W120+0.5</f>
        <v/>
      </c>
    </row>
    <row r="122">
      <c r="E122">
        <f>O122=ROUND(111*0.1,10)</f>
        <v/>
      </c>
      <c r="F122">
        <f>P122=ROUND(111*0.2,10)</f>
        <v/>
      </c>
      <c r="G122">
        <f>Q122=ROUND(111*0.3,10)</f>
        <v/>
      </c>
      <c r="H122">
        <f>R122=ROUND(111*0.05,10)</f>
        <v/>
      </c>
      <c r="I122">
        <f>S122=ROUND(111*0.01,10)</f>
        <v/>
      </c>
      <c r="J122">
        <f>T122=ROUND(111*0.7,10)</f>
        <v/>
      </c>
      <c r="K122">
        <f>U122=ROUND(111*1.1,10)</f>
        <v/>
      </c>
      <c r="L122">
        <f>V122=ROUND(111*0.25,10)</f>
        <v/>
      </c>
      <c r="M122">
        <f>W122=ROUND(111*0.5,10)</f>
        <v/>
      </c>
      <c r="O122">
        <f>O121+0.1</f>
        <v/>
      </c>
      <c r="P122">
        <f>P121+0.2</f>
        <v/>
      </c>
      <c r="Q122">
        <f>Q121+0.3</f>
        <v/>
      </c>
      <c r="R122">
        <f>R121+0.05</f>
        <v/>
      </c>
      <c r="S122">
        <f>S121+0.01</f>
        <v/>
      </c>
      <c r="T122">
        <f>T121+0.7</f>
        <v/>
      </c>
      <c r="U122">
        <f>U121+1.1</f>
        <v/>
      </c>
      <c r="V122">
        <f>V121+0.25</f>
        <v/>
      </c>
      <c r="W122">
        <f>W121+0.5</f>
        <v/>
      </c>
    </row>
    <row r="123">
      <c r="E123">
        <f>O123=ROUND(112*0.1,10)</f>
        <v/>
      </c>
      <c r="F123">
        <f>P123=ROUND(112*0.2,10)</f>
        <v/>
      </c>
      <c r="G123">
        <f>Q123=ROUND(112*0.3,10)</f>
        <v/>
      </c>
      <c r="H123">
        <f>R123=ROUND(112*0.05,10)</f>
        <v/>
      </c>
      <c r="I123">
        <f>S123=ROUND(112*0.01,10)</f>
        <v/>
      </c>
      <c r="J123">
        <f>T123=ROUND(112*0.7,10)</f>
        <v/>
      </c>
      <c r="K123">
        <f>U123=ROUND(112*1.1,10)</f>
        <v/>
      </c>
      <c r="L123">
        <f>V123=ROUND(112*0.25,10)</f>
        <v/>
      </c>
      <c r="M123">
        <f>W123=ROUND(112*0.5,10)</f>
        <v/>
      </c>
      <c r="O123">
        <f>O122+0.1</f>
        <v/>
      </c>
      <c r="P123">
        <f>P122+0.2</f>
        <v/>
      </c>
      <c r="Q123">
        <f>Q122+0.3</f>
        <v/>
      </c>
      <c r="R123">
        <f>R122+0.05</f>
        <v/>
      </c>
      <c r="S123">
        <f>S122+0.01</f>
        <v/>
      </c>
      <c r="T123">
        <f>T122+0.7</f>
        <v/>
      </c>
      <c r="U123">
        <f>U122+1.1</f>
        <v/>
      </c>
      <c r="V123">
        <f>V122+0.25</f>
        <v/>
      </c>
      <c r="W123">
        <f>W122+0.5</f>
        <v/>
      </c>
    </row>
    <row r="124">
      <c r="E124">
        <f>O124=ROUND(113*0.1,10)</f>
        <v/>
      </c>
      <c r="F124">
        <f>P124=ROUND(113*0.2,10)</f>
        <v/>
      </c>
      <c r="G124">
        <f>Q124=ROUND(113*0.3,10)</f>
        <v/>
      </c>
      <c r="H124">
        <f>R124=ROUND(113*0.05,10)</f>
        <v/>
      </c>
      <c r="I124">
        <f>S124=ROUND(113*0.01,10)</f>
        <v/>
      </c>
      <c r="J124">
        <f>T124=ROUND(113*0.7,10)</f>
        <v/>
      </c>
      <c r="K124">
        <f>U124=ROUND(113*1.1,10)</f>
        <v/>
      </c>
      <c r="L124">
        <f>V124=ROUND(113*0.25,10)</f>
        <v/>
      </c>
      <c r="M124">
        <f>W124=ROUND(113*0.5,10)</f>
        <v/>
      </c>
      <c r="O124">
        <f>O123+0.1</f>
        <v/>
      </c>
      <c r="P124">
        <f>P123+0.2</f>
        <v/>
      </c>
      <c r="Q124">
        <f>Q123+0.3</f>
        <v/>
      </c>
      <c r="R124">
        <f>R123+0.05</f>
        <v/>
      </c>
      <c r="S124">
        <f>S123+0.01</f>
        <v/>
      </c>
      <c r="T124">
        <f>T123+0.7</f>
        <v/>
      </c>
      <c r="U124">
        <f>U123+1.1</f>
        <v/>
      </c>
      <c r="V124">
        <f>V123+0.25</f>
        <v/>
      </c>
      <c r="W124">
        <f>W123+0.5</f>
        <v/>
      </c>
    </row>
    <row r="125">
      <c r="E125">
        <f>O125=ROUND(114*0.1,10)</f>
        <v/>
      </c>
      <c r="F125">
        <f>P125=ROUND(114*0.2,10)</f>
        <v/>
      </c>
      <c r="G125">
        <f>Q125=ROUND(114*0.3,10)</f>
        <v/>
      </c>
      <c r="H125">
        <f>R125=ROUND(114*0.05,10)</f>
        <v/>
      </c>
      <c r="I125">
        <f>S125=ROUND(114*0.01,10)</f>
        <v/>
      </c>
      <c r="J125">
        <f>T125=ROUND(114*0.7,10)</f>
        <v/>
      </c>
      <c r="K125">
        <f>U125=ROUND(114*1.1,10)</f>
        <v/>
      </c>
      <c r="L125">
        <f>V125=ROUND(114*0.25,10)</f>
        <v/>
      </c>
      <c r="M125">
        <f>W125=ROUND(114*0.5,10)</f>
        <v/>
      </c>
      <c r="O125">
        <f>O124+0.1</f>
        <v/>
      </c>
      <c r="P125">
        <f>P124+0.2</f>
        <v/>
      </c>
      <c r="Q125">
        <f>Q124+0.3</f>
        <v/>
      </c>
      <c r="R125">
        <f>R124+0.05</f>
        <v/>
      </c>
      <c r="S125">
        <f>S124+0.01</f>
        <v/>
      </c>
      <c r="T125">
        <f>T124+0.7</f>
        <v/>
      </c>
      <c r="U125">
        <f>U124+1.1</f>
        <v/>
      </c>
      <c r="V125">
        <f>V124+0.25</f>
        <v/>
      </c>
      <c r="W125">
        <f>W124+0.5</f>
        <v/>
      </c>
    </row>
    <row r="126">
      <c r="E126">
        <f>O126=ROUND(115*0.1,10)</f>
        <v/>
      </c>
      <c r="F126">
        <f>P126=ROUND(115*0.2,10)</f>
        <v/>
      </c>
      <c r="G126">
        <f>Q126=ROUND(115*0.3,10)</f>
        <v/>
      </c>
      <c r="H126">
        <f>R126=ROUND(115*0.05,10)</f>
        <v/>
      </c>
      <c r="I126">
        <f>S126=ROUND(115*0.01,10)</f>
        <v/>
      </c>
      <c r="J126">
        <f>T126=ROUND(115*0.7,10)</f>
        <v/>
      </c>
      <c r="K126">
        <f>U126=ROUND(115*1.1,10)</f>
        <v/>
      </c>
      <c r="L126">
        <f>V126=ROUND(115*0.25,10)</f>
        <v/>
      </c>
      <c r="M126">
        <f>W126=ROUND(115*0.5,10)</f>
        <v/>
      </c>
      <c r="O126">
        <f>O125+0.1</f>
        <v/>
      </c>
      <c r="P126">
        <f>P125+0.2</f>
        <v/>
      </c>
      <c r="Q126">
        <f>Q125+0.3</f>
        <v/>
      </c>
      <c r="R126">
        <f>R125+0.05</f>
        <v/>
      </c>
      <c r="S126">
        <f>S125+0.01</f>
        <v/>
      </c>
      <c r="T126">
        <f>T125+0.7</f>
        <v/>
      </c>
      <c r="U126">
        <f>U125+1.1</f>
        <v/>
      </c>
      <c r="V126">
        <f>V125+0.25</f>
        <v/>
      </c>
      <c r="W126">
        <f>W125+0.5</f>
        <v/>
      </c>
    </row>
    <row r="127">
      <c r="E127">
        <f>O127=ROUND(116*0.1,10)</f>
        <v/>
      </c>
      <c r="F127">
        <f>P127=ROUND(116*0.2,10)</f>
        <v/>
      </c>
      <c r="G127">
        <f>Q127=ROUND(116*0.3,10)</f>
        <v/>
      </c>
      <c r="H127">
        <f>R127=ROUND(116*0.05,10)</f>
        <v/>
      </c>
      <c r="I127">
        <f>S127=ROUND(116*0.01,10)</f>
        <v/>
      </c>
      <c r="J127">
        <f>T127=ROUND(116*0.7,10)</f>
        <v/>
      </c>
      <c r="K127">
        <f>U127=ROUND(116*1.1,10)</f>
        <v/>
      </c>
      <c r="L127">
        <f>V127=ROUND(116*0.25,10)</f>
        <v/>
      </c>
      <c r="M127">
        <f>W127=ROUND(116*0.5,10)</f>
        <v/>
      </c>
      <c r="O127">
        <f>O126+0.1</f>
        <v/>
      </c>
      <c r="P127">
        <f>P126+0.2</f>
        <v/>
      </c>
      <c r="Q127">
        <f>Q126+0.3</f>
        <v/>
      </c>
      <c r="R127">
        <f>R126+0.05</f>
        <v/>
      </c>
      <c r="S127">
        <f>S126+0.01</f>
        <v/>
      </c>
      <c r="T127">
        <f>T126+0.7</f>
        <v/>
      </c>
      <c r="U127">
        <f>U126+1.1</f>
        <v/>
      </c>
      <c r="V127">
        <f>V126+0.25</f>
        <v/>
      </c>
      <c r="W127">
        <f>W126+0.5</f>
        <v/>
      </c>
    </row>
    <row r="128">
      <c r="E128">
        <f>O128=ROUND(117*0.1,10)</f>
        <v/>
      </c>
      <c r="F128">
        <f>P128=ROUND(117*0.2,10)</f>
        <v/>
      </c>
      <c r="G128">
        <f>Q128=ROUND(117*0.3,10)</f>
        <v/>
      </c>
      <c r="H128">
        <f>R128=ROUND(117*0.05,10)</f>
        <v/>
      </c>
      <c r="I128">
        <f>S128=ROUND(117*0.01,10)</f>
        <v/>
      </c>
      <c r="J128">
        <f>T128=ROUND(117*0.7,10)</f>
        <v/>
      </c>
      <c r="K128">
        <f>U128=ROUND(117*1.1,10)</f>
        <v/>
      </c>
      <c r="L128">
        <f>V128=ROUND(117*0.25,10)</f>
        <v/>
      </c>
      <c r="M128">
        <f>W128=ROUND(117*0.5,10)</f>
        <v/>
      </c>
      <c r="O128">
        <f>O127+0.1</f>
        <v/>
      </c>
      <c r="P128">
        <f>P127+0.2</f>
        <v/>
      </c>
      <c r="Q128">
        <f>Q127+0.3</f>
        <v/>
      </c>
      <c r="R128">
        <f>R127+0.05</f>
        <v/>
      </c>
      <c r="S128">
        <f>S127+0.01</f>
        <v/>
      </c>
      <c r="T128">
        <f>T127+0.7</f>
        <v/>
      </c>
      <c r="U128">
        <f>U127+1.1</f>
        <v/>
      </c>
      <c r="V128">
        <f>V127+0.25</f>
        <v/>
      </c>
      <c r="W128">
        <f>W127+0.5</f>
        <v/>
      </c>
    </row>
    <row r="129">
      <c r="E129">
        <f>O129=ROUND(118*0.1,10)</f>
        <v/>
      </c>
      <c r="F129">
        <f>P129=ROUND(118*0.2,10)</f>
        <v/>
      </c>
      <c r="G129">
        <f>Q129=ROUND(118*0.3,10)</f>
        <v/>
      </c>
      <c r="H129">
        <f>R129=ROUND(118*0.05,10)</f>
        <v/>
      </c>
      <c r="I129">
        <f>S129=ROUND(118*0.01,10)</f>
        <v/>
      </c>
      <c r="J129">
        <f>T129=ROUND(118*0.7,10)</f>
        <v/>
      </c>
      <c r="K129">
        <f>U129=ROUND(118*1.1,10)</f>
        <v/>
      </c>
      <c r="L129">
        <f>V129=ROUND(118*0.25,10)</f>
        <v/>
      </c>
      <c r="M129">
        <f>W129=ROUND(118*0.5,10)</f>
        <v/>
      </c>
      <c r="O129">
        <f>O128+0.1</f>
        <v/>
      </c>
      <c r="P129">
        <f>P128+0.2</f>
        <v/>
      </c>
      <c r="Q129">
        <f>Q128+0.3</f>
        <v/>
      </c>
      <c r="R129">
        <f>R128+0.05</f>
        <v/>
      </c>
      <c r="S129">
        <f>S128+0.01</f>
        <v/>
      </c>
      <c r="T129">
        <f>T128+0.7</f>
        <v/>
      </c>
      <c r="U129">
        <f>U128+1.1</f>
        <v/>
      </c>
      <c r="V129">
        <f>V128+0.25</f>
        <v/>
      </c>
      <c r="W129">
        <f>W128+0.5</f>
        <v/>
      </c>
    </row>
    <row r="130">
      <c r="E130">
        <f>O130=ROUND(119*0.1,10)</f>
        <v/>
      </c>
      <c r="F130">
        <f>P130=ROUND(119*0.2,10)</f>
        <v/>
      </c>
      <c r="G130">
        <f>Q130=ROUND(119*0.3,10)</f>
        <v/>
      </c>
      <c r="H130">
        <f>R130=ROUND(119*0.05,10)</f>
        <v/>
      </c>
      <c r="I130">
        <f>S130=ROUND(119*0.01,10)</f>
        <v/>
      </c>
      <c r="J130">
        <f>T130=ROUND(119*0.7,10)</f>
        <v/>
      </c>
      <c r="K130">
        <f>U130=ROUND(119*1.1,10)</f>
        <v/>
      </c>
      <c r="L130">
        <f>V130=ROUND(119*0.25,10)</f>
        <v/>
      </c>
      <c r="M130">
        <f>W130=ROUND(119*0.5,10)</f>
        <v/>
      </c>
      <c r="O130">
        <f>O129+0.1</f>
        <v/>
      </c>
      <c r="P130">
        <f>P129+0.2</f>
        <v/>
      </c>
      <c r="Q130">
        <f>Q129+0.3</f>
        <v/>
      </c>
      <c r="R130">
        <f>R129+0.05</f>
        <v/>
      </c>
      <c r="S130">
        <f>S129+0.01</f>
        <v/>
      </c>
      <c r="T130">
        <f>T129+0.7</f>
        <v/>
      </c>
      <c r="U130">
        <f>U129+1.1</f>
        <v/>
      </c>
      <c r="V130">
        <f>V129+0.25</f>
        <v/>
      </c>
      <c r="W130">
        <f>W129+0.5</f>
        <v/>
      </c>
    </row>
    <row r="131">
      <c r="E131">
        <f>O131=ROUND(120*0.1,10)</f>
        <v/>
      </c>
      <c r="F131">
        <f>P131=ROUND(120*0.2,10)</f>
        <v/>
      </c>
      <c r="G131">
        <f>Q131=ROUND(120*0.3,10)</f>
        <v/>
      </c>
      <c r="H131">
        <f>R131=ROUND(120*0.05,10)</f>
        <v/>
      </c>
      <c r="I131">
        <f>S131=ROUND(120*0.01,10)</f>
        <v/>
      </c>
      <c r="J131">
        <f>T131=ROUND(120*0.7,10)</f>
        <v/>
      </c>
      <c r="K131">
        <f>U131=ROUND(120*1.1,10)</f>
        <v/>
      </c>
      <c r="L131">
        <f>V131=ROUND(120*0.25,10)</f>
        <v/>
      </c>
      <c r="M131">
        <f>W131=ROUND(120*0.5,10)</f>
        <v/>
      </c>
      <c r="O131">
        <f>O130+0.1</f>
        <v/>
      </c>
      <c r="P131">
        <f>P130+0.2</f>
        <v/>
      </c>
      <c r="Q131">
        <f>Q130+0.3</f>
        <v/>
      </c>
      <c r="R131">
        <f>R130+0.05</f>
        <v/>
      </c>
      <c r="S131">
        <f>S130+0.01</f>
        <v/>
      </c>
      <c r="T131">
        <f>T130+0.7</f>
        <v/>
      </c>
      <c r="U131">
        <f>U130+1.1</f>
        <v/>
      </c>
      <c r="V131">
        <f>V130+0.25</f>
        <v/>
      </c>
      <c r="W131">
        <f>W130+0.5</f>
        <v/>
      </c>
    </row>
    <row r="132">
      <c r="E132">
        <f>O132=ROUND(121*0.1,10)</f>
        <v/>
      </c>
      <c r="F132">
        <f>P132=ROUND(121*0.2,10)</f>
        <v/>
      </c>
      <c r="G132">
        <f>Q132=ROUND(121*0.3,10)</f>
        <v/>
      </c>
      <c r="H132">
        <f>R132=ROUND(121*0.05,10)</f>
        <v/>
      </c>
      <c r="I132">
        <f>S132=ROUND(121*0.01,10)</f>
        <v/>
      </c>
      <c r="J132">
        <f>T132=ROUND(121*0.7,10)</f>
        <v/>
      </c>
      <c r="K132">
        <f>U132=ROUND(121*1.1,10)</f>
        <v/>
      </c>
      <c r="L132">
        <f>V132=ROUND(121*0.25,10)</f>
        <v/>
      </c>
      <c r="M132">
        <f>W132=ROUND(121*0.5,10)</f>
        <v/>
      </c>
      <c r="O132">
        <f>O131+0.1</f>
        <v/>
      </c>
      <c r="P132">
        <f>P131+0.2</f>
        <v/>
      </c>
      <c r="Q132">
        <f>Q131+0.3</f>
        <v/>
      </c>
      <c r="R132">
        <f>R131+0.05</f>
        <v/>
      </c>
      <c r="S132">
        <f>S131+0.01</f>
        <v/>
      </c>
      <c r="T132">
        <f>T131+0.7</f>
        <v/>
      </c>
      <c r="U132">
        <f>U131+1.1</f>
        <v/>
      </c>
      <c r="V132">
        <f>V131+0.25</f>
        <v/>
      </c>
      <c r="W132">
        <f>W131+0.5</f>
        <v/>
      </c>
    </row>
    <row r="133">
      <c r="E133">
        <f>O133=ROUND(122*0.1,10)</f>
        <v/>
      </c>
      <c r="F133">
        <f>P133=ROUND(122*0.2,10)</f>
        <v/>
      </c>
      <c r="G133">
        <f>Q133=ROUND(122*0.3,10)</f>
        <v/>
      </c>
      <c r="H133">
        <f>R133=ROUND(122*0.05,10)</f>
        <v/>
      </c>
      <c r="I133">
        <f>S133=ROUND(122*0.01,10)</f>
        <v/>
      </c>
      <c r="J133">
        <f>T133=ROUND(122*0.7,10)</f>
        <v/>
      </c>
      <c r="K133">
        <f>U133=ROUND(122*1.1,10)</f>
        <v/>
      </c>
      <c r="L133">
        <f>V133=ROUND(122*0.25,10)</f>
        <v/>
      </c>
      <c r="M133">
        <f>W133=ROUND(122*0.5,10)</f>
        <v/>
      </c>
      <c r="O133">
        <f>O132+0.1</f>
        <v/>
      </c>
      <c r="P133">
        <f>P132+0.2</f>
        <v/>
      </c>
      <c r="Q133">
        <f>Q132+0.3</f>
        <v/>
      </c>
      <c r="R133">
        <f>R132+0.05</f>
        <v/>
      </c>
      <c r="S133">
        <f>S132+0.01</f>
        <v/>
      </c>
      <c r="T133">
        <f>T132+0.7</f>
        <v/>
      </c>
      <c r="U133">
        <f>U132+1.1</f>
        <v/>
      </c>
      <c r="V133">
        <f>V132+0.25</f>
        <v/>
      </c>
      <c r="W133">
        <f>W132+0.5</f>
        <v/>
      </c>
    </row>
    <row r="134">
      <c r="E134">
        <f>O134=ROUND(123*0.1,10)</f>
        <v/>
      </c>
      <c r="F134">
        <f>P134=ROUND(123*0.2,10)</f>
        <v/>
      </c>
      <c r="G134">
        <f>Q134=ROUND(123*0.3,10)</f>
        <v/>
      </c>
      <c r="H134">
        <f>R134=ROUND(123*0.05,10)</f>
        <v/>
      </c>
      <c r="I134">
        <f>S134=ROUND(123*0.01,10)</f>
        <v/>
      </c>
      <c r="J134">
        <f>T134=ROUND(123*0.7,10)</f>
        <v/>
      </c>
      <c r="K134">
        <f>U134=ROUND(123*1.1,10)</f>
        <v/>
      </c>
      <c r="L134">
        <f>V134=ROUND(123*0.25,10)</f>
        <v/>
      </c>
      <c r="M134">
        <f>W134=ROUND(123*0.5,10)</f>
        <v/>
      </c>
      <c r="O134">
        <f>O133+0.1</f>
        <v/>
      </c>
      <c r="P134">
        <f>P133+0.2</f>
        <v/>
      </c>
      <c r="Q134">
        <f>Q133+0.3</f>
        <v/>
      </c>
      <c r="R134">
        <f>R133+0.05</f>
        <v/>
      </c>
      <c r="S134">
        <f>S133+0.01</f>
        <v/>
      </c>
      <c r="T134">
        <f>T133+0.7</f>
        <v/>
      </c>
      <c r="U134">
        <f>U133+1.1</f>
        <v/>
      </c>
      <c r="V134">
        <f>V133+0.25</f>
        <v/>
      </c>
      <c r="W134">
        <f>W133+0.5</f>
        <v/>
      </c>
    </row>
    <row r="135">
      <c r="E135">
        <f>O135=ROUND(124*0.1,10)</f>
        <v/>
      </c>
      <c r="F135">
        <f>P135=ROUND(124*0.2,10)</f>
        <v/>
      </c>
      <c r="G135">
        <f>Q135=ROUND(124*0.3,10)</f>
        <v/>
      </c>
      <c r="H135">
        <f>R135=ROUND(124*0.05,10)</f>
        <v/>
      </c>
      <c r="I135">
        <f>S135=ROUND(124*0.01,10)</f>
        <v/>
      </c>
      <c r="J135">
        <f>T135=ROUND(124*0.7,10)</f>
        <v/>
      </c>
      <c r="K135">
        <f>U135=ROUND(124*1.1,10)</f>
        <v/>
      </c>
      <c r="L135">
        <f>V135=ROUND(124*0.25,10)</f>
        <v/>
      </c>
      <c r="M135">
        <f>W135=ROUND(124*0.5,10)</f>
        <v/>
      </c>
      <c r="O135">
        <f>O134+0.1</f>
        <v/>
      </c>
      <c r="P135">
        <f>P134+0.2</f>
        <v/>
      </c>
      <c r="Q135">
        <f>Q134+0.3</f>
        <v/>
      </c>
      <c r="R135">
        <f>R134+0.05</f>
        <v/>
      </c>
      <c r="S135">
        <f>S134+0.01</f>
        <v/>
      </c>
      <c r="T135">
        <f>T134+0.7</f>
        <v/>
      </c>
      <c r="U135">
        <f>U134+1.1</f>
        <v/>
      </c>
      <c r="V135">
        <f>V134+0.25</f>
        <v/>
      </c>
      <c r="W135">
        <f>W134+0.5</f>
        <v/>
      </c>
    </row>
    <row r="136">
      <c r="E136">
        <f>O136=ROUND(125*0.1,10)</f>
        <v/>
      </c>
      <c r="F136">
        <f>P136=ROUND(125*0.2,10)</f>
        <v/>
      </c>
      <c r="G136">
        <f>Q136=ROUND(125*0.3,10)</f>
        <v/>
      </c>
      <c r="H136">
        <f>R136=ROUND(125*0.05,10)</f>
        <v/>
      </c>
      <c r="I136">
        <f>S136=ROUND(125*0.01,10)</f>
        <v/>
      </c>
      <c r="J136">
        <f>T136=ROUND(125*0.7,10)</f>
        <v/>
      </c>
      <c r="K136">
        <f>U136=ROUND(125*1.1,10)</f>
        <v/>
      </c>
      <c r="L136">
        <f>V136=ROUND(125*0.25,10)</f>
        <v/>
      </c>
      <c r="M136">
        <f>W136=ROUND(125*0.5,10)</f>
        <v/>
      </c>
      <c r="O136">
        <f>O135+0.1</f>
        <v/>
      </c>
      <c r="P136">
        <f>P135+0.2</f>
        <v/>
      </c>
      <c r="Q136">
        <f>Q135+0.3</f>
        <v/>
      </c>
      <c r="R136">
        <f>R135+0.05</f>
        <v/>
      </c>
      <c r="S136">
        <f>S135+0.01</f>
        <v/>
      </c>
      <c r="T136">
        <f>T135+0.7</f>
        <v/>
      </c>
      <c r="U136">
        <f>U135+1.1</f>
        <v/>
      </c>
      <c r="V136">
        <f>V135+0.25</f>
        <v/>
      </c>
      <c r="W136">
        <f>W135+0.5</f>
        <v/>
      </c>
    </row>
    <row r="137">
      <c r="E137">
        <f>O137=ROUND(126*0.1,10)</f>
        <v/>
      </c>
      <c r="F137">
        <f>P137=ROUND(126*0.2,10)</f>
        <v/>
      </c>
      <c r="G137">
        <f>Q137=ROUND(126*0.3,10)</f>
        <v/>
      </c>
      <c r="H137">
        <f>R137=ROUND(126*0.05,10)</f>
        <v/>
      </c>
      <c r="I137">
        <f>S137=ROUND(126*0.01,10)</f>
        <v/>
      </c>
      <c r="J137">
        <f>T137=ROUND(126*0.7,10)</f>
        <v/>
      </c>
      <c r="K137">
        <f>U137=ROUND(126*1.1,10)</f>
        <v/>
      </c>
      <c r="L137">
        <f>V137=ROUND(126*0.25,10)</f>
        <v/>
      </c>
      <c r="M137">
        <f>W137=ROUND(126*0.5,10)</f>
        <v/>
      </c>
      <c r="O137">
        <f>O136+0.1</f>
        <v/>
      </c>
      <c r="P137">
        <f>P136+0.2</f>
        <v/>
      </c>
      <c r="Q137">
        <f>Q136+0.3</f>
        <v/>
      </c>
      <c r="R137">
        <f>R136+0.05</f>
        <v/>
      </c>
      <c r="S137">
        <f>S136+0.01</f>
        <v/>
      </c>
      <c r="T137">
        <f>T136+0.7</f>
        <v/>
      </c>
      <c r="U137">
        <f>U136+1.1</f>
        <v/>
      </c>
      <c r="V137">
        <f>V136+0.25</f>
        <v/>
      </c>
      <c r="W137">
        <f>W136+0.5</f>
        <v/>
      </c>
    </row>
    <row r="138">
      <c r="E138">
        <f>O138=ROUND(127*0.1,10)</f>
        <v/>
      </c>
      <c r="F138">
        <f>P138=ROUND(127*0.2,10)</f>
        <v/>
      </c>
      <c r="G138">
        <f>Q138=ROUND(127*0.3,10)</f>
        <v/>
      </c>
      <c r="H138">
        <f>R138=ROUND(127*0.05,10)</f>
        <v/>
      </c>
      <c r="I138">
        <f>S138=ROUND(127*0.01,10)</f>
        <v/>
      </c>
      <c r="J138">
        <f>T138=ROUND(127*0.7,10)</f>
        <v/>
      </c>
      <c r="K138">
        <f>U138=ROUND(127*1.1,10)</f>
        <v/>
      </c>
      <c r="L138">
        <f>V138=ROUND(127*0.25,10)</f>
        <v/>
      </c>
      <c r="M138">
        <f>W138=ROUND(127*0.5,10)</f>
        <v/>
      </c>
      <c r="O138">
        <f>O137+0.1</f>
        <v/>
      </c>
      <c r="P138">
        <f>P137+0.2</f>
        <v/>
      </c>
      <c r="Q138">
        <f>Q137+0.3</f>
        <v/>
      </c>
      <c r="R138">
        <f>R137+0.05</f>
        <v/>
      </c>
      <c r="S138">
        <f>S137+0.01</f>
        <v/>
      </c>
      <c r="T138">
        <f>T137+0.7</f>
        <v/>
      </c>
      <c r="U138">
        <f>U137+1.1</f>
        <v/>
      </c>
      <c r="V138">
        <f>V137+0.25</f>
        <v/>
      </c>
      <c r="W138">
        <f>W137+0.5</f>
        <v/>
      </c>
    </row>
    <row r="139">
      <c r="E139">
        <f>O139=ROUND(128*0.1,10)</f>
        <v/>
      </c>
      <c r="F139">
        <f>P139=ROUND(128*0.2,10)</f>
        <v/>
      </c>
      <c r="G139">
        <f>Q139=ROUND(128*0.3,10)</f>
        <v/>
      </c>
      <c r="H139">
        <f>R139=ROUND(128*0.05,10)</f>
        <v/>
      </c>
      <c r="I139">
        <f>S139=ROUND(128*0.01,10)</f>
        <v/>
      </c>
      <c r="J139">
        <f>T139=ROUND(128*0.7,10)</f>
        <v/>
      </c>
      <c r="K139">
        <f>U139=ROUND(128*1.1,10)</f>
        <v/>
      </c>
      <c r="L139">
        <f>V139=ROUND(128*0.25,10)</f>
        <v/>
      </c>
      <c r="M139">
        <f>W139=ROUND(128*0.5,10)</f>
        <v/>
      </c>
      <c r="O139">
        <f>O138+0.1</f>
        <v/>
      </c>
      <c r="P139">
        <f>P138+0.2</f>
        <v/>
      </c>
      <c r="Q139">
        <f>Q138+0.3</f>
        <v/>
      </c>
      <c r="R139">
        <f>R138+0.05</f>
        <v/>
      </c>
      <c r="S139">
        <f>S138+0.01</f>
        <v/>
      </c>
      <c r="T139">
        <f>T138+0.7</f>
        <v/>
      </c>
      <c r="U139">
        <f>U138+1.1</f>
        <v/>
      </c>
      <c r="V139">
        <f>V138+0.25</f>
        <v/>
      </c>
      <c r="W139">
        <f>W138+0.5</f>
        <v/>
      </c>
    </row>
    <row r="140">
      <c r="E140">
        <f>O140=ROUND(129*0.1,10)</f>
        <v/>
      </c>
      <c r="F140">
        <f>P140=ROUND(129*0.2,10)</f>
        <v/>
      </c>
      <c r="G140">
        <f>Q140=ROUND(129*0.3,10)</f>
        <v/>
      </c>
      <c r="H140">
        <f>R140=ROUND(129*0.05,10)</f>
        <v/>
      </c>
      <c r="I140">
        <f>S140=ROUND(129*0.01,10)</f>
        <v/>
      </c>
      <c r="J140">
        <f>T140=ROUND(129*0.7,10)</f>
        <v/>
      </c>
      <c r="K140">
        <f>U140=ROUND(129*1.1,10)</f>
        <v/>
      </c>
      <c r="L140">
        <f>V140=ROUND(129*0.25,10)</f>
        <v/>
      </c>
      <c r="M140">
        <f>W140=ROUND(129*0.5,10)</f>
        <v/>
      </c>
      <c r="O140">
        <f>O139+0.1</f>
        <v/>
      </c>
      <c r="P140">
        <f>P139+0.2</f>
        <v/>
      </c>
      <c r="Q140">
        <f>Q139+0.3</f>
        <v/>
      </c>
      <c r="R140">
        <f>R139+0.05</f>
        <v/>
      </c>
      <c r="S140">
        <f>S139+0.01</f>
        <v/>
      </c>
      <c r="T140">
        <f>T139+0.7</f>
        <v/>
      </c>
      <c r="U140">
        <f>U139+1.1</f>
        <v/>
      </c>
      <c r="V140">
        <f>V139+0.25</f>
        <v/>
      </c>
      <c r="W140">
        <f>W139+0.5</f>
        <v/>
      </c>
    </row>
    <row r="141">
      <c r="E141">
        <f>O141=ROUND(130*0.1,10)</f>
        <v/>
      </c>
      <c r="F141">
        <f>P141=ROUND(130*0.2,10)</f>
        <v/>
      </c>
      <c r="G141">
        <f>Q141=ROUND(130*0.3,10)</f>
        <v/>
      </c>
      <c r="H141">
        <f>R141=ROUND(130*0.05,10)</f>
        <v/>
      </c>
      <c r="I141">
        <f>S141=ROUND(130*0.01,10)</f>
        <v/>
      </c>
      <c r="J141">
        <f>T141=ROUND(130*0.7,10)</f>
        <v/>
      </c>
      <c r="K141">
        <f>U141=ROUND(130*1.1,10)</f>
        <v/>
      </c>
      <c r="L141">
        <f>V141=ROUND(130*0.25,10)</f>
        <v/>
      </c>
      <c r="M141">
        <f>W141=ROUND(130*0.5,10)</f>
        <v/>
      </c>
      <c r="O141">
        <f>O140+0.1</f>
        <v/>
      </c>
      <c r="P141">
        <f>P140+0.2</f>
        <v/>
      </c>
      <c r="Q141">
        <f>Q140+0.3</f>
        <v/>
      </c>
      <c r="R141">
        <f>R140+0.05</f>
        <v/>
      </c>
      <c r="S141">
        <f>S140+0.01</f>
        <v/>
      </c>
      <c r="T141">
        <f>T140+0.7</f>
        <v/>
      </c>
      <c r="U141">
        <f>U140+1.1</f>
        <v/>
      </c>
      <c r="V141">
        <f>V140+0.25</f>
        <v/>
      </c>
      <c r="W141">
        <f>W140+0.5</f>
        <v/>
      </c>
    </row>
    <row r="142">
      <c r="E142">
        <f>O142=ROUND(131*0.1,10)</f>
        <v/>
      </c>
      <c r="F142">
        <f>P142=ROUND(131*0.2,10)</f>
        <v/>
      </c>
      <c r="G142">
        <f>Q142=ROUND(131*0.3,10)</f>
        <v/>
      </c>
      <c r="H142">
        <f>R142=ROUND(131*0.05,10)</f>
        <v/>
      </c>
      <c r="I142">
        <f>S142=ROUND(131*0.01,10)</f>
        <v/>
      </c>
      <c r="J142">
        <f>T142=ROUND(131*0.7,10)</f>
        <v/>
      </c>
      <c r="K142">
        <f>U142=ROUND(131*1.1,10)</f>
        <v/>
      </c>
      <c r="L142">
        <f>V142=ROUND(131*0.25,10)</f>
        <v/>
      </c>
      <c r="M142">
        <f>W142=ROUND(131*0.5,10)</f>
        <v/>
      </c>
      <c r="O142">
        <f>O141+0.1</f>
        <v/>
      </c>
      <c r="P142">
        <f>P141+0.2</f>
        <v/>
      </c>
      <c r="Q142">
        <f>Q141+0.3</f>
        <v/>
      </c>
      <c r="R142">
        <f>R141+0.05</f>
        <v/>
      </c>
      <c r="S142">
        <f>S141+0.01</f>
        <v/>
      </c>
      <c r="T142">
        <f>T141+0.7</f>
        <v/>
      </c>
      <c r="U142">
        <f>U141+1.1</f>
        <v/>
      </c>
      <c r="V142">
        <f>V141+0.25</f>
        <v/>
      </c>
      <c r="W142">
        <f>W141+0.5</f>
        <v/>
      </c>
    </row>
    <row r="143">
      <c r="E143">
        <f>O143=ROUND(132*0.1,10)</f>
        <v/>
      </c>
      <c r="F143">
        <f>P143=ROUND(132*0.2,10)</f>
        <v/>
      </c>
      <c r="G143">
        <f>Q143=ROUND(132*0.3,10)</f>
        <v/>
      </c>
      <c r="H143">
        <f>R143=ROUND(132*0.05,10)</f>
        <v/>
      </c>
      <c r="I143">
        <f>S143=ROUND(132*0.01,10)</f>
        <v/>
      </c>
      <c r="J143">
        <f>T143=ROUND(132*0.7,10)</f>
        <v/>
      </c>
      <c r="K143">
        <f>U143=ROUND(132*1.1,10)</f>
        <v/>
      </c>
      <c r="L143">
        <f>V143=ROUND(132*0.25,10)</f>
        <v/>
      </c>
      <c r="M143">
        <f>W143=ROUND(132*0.5,10)</f>
        <v/>
      </c>
      <c r="O143">
        <f>O142+0.1</f>
        <v/>
      </c>
      <c r="P143">
        <f>P142+0.2</f>
        <v/>
      </c>
      <c r="Q143">
        <f>Q142+0.3</f>
        <v/>
      </c>
      <c r="R143">
        <f>R142+0.05</f>
        <v/>
      </c>
      <c r="S143">
        <f>S142+0.01</f>
        <v/>
      </c>
      <c r="T143">
        <f>T142+0.7</f>
        <v/>
      </c>
      <c r="U143">
        <f>U142+1.1</f>
        <v/>
      </c>
      <c r="V143">
        <f>V142+0.25</f>
        <v/>
      </c>
      <c r="W143">
        <f>W142+0.5</f>
        <v/>
      </c>
    </row>
    <row r="144">
      <c r="E144">
        <f>O144=ROUND(133*0.1,10)</f>
        <v/>
      </c>
      <c r="F144">
        <f>P144=ROUND(133*0.2,10)</f>
        <v/>
      </c>
      <c r="G144">
        <f>Q144=ROUND(133*0.3,10)</f>
        <v/>
      </c>
      <c r="H144">
        <f>R144=ROUND(133*0.05,10)</f>
        <v/>
      </c>
      <c r="I144">
        <f>S144=ROUND(133*0.01,10)</f>
        <v/>
      </c>
      <c r="J144">
        <f>T144=ROUND(133*0.7,10)</f>
        <v/>
      </c>
      <c r="K144">
        <f>U144=ROUND(133*1.1,10)</f>
        <v/>
      </c>
      <c r="L144">
        <f>V144=ROUND(133*0.25,10)</f>
        <v/>
      </c>
      <c r="M144">
        <f>W144=ROUND(133*0.5,10)</f>
        <v/>
      </c>
      <c r="O144">
        <f>O143+0.1</f>
        <v/>
      </c>
      <c r="P144">
        <f>P143+0.2</f>
        <v/>
      </c>
      <c r="Q144">
        <f>Q143+0.3</f>
        <v/>
      </c>
      <c r="R144">
        <f>R143+0.05</f>
        <v/>
      </c>
      <c r="S144">
        <f>S143+0.01</f>
        <v/>
      </c>
      <c r="T144">
        <f>T143+0.7</f>
        <v/>
      </c>
      <c r="U144">
        <f>U143+1.1</f>
        <v/>
      </c>
      <c r="V144">
        <f>V143+0.25</f>
        <v/>
      </c>
      <c r="W144">
        <f>W143+0.5</f>
        <v/>
      </c>
    </row>
    <row r="145">
      <c r="E145">
        <f>O145=ROUND(134*0.1,10)</f>
        <v/>
      </c>
      <c r="F145">
        <f>P145=ROUND(134*0.2,10)</f>
        <v/>
      </c>
      <c r="G145">
        <f>Q145=ROUND(134*0.3,10)</f>
        <v/>
      </c>
      <c r="H145">
        <f>R145=ROUND(134*0.05,10)</f>
        <v/>
      </c>
      <c r="I145">
        <f>S145=ROUND(134*0.01,10)</f>
        <v/>
      </c>
      <c r="J145">
        <f>T145=ROUND(134*0.7,10)</f>
        <v/>
      </c>
      <c r="K145">
        <f>U145=ROUND(134*1.1,10)</f>
        <v/>
      </c>
      <c r="L145">
        <f>V145=ROUND(134*0.25,10)</f>
        <v/>
      </c>
      <c r="M145">
        <f>W145=ROUND(134*0.5,10)</f>
        <v/>
      </c>
      <c r="O145">
        <f>O144+0.1</f>
        <v/>
      </c>
      <c r="P145">
        <f>P144+0.2</f>
        <v/>
      </c>
      <c r="Q145">
        <f>Q144+0.3</f>
        <v/>
      </c>
      <c r="R145">
        <f>R144+0.05</f>
        <v/>
      </c>
      <c r="S145">
        <f>S144+0.01</f>
        <v/>
      </c>
      <c r="T145">
        <f>T144+0.7</f>
        <v/>
      </c>
      <c r="U145">
        <f>U144+1.1</f>
        <v/>
      </c>
      <c r="V145">
        <f>V144+0.25</f>
        <v/>
      </c>
      <c r="W145">
        <f>W144+0.5</f>
        <v/>
      </c>
    </row>
    <row r="146">
      <c r="E146">
        <f>O146=ROUND(135*0.1,10)</f>
        <v/>
      </c>
      <c r="F146">
        <f>P146=ROUND(135*0.2,10)</f>
        <v/>
      </c>
      <c r="G146">
        <f>Q146=ROUND(135*0.3,10)</f>
        <v/>
      </c>
      <c r="H146">
        <f>R146=ROUND(135*0.05,10)</f>
        <v/>
      </c>
      <c r="I146">
        <f>S146=ROUND(135*0.01,10)</f>
        <v/>
      </c>
      <c r="J146">
        <f>T146=ROUND(135*0.7,10)</f>
        <v/>
      </c>
      <c r="K146">
        <f>U146=ROUND(135*1.1,10)</f>
        <v/>
      </c>
      <c r="L146">
        <f>V146=ROUND(135*0.25,10)</f>
        <v/>
      </c>
      <c r="M146">
        <f>W146=ROUND(135*0.5,10)</f>
        <v/>
      </c>
      <c r="O146">
        <f>O145+0.1</f>
        <v/>
      </c>
      <c r="P146">
        <f>P145+0.2</f>
        <v/>
      </c>
      <c r="Q146">
        <f>Q145+0.3</f>
        <v/>
      </c>
      <c r="R146">
        <f>R145+0.05</f>
        <v/>
      </c>
      <c r="S146">
        <f>S145+0.01</f>
        <v/>
      </c>
      <c r="T146">
        <f>T145+0.7</f>
        <v/>
      </c>
      <c r="U146">
        <f>U145+1.1</f>
        <v/>
      </c>
      <c r="V146">
        <f>V145+0.25</f>
        <v/>
      </c>
      <c r="W146">
        <f>W145+0.5</f>
        <v/>
      </c>
    </row>
    <row r="147">
      <c r="E147">
        <f>O147=ROUND(136*0.1,10)</f>
        <v/>
      </c>
      <c r="F147">
        <f>P147=ROUND(136*0.2,10)</f>
        <v/>
      </c>
      <c r="G147">
        <f>Q147=ROUND(136*0.3,10)</f>
        <v/>
      </c>
      <c r="H147">
        <f>R147=ROUND(136*0.05,10)</f>
        <v/>
      </c>
      <c r="I147">
        <f>S147=ROUND(136*0.01,10)</f>
        <v/>
      </c>
      <c r="J147">
        <f>T147=ROUND(136*0.7,10)</f>
        <v/>
      </c>
      <c r="K147">
        <f>U147=ROUND(136*1.1,10)</f>
        <v/>
      </c>
      <c r="L147">
        <f>V147=ROUND(136*0.25,10)</f>
        <v/>
      </c>
      <c r="M147">
        <f>W147=ROUND(136*0.5,10)</f>
        <v/>
      </c>
      <c r="O147">
        <f>O146+0.1</f>
        <v/>
      </c>
      <c r="P147">
        <f>P146+0.2</f>
        <v/>
      </c>
      <c r="Q147">
        <f>Q146+0.3</f>
        <v/>
      </c>
      <c r="R147">
        <f>R146+0.05</f>
        <v/>
      </c>
      <c r="S147">
        <f>S146+0.01</f>
        <v/>
      </c>
      <c r="T147">
        <f>T146+0.7</f>
        <v/>
      </c>
      <c r="U147">
        <f>U146+1.1</f>
        <v/>
      </c>
      <c r="V147">
        <f>V146+0.25</f>
        <v/>
      </c>
      <c r="W147">
        <f>W146+0.5</f>
        <v/>
      </c>
    </row>
    <row r="148">
      <c r="E148">
        <f>O148=ROUND(137*0.1,10)</f>
        <v/>
      </c>
      <c r="F148">
        <f>P148=ROUND(137*0.2,10)</f>
        <v/>
      </c>
      <c r="G148">
        <f>Q148=ROUND(137*0.3,10)</f>
        <v/>
      </c>
      <c r="H148">
        <f>R148=ROUND(137*0.05,10)</f>
        <v/>
      </c>
      <c r="I148">
        <f>S148=ROUND(137*0.01,10)</f>
        <v/>
      </c>
      <c r="J148">
        <f>T148=ROUND(137*0.7,10)</f>
        <v/>
      </c>
      <c r="K148">
        <f>U148=ROUND(137*1.1,10)</f>
        <v/>
      </c>
      <c r="L148">
        <f>V148=ROUND(137*0.25,10)</f>
        <v/>
      </c>
      <c r="M148">
        <f>W148=ROUND(137*0.5,10)</f>
        <v/>
      </c>
      <c r="O148">
        <f>O147+0.1</f>
        <v/>
      </c>
      <c r="P148">
        <f>P147+0.2</f>
        <v/>
      </c>
      <c r="Q148">
        <f>Q147+0.3</f>
        <v/>
      </c>
      <c r="R148">
        <f>R147+0.05</f>
        <v/>
      </c>
      <c r="S148">
        <f>S147+0.01</f>
        <v/>
      </c>
      <c r="T148">
        <f>T147+0.7</f>
        <v/>
      </c>
      <c r="U148">
        <f>U147+1.1</f>
        <v/>
      </c>
      <c r="V148">
        <f>V147+0.25</f>
        <v/>
      </c>
      <c r="W148">
        <f>W147+0.5</f>
        <v/>
      </c>
    </row>
    <row r="149">
      <c r="E149">
        <f>O149=ROUND(138*0.1,10)</f>
        <v/>
      </c>
      <c r="F149">
        <f>P149=ROUND(138*0.2,10)</f>
        <v/>
      </c>
      <c r="G149">
        <f>Q149=ROUND(138*0.3,10)</f>
        <v/>
      </c>
      <c r="H149">
        <f>R149=ROUND(138*0.05,10)</f>
        <v/>
      </c>
      <c r="I149">
        <f>S149=ROUND(138*0.01,10)</f>
        <v/>
      </c>
      <c r="J149">
        <f>T149=ROUND(138*0.7,10)</f>
        <v/>
      </c>
      <c r="K149">
        <f>U149=ROUND(138*1.1,10)</f>
        <v/>
      </c>
      <c r="L149">
        <f>V149=ROUND(138*0.25,10)</f>
        <v/>
      </c>
      <c r="M149">
        <f>W149=ROUND(138*0.5,10)</f>
        <v/>
      </c>
      <c r="O149">
        <f>O148+0.1</f>
        <v/>
      </c>
      <c r="P149">
        <f>P148+0.2</f>
        <v/>
      </c>
      <c r="Q149">
        <f>Q148+0.3</f>
        <v/>
      </c>
      <c r="R149">
        <f>R148+0.05</f>
        <v/>
      </c>
      <c r="S149">
        <f>S148+0.01</f>
        <v/>
      </c>
      <c r="T149">
        <f>T148+0.7</f>
        <v/>
      </c>
      <c r="U149">
        <f>U148+1.1</f>
        <v/>
      </c>
      <c r="V149">
        <f>V148+0.25</f>
        <v/>
      </c>
      <c r="W149">
        <f>W148+0.5</f>
        <v/>
      </c>
    </row>
    <row r="150">
      <c r="E150">
        <f>O150=ROUND(139*0.1,10)</f>
        <v/>
      </c>
      <c r="F150">
        <f>P150=ROUND(139*0.2,10)</f>
        <v/>
      </c>
      <c r="G150">
        <f>Q150=ROUND(139*0.3,10)</f>
        <v/>
      </c>
      <c r="H150">
        <f>R150=ROUND(139*0.05,10)</f>
        <v/>
      </c>
      <c r="I150">
        <f>S150=ROUND(139*0.01,10)</f>
        <v/>
      </c>
      <c r="J150">
        <f>T150=ROUND(139*0.7,10)</f>
        <v/>
      </c>
      <c r="K150">
        <f>U150=ROUND(139*1.1,10)</f>
        <v/>
      </c>
      <c r="L150">
        <f>V150=ROUND(139*0.25,10)</f>
        <v/>
      </c>
      <c r="M150">
        <f>W150=ROUND(139*0.5,10)</f>
        <v/>
      </c>
      <c r="O150">
        <f>O149+0.1</f>
        <v/>
      </c>
      <c r="P150">
        <f>P149+0.2</f>
        <v/>
      </c>
      <c r="Q150">
        <f>Q149+0.3</f>
        <v/>
      </c>
      <c r="R150">
        <f>R149+0.05</f>
        <v/>
      </c>
      <c r="S150">
        <f>S149+0.01</f>
        <v/>
      </c>
      <c r="T150">
        <f>T149+0.7</f>
        <v/>
      </c>
      <c r="U150">
        <f>U149+1.1</f>
        <v/>
      </c>
      <c r="V150">
        <f>V149+0.25</f>
        <v/>
      </c>
      <c r="W150">
        <f>W149+0.5</f>
        <v/>
      </c>
    </row>
    <row r="151">
      <c r="E151">
        <f>O151=ROUND(140*0.1,10)</f>
        <v/>
      </c>
      <c r="F151">
        <f>P151=ROUND(140*0.2,10)</f>
        <v/>
      </c>
      <c r="G151">
        <f>Q151=ROUND(140*0.3,10)</f>
        <v/>
      </c>
      <c r="H151">
        <f>R151=ROUND(140*0.05,10)</f>
        <v/>
      </c>
      <c r="I151">
        <f>S151=ROUND(140*0.01,10)</f>
        <v/>
      </c>
      <c r="J151">
        <f>T151=ROUND(140*0.7,10)</f>
        <v/>
      </c>
      <c r="K151">
        <f>U151=ROUND(140*1.1,10)</f>
        <v/>
      </c>
      <c r="L151">
        <f>V151=ROUND(140*0.25,10)</f>
        <v/>
      </c>
      <c r="M151">
        <f>W151=ROUND(140*0.5,10)</f>
        <v/>
      </c>
      <c r="O151">
        <f>O150+0.1</f>
        <v/>
      </c>
      <c r="P151">
        <f>P150+0.2</f>
        <v/>
      </c>
      <c r="Q151">
        <f>Q150+0.3</f>
        <v/>
      </c>
      <c r="R151">
        <f>R150+0.05</f>
        <v/>
      </c>
      <c r="S151">
        <f>S150+0.01</f>
        <v/>
      </c>
      <c r="T151">
        <f>T150+0.7</f>
        <v/>
      </c>
      <c r="U151">
        <f>U150+1.1</f>
        <v/>
      </c>
      <c r="V151">
        <f>V150+0.25</f>
        <v/>
      </c>
      <c r="W151">
        <f>W150+0.5</f>
        <v/>
      </c>
    </row>
    <row r="152">
      <c r="E152">
        <f>O152=ROUND(141*0.1,10)</f>
        <v/>
      </c>
      <c r="F152">
        <f>P152=ROUND(141*0.2,10)</f>
        <v/>
      </c>
      <c r="G152">
        <f>Q152=ROUND(141*0.3,10)</f>
        <v/>
      </c>
      <c r="H152">
        <f>R152=ROUND(141*0.05,10)</f>
        <v/>
      </c>
      <c r="I152">
        <f>S152=ROUND(141*0.01,10)</f>
        <v/>
      </c>
      <c r="J152">
        <f>T152=ROUND(141*0.7,10)</f>
        <v/>
      </c>
      <c r="K152">
        <f>U152=ROUND(141*1.1,10)</f>
        <v/>
      </c>
      <c r="L152">
        <f>V152=ROUND(141*0.25,10)</f>
        <v/>
      </c>
      <c r="M152">
        <f>W152=ROUND(141*0.5,10)</f>
        <v/>
      </c>
      <c r="O152">
        <f>O151+0.1</f>
        <v/>
      </c>
      <c r="P152">
        <f>P151+0.2</f>
        <v/>
      </c>
      <c r="Q152">
        <f>Q151+0.3</f>
        <v/>
      </c>
      <c r="R152">
        <f>R151+0.05</f>
        <v/>
      </c>
      <c r="S152">
        <f>S151+0.01</f>
        <v/>
      </c>
      <c r="T152">
        <f>T151+0.7</f>
        <v/>
      </c>
      <c r="U152">
        <f>U151+1.1</f>
        <v/>
      </c>
      <c r="V152">
        <f>V151+0.25</f>
        <v/>
      </c>
      <c r="W152">
        <f>W151+0.5</f>
        <v/>
      </c>
    </row>
    <row r="153">
      <c r="E153">
        <f>O153=ROUND(142*0.1,10)</f>
        <v/>
      </c>
      <c r="F153">
        <f>P153=ROUND(142*0.2,10)</f>
        <v/>
      </c>
      <c r="G153">
        <f>Q153=ROUND(142*0.3,10)</f>
        <v/>
      </c>
      <c r="H153">
        <f>R153=ROUND(142*0.05,10)</f>
        <v/>
      </c>
      <c r="I153">
        <f>S153=ROUND(142*0.01,10)</f>
        <v/>
      </c>
      <c r="J153">
        <f>T153=ROUND(142*0.7,10)</f>
        <v/>
      </c>
      <c r="K153">
        <f>U153=ROUND(142*1.1,10)</f>
        <v/>
      </c>
      <c r="L153">
        <f>V153=ROUND(142*0.25,10)</f>
        <v/>
      </c>
      <c r="M153">
        <f>W153=ROUND(142*0.5,10)</f>
        <v/>
      </c>
      <c r="O153">
        <f>O152+0.1</f>
        <v/>
      </c>
      <c r="P153">
        <f>P152+0.2</f>
        <v/>
      </c>
      <c r="Q153">
        <f>Q152+0.3</f>
        <v/>
      </c>
      <c r="R153">
        <f>R152+0.05</f>
        <v/>
      </c>
      <c r="S153">
        <f>S152+0.01</f>
        <v/>
      </c>
      <c r="T153">
        <f>T152+0.7</f>
        <v/>
      </c>
      <c r="U153">
        <f>U152+1.1</f>
        <v/>
      </c>
      <c r="V153">
        <f>V152+0.25</f>
        <v/>
      </c>
      <c r="W153">
        <f>W152+0.5</f>
        <v/>
      </c>
    </row>
    <row r="154">
      <c r="E154">
        <f>O154=ROUND(143*0.1,10)</f>
        <v/>
      </c>
      <c r="F154">
        <f>P154=ROUND(143*0.2,10)</f>
        <v/>
      </c>
      <c r="G154">
        <f>Q154=ROUND(143*0.3,10)</f>
        <v/>
      </c>
      <c r="H154">
        <f>R154=ROUND(143*0.05,10)</f>
        <v/>
      </c>
      <c r="I154">
        <f>S154=ROUND(143*0.01,10)</f>
        <v/>
      </c>
      <c r="J154">
        <f>T154=ROUND(143*0.7,10)</f>
        <v/>
      </c>
      <c r="K154">
        <f>U154=ROUND(143*1.1,10)</f>
        <v/>
      </c>
      <c r="L154">
        <f>V154=ROUND(143*0.25,10)</f>
        <v/>
      </c>
      <c r="M154">
        <f>W154=ROUND(143*0.5,10)</f>
        <v/>
      </c>
      <c r="O154">
        <f>O153+0.1</f>
        <v/>
      </c>
      <c r="P154">
        <f>P153+0.2</f>
        <v/>
      </c>
      <c r="Q154">
        <f>Q153+0.3</f>
        <v/>
      </c>
      <c r="R154">
        <f>R153+0.05</f>
        <v/>
      </c>
      <c r="S154">
        <f>S153+0.01</f>
        <v/>
      </c>
      <c r="T154">
        <f>T153+0.7</f>
        <v/>
      </c>
      <c r="U154">
        <f>U153+1.1</f>
        <v/>
      </c>
      <c r="V154">
        <f>V153+0.25</f>
        <v/>
      </c>
      <c r="W154">
        <f>W153+0.5</f>
        <v/>
      </c>
    </row>
    <row r="155">
      <c r="E155">
        <f>O155=ROUND(144*0.1,10)</f>
        <v/>
      </c>
      <c r="F155">
        <f>P155=ROUND(144*0.2,10)</f>
        <v/>
      </c>
      <c r="G155">
        <f>Q155=ROUND(144*0.3,10)</f>
        <v/>
      </c>
      <c r="H155">
        <f>R155=ROUND(144*0.05,10)</f>
        <v/>
      </c>
      <c r="I155">
        <f>S155=ROUND(144*0.01,10)</f>
        <v/>
      </c>
      <c r="J155">
        <f>T155=ROUND(144*0.7,10)</f>
        <v/>
      </c>
      <c r="K155">
        <f>U155=ROUND(144*1.1,10)</f>
        <v/>
      </c>
      <c r="L155">
        <f>V155=ROUND(144*0.25,10)</f>
        <v/>
      </c>
      <c r="M155">
        <f>W155=ROUND(144*0.5,10)</f>
        <v/>
      </c>
      <c r="O155">
        <f>O154+0.1</f>
        <v/>
      </c>
      <c r="P155">
        <f>P154+0.2</f>
        <v/>
      </c>
      <c r="Q155">
        <f>Q154+0.3</f>
        <v/>
      </c>
      <c r="R155">
        <f>R154+0.05</f>
        <v/>
      </c>
      <c r="S155">
        <f>S154+0.01</f>
        <v/>
      </c>
      <c r="T155">
        <f>T154+0.7</f>
        <v/>
      </c>
      <c r="U155">
        <f>U154+1.1</f>
        <v/>
      </c>
      <c r="V155">
        <f>V154+0.25</f>
        <v/>
      </c>
      <c r="W155">
        <f>W154+0.5</f>
        <v/>
      </c>
    </row>
    <row r="156">
      <c r="E156">
        <f>O156=ROUND(145*0.1,10)</f>
        <v/>
      </c>
      <c r="F156">
        <f>P156=ROUND(145*0.2,10)</f>
        <v/>
      </c>
      <c r="G156">
        <f>Q156=ROUND(145*0.3,10)</f>
        <v/>
      </c>
      <c r="H156">
        <f>R156=ROUND(145*0.05,10)</f>
        <v/>
      </c>
      <c r="I156">
        <f>S156=ROUND(145*0.01,10)</f>
        <v/>
      </c>
      <c r="J156">
        <f>T156=ROUND(145*0.7,10)</f>
        <v/>
      </c>
      <c r="K156">
        <f>U156=ROUND(145*1.1,10)</f>
        <v/>
      </c>
      <c r="L156">
        <f>V156=ROUND(145*0.25,10)</f>
        <v/>
      </c>
      <c r="M156">
        <f>W156=ROUND(145*0.5,10)</f>
        <v/>
      </c>
      <c r="O156">
        <f>O155+0.1</f>
        <v/>
      </c>
      <c r="P156">
        <f>P155+0.2</f>
        <v/>
      </c>
      <c r="Q156">
        <f>Q155+0.3</f>
        <v/>
      </c>
      <c r="R156">
        <f>R155+0.05</f>
        <v/>
      </c>
      <c r="S156">
        <f>S155+0.01</f>
        <v/>
      </c>
      <c r="T156">
        <f>T155+0.7</f>
        <v/>
      </c>
      <c r="U156">
        <f>U155+1.1</f>
        <v/>
      </c>
      <c r="V156">
        <f>V155+0.25</f>
        <v/>
      </c>
      <c r="W156">
        <f>W155+0.5</f>
        <v/>
      </c>
    </row>
    <row r="157">
      <c r="E157">
        <f>O157=ROUND(146*0.1,10)</f>
        <v/>
      </c>
      <c r="F157">
        <f>P157=ROUND(146*0.2,10)</f>
        <v/>
      </c>
      <c r="G157">
        <f>Q157=ROUND(146*0.3,10)</f>
        <v/>
      </c>
      <c r="H157">
        <f>R157=ROUND(146*0.05,10)</f>
        <v/>
      </c>
      <c r="I157">
        <f>S157=ROUND(146*0.01,10)</f>
        <v/>
      </c>
      <c r="J157">
        <f>T157=ROUND(146*0.7,10)</f>
        <v/>
      </c>
      <c r="K157">
        <f>U157=ROUND(146*1.1,10)</f>
        <v/>
      </c>
      <c r="L157">
        <f>V157=ROUND(146*0.25,10)</f>
        <v/>
      </c>
      <c r="M157">
        <f>W157=ROUND(146*0.5,10)</f>
        <v/>
      </c>
      <c r="O157">
        <f>O156+0.1</f>
        <v/>
      </c>
      <c r="P157">
        <f>P156+0.2</f>
        <v/>
      </c>
      <c r="Q157">
        <f>Q156+0.3</f>
        <v/>
      </c>
      <c r="R157">
        <f>R156+0.05</f>
        <v/>
      </c>
      <c r="S157">
        <f>S156+0.01</f>
        <v/>
      </c>
      <c r="T157">
        <f>T156+0.7</f>
        <v/>
      </c>
      <c r="U157">
        <f>U156+1.1</f>
        <v/>
      </c>
      <c r="V157">
        <f>V156+0.25</f>
        <v/>
      </c>
      <c r="W157">
        <f>W156+0.5</f>
        <v/>
      </c>
    </row>
    <row r="158">
      <c r="E158">
        <f>O158=ROUND(147*0.1,10)</f>
        <v/>
      </c>
      <c r="F158">
        <f>P158=ROUND(147*0.2,10)</f>
        <v/>
      </c>
      <c r="G158">
        <f>Q158=ROUND(147*0.3,10)</f>
        <v/>
      </c>
      <c r="H158">
        <f>R158=ROUND(147*0.05,10)</f>
        <v/>
      </c>
      <c r="I158">
        <f>S158=ROUND(147*0.01,10)</f>
        <v/>
      </c>
      <c r="J158">
        <f>T158=ROUND(147*0.7,10)</f>
        <v/>
      </c>
      <c r="K158">
        <f>U158=ROUND(147*1.1,10)</f>
        <v/>
      </c>
      <c r="L158">
        <f>V158=ROUND(147*0.25,10)</f>
        <v/>
      </c>
      <c r="M158">
        <f>W158=ROUND(147*0.5,10)</f>
        <v/>
      </c>
      <c r="O158">
        <f>O157+0.1</f>
        <v/>
      </c>
      <c r="P158">
        <f>P157+0.2</f>
        <v/>
      </c>
      <c r="Q158">
        <f>Q157+0.3</f>
        <v/>
      </c>
      <c r="R158">
        <f>R157+0.05</f>
        <v/>
      </c>
      <c r="S158">
        <f>S157+0.01</f>
        <v/>
      </c>
      <c r="T158">
        <f>T157+0.7</f>
        <v/>
      </c>
      <c r="U158">
        <f>U157+1.1</f>
        <v/>
      </c>
      <c r="V158">
        <f>V157+0.25</f>
        <v/>
      </c>
      <c r="W158">
        <f>W157+0.5</f>
        <v/>
      </c>
    </row>
    <row r="159">
      <c r="E159">
        <f>O159=ROUND(148*0.1,10)</f>
        <v/>
      </c>
      <c r="F159">
        <f>P159=ROUND(148*0.2,10)</f>
        <v/>
      </c>
      <c r="G159">
        <f>Q159=ROUND(148*0.3,10)</f>
        <v/>
      </c>
      <c r="H159">
        <f>R159=ROUND(148*0.05,10)</f>
        <v/>
      </c>
      <c r="I159">
        <f>S159=ROUND(148*0.01,10)</f>
        <v/>
      </c>
      <c r="J159">
        <f>T159=ROUND(148*0.7,10)</f>
        <v/>
      </c>
      <c r="K159">
        <f>U159=ROUND(148*1.1,10)</f>
        <v/>
      </c>
      <c r="L159">
        <f>V159=ROUND(148*0.25,10)</f>
        <v/>
      </c>
      <c r="M159">
        <f>W159=ROUND(148*0.5,10)</f>
        <v/>
      </c>
      <c r="O159">
        <f>O158+0.1</f>
        <v/>
      </c>
      <c r="P159">
        <f>P158+0.2</f>
        <v/>
      </c>
      <c r="Q159">
        <f>Q158+0.3</f>
        <v/>
      </c>
      <c r="R159">
        <f>R158+0.05</f>
        <v/>
      </c>
      <c r="S159">
        <f>S158+0.01</f>
        <v/>
      </c>
      <c r="T159">
        <f>T158+0.7</f>
        <v/>
      </c>
      <c r="U159">
        <f>U158+1.1</f>
        <v/>
      </c>
      <c r="V159">
        <f>V158+0.25</f>
        <v/>
      </c>
      <c r="W159">
        <f>W158+0.5</f>
        <v/>
      </c>
    </row>
    <row r="160">
      <c r="E160">
        <f>O160=ROUND(149*0.1,10)</f>
        <v/>
      </c>
      <c r="F160">
        <f>P160=ROUND(149*0.2,10)</f>
        <v/>
      </c>
      <c r="G160">
        <f>Q160=ROUND(149*0.3,10)</f>
        <v/>
      </c>
      <c r="H160">
        <f>R160=ROUND(149*0.05,10)</f>
        <v/>
      </c>
      <c r="I160">
        <f>S160=ROUND(149*0.01,10)</f>
        <v/>
      </c>
      <c r="J160">
        <f>T160=ROUND(149*0.7,10)</f>
        <v/>
      </c>
      <c r="K160">
        <f>U160=ROUND(149*1.1,10)</f>
        <v/>
      </c>
      <c r="L160">
        <f>V160=ROUND(149*0.25,10)</f>
        <v/>
      </c>
      <c r="M160">
        <f>W160=ROUND(149*0.5,10)</f>
        <v/>
      </c>
      <c r="O160">
        <f>O159+0.1</f>
        <v/>
      </c>
      <c r="P160">
        <f>P159+0.2</f>
        <v/>
      </c>
      <c r="Q160">
        <f>Q159+0.3</f>
        <v/>
      </c>
      <c r="R160">
        <f>R159+0.05</f>
        <v/>
      </c>
      <c r="S160">
        <f>S159+0.01</f>
        <v/>
      </c>
      <c r="T160">
        <f>T159+0.7</f>
        <v/>
      </c>
      <c r="U160">
        <f>U159+1.1</f>
        <v/>
      </c>
      <c r="V160">
        <f>V159+0.25</f>
        <v/>
      </c>
      <c r="W160">
        <f>W159+0.5</f>
        <v/>
      </c>
    </row>
    <row r="161">
      <c r="E161">
        <f>O161=ROUND(150*0.1,10)</f>
        <v/>
      </c>
      <c r="F161">
        <f>P161=ROUND(150*0.2,10)</f>
        <v/>
      </c>
      <c r="G161">
        <f>Q161=ROUND(150*0.3,10)</f>
        <v/>
      </c>
      <c r="H161">
        <f>R161=ROUND(150*0.05,10)</f>
        <v/>
      </c>
      <c r="I161">
        <f>S161=ROUND(150*0.01,10)</f>
        <v/>
      </c>
      <c r="J161">
        <f>T161=ROUND(150*0.7,10)</f>
        <v/>
      </c>
      <c r="K161">
        <f>U161=ROUND(150*1.1,10)</f>
        <v/>
      </c>
      <c r="L161">
        <f>V161=ROUND(150*0.25,10)</f>
        <v/>
      </c>
      <c r="M161">
        <f>W161=ROUND(150*0.5,10)</f>
        <v/>
      </c>
      <c r="O161">
        <f>O160+0.1</f>
        <v/>
      </c>
      <c r="P161">
        <f>P160+0.2</f>
        <v/>
      </c>
      <c r="Q161">
        <f>Q160+0.3</f>
        <v/>
      </c>
      <c r="R161">
        <f>R160+0.05</f>
        <v/>
      </c>
      <c r="S161">
        <f>S160+0.01</f>
        <v/>
      </c>
      <c r="T161">
        <f>T160+0.7</f>
        <v/>
      </c>
      <c r="U161">
        <f>U160+1.1</f>
        <v/>
      </c>
      <c r="V161">
        <f>V160+0.25</f>
        <v/>
      </c>
      <c r="W161">
        <f>W160+0.5</f>
        <v/>
      </c>
    </row>
    <row r="162">
      <c r="E162">
        <f>O162=ROUND(151*0.1,10)</f>
        <v/>
      </c>
      <c r="F162">
        <f>P162=ROUND(151*0.2,10)</f>
        <v/>
      </c>
      <c r="G162">
        <f>Q162=ROUND(151*0.3,10)</f>
        <v/>
      </c>
      <c r="H162">
        <f>R162=ROUND(151*0.05,10)</f>
        <v/>
      </c>
      <c r="I162">
        <f>S162=ROUND(151*0.01,10)</f>
        <v/>
      </c>
      <c r="J162">
        <f>T162=ROUND(151*0.7,10)</f>
        <v/>
      </c>
      <c r="K162">
        <f>U162=ROUND(151*1.1,10)</f>
        <v/>
      </c>
      <c r="L162">
        <f>V162=ROUND(151*0.25,10)</f>
        <v/>
      </c>
      <c r="M162">
        <f>W162=ROUND(151*0.5,10)</f>
        <v/>
      </c>
      <c r="O162">
        <f>O161+0.1</f>
        <v/>
      </c>
      <c r="P162">
        <f>P161+0.2</f>
        <v/>
      </c>
      <c r="Q162">
        <f>Q161+0.3</f>
        <v/>
      </c>
      <c r="R162">
        <f>R161+0.05</f>
        <v/>
      </c>
      <c r="S162">
        <f>S161+0.01</f>
        <v/>
      </c>
      <c r="T162">
        <f>T161+0.7</f>
        <v/>
      </c>
      <c r="U162">
        <f>U161+1.1</f>
        <v/>
      </c>
      <c r="V162">
        <f>V161+0.25</f>
        <v/>
      </c>
      <c r="W162">
        <f>W161+0.5</f>
        <v/>
      </c>
    </row>
    <row r="163">
      <c r="E163">
        <f>O163=ROUND(152*0.1,10)</f>
        <v/>
      </c>
      <c r="F163">
        <f>P163=ROUND(152*0.2,10)</f>
        <v/>
      </c>
      <c r="G163">
        <f>Q163=ROUND(152*0.3,10)</f>
        <v/>
      </c>
      <c r="H163">
        <f>R163=ROUND(152*0.05,10)</f>
        <v/>
      </c>
      <c r="I163">
        <f>S163=ROUND(152*0.01,10)</f>
        <v/>
      </c>
      <c r="J163">
        <f>T163=ROUND(152*0.7,10)</f>
        <v/>
      </c>
      <c r="K163">
        <f>U163=ROUND(152*1.1,10)</f>
        <v/>
      </c>
      <c r="L163">
        <f>V163=ROUND(152*0.25,10)</f>
        <v/>
      </c>
      <c r="M163">
        <f>W163=ROUND(152*0.5,10)</f>
        <v/>
      </c>
      <c r="O163">
        <f>O162+0.1</f>
        <v/>
      </c>
      <c r="P163">
        <f>P162+0.2</f>
        <v/>
      </c>
      <c r="Q163">
        <f>Q162+0.3</f>
        <v/>
      </c>
      <c r="R163">
        <f>R162+0.05</f>
        <v/>
      </c>
      <c r="S163">
        <f>S162+0.01</f>
        <v/>
      </c>
      <c r="T163">
        <f>T162+0.7</f>
        <v/>
      </c>
      <c r="U163">
        <f>U162+1.1</f>
        <v/>
      </c>
      <c r="V163">
        <f>V162+0.25</f>
        <v/>
      </c>
      <c r="W163">
        <f>W162+0.5</f>
        <v/>
      </c>
    </row>
    <row r="164">
      <c r="E164">
        <f>O164=ROUND(153*0.1,10)</f>
        <v/>
      </c>
      <c r="F164">
        <f>P164=ROUND(153*0.2,10)</f>
        <v/>
      </c>
      <c r="G164">
        <f>Q164=ROUND(153*0.3,10)</f>
        <v/>
      </c>
      <c r="H164">
        <f>R164=ROUND(153*0.05,10)</f>
        <v/>
      </c>
      <c r="I164">
        <f>S164=ROUND(153*0.01,10)</f>
        <v/>
      </c>
      <c r="J164">
        <f>T164=ROUND(153*0.7,10)</f>
        <v/>
      </c>
      <c r="K164">
        <f>U164=ROUND(153*1.1,10)</f>
        <v/>
      </c>
      <c r="L164">
        <f>V164=ROUND(153*0.25,10)</f>
        <v/>
      </c>
      <c r="M164">
        <f>W164=ROUND(153*0.5,10)</f>
        <v/>
      </c>
      <c r="O164">
        <f>O163+0.1</f>
        <v/>
      </c>
      <c r="P164">
        <f>P163+0.2</f>
        <v/>
      </c>
      <c r="Q164">
        <f>Q163+0.3</f>
        <v/>
      </c>
      <c r="R164">
        <f>R163+0.05</f>
        <v/>
      </c>
      <c r="S164">
        <f>S163+0.01</f>
        <v/>
      </c>
      <c r="T164">
        <f>T163+0.7</f>
        <v/>
      </c>
      <c r="U164">
        <f>U163+1.1</f>
        <v/>
      </c>
      <c r="V164">
        <f>V163+0.25</f>
        <v/>
      </c>
      <c r="W164">
        <f>W163+0.5</f>
        <v/>
      </c>
    </row>
    <row r="165">
      <c r="E165">
        <f>O165=ROUND(154*0.1,10)</f>
        <v/>
      </c>
      <c r="F165">
        <f>P165=ROUND(154*0.2,10)</f>
        <v/>
      </c>
      <c r="G165">
        <f>Q165=ROUND(154*0.3,10)</f>
        <v/>
      </c>
      <c r="H165">
        <f>R165=ROUND(154*0.05,10)</f>
        <v/>
      </c>
      <c r="I165">
        <f>S165=ROUND(154*0.01,10)</f>
        <v/>
      </c>
      <c r="J165">
        <f>T165=ROUND(154*0.7,10)</f>
        <v/>
      </c>
      <c r="K165">
        <f>U165=ROUND(154*1.1,10)</f>
        <v/>
      </c>
      <c r="L165">
        <f>V165=ROUND(154*0.25,10)</f>
        <v/>
      </c>
      <c r="M165">
        <f>W165=ROUND(154*0.5,10)</f>
        <v/>
      </c>
      <c r="O165">
        <f>O164+0.1</f>
        <v/>
      </c>
      <c r="P165">
        <f>P164+0.2</f>
        <v/>
      </c>
      <c r="Q165">
        <f>Q164+0.3</f>
        <v/>
      </c>
      <c r="R165">
        <f>R164+0.05</f>
        <v/>
      </c>
      <c r="S165">
        <f>S164+0.01</f>
        <v/>
      </c>
      <c r="T165">
        <f>T164+0.7</f>
        <v/>
      </c>
      <c r="U165">
        <f>U164+1.1</f>
        <v/>
      </c>
      <c r="V165">
        <f>V164+0.25</f>
        <v/>
      </c>
      <c r="W165">
        <f>W164+0.5</f>
        <v/>
      </c>
    </row>
    <row r="166">
      <c r="E166">
        <f>O166=ROUND(155*0.1,10)</f>
        <v/>
      </c>
      <c r="F166">
        <f>P166=ROUND(155*0.2,10)</f>
        <v/>
      </c>
      <c r="G166">
        <f>Q166=ROUND(155*0.3,10)</f>
        <v/>
      </c>
      <c r="H166">
        <f>R166=ROUND(155*0.05,10)</f>
        <v/>
      </c>
      <c r="I166">
        <f>S166=ROUND(155*0.01,10)</f>
        <v/>
      </c>
      <c r="J166">
        <f>T166=ROUND(155*0.7,10)</f>
        <v/>
      </c>
      <c r="K166">
        <f>U166=ROUND(155*1.1,10)</f>
        <v/>
      </c>
      <c r="L166">
        <f>V166=ROUND(155*0.25,10)</f>
        <v/>
      </c>
      <c r="M166">
        <f>W166=ROUND(155*0.5,10)</f>
        <v/>
      </c>
      <c r="O166">
        <f>O165+0.1</f>
        <v/>
      </c>
      <c r="P166">
        <f>P165+0.2</f>
        <v/>
      </c>
      <c r="Q166">
        <f>Q165+0.3</f>
        <v/>
      </c>
      <c r="R166">
        <f>R165+0.05</f>
        <v/>
      </c>
      <c r="S166">
        <f>S165+0.01</f>
        <v/>
      </c>
      <c r="T166">
        <f>T165+0.7</f>
        <v/>
      </c>
      <c r="U166">
        <f>U165+1.1</f>
        <v/>
      </c>
      <c r="V166">
        <f>V165+0.25</f>
        <v/>
      </c>
      <c r="W166">
        <f>W165+0.5</f>
        <v/>
      </c>
    </row>
    <row r="167">
      <c r="E167">
        <f>O167=ROUND(156*0.1,10)</f>
        <v/>
      </c>
      <c r="F167">
        <f>P167=ROUND(156*0.2,10)</f>
        <v/>
      </c>
      <c r="G167">
        <f>Q167=ROUND(156*0.3,10)</f>
        <v/>
      </c>
      <c r="H167">
        <f>R167=ROUND(156*0.05,10)</f>
        <v/>
      </c>
      <c r="I167">
        <f>S167=ROUND(156*0.01,10)</f>
        <v/>
      </c>
      <c r="J167">
        <f>T167=ROUND(156*0.7,10)</f>
        <v/>
      </c>
      <c r="K167">
        <f>U167=ROUND(156*1.1,10)</f>
        <v/>
      </c>
      <c r="L167">
        <f>V167=ROUND(156*0.25,10)</f>
        <v/>
      </c>
      <c r="M167">
        <f>W167=ROUND(156*0.5,10)</f>
        <v/>
      </c>
      <c r="O167">
        <f>O166+0.1</f>
        <v/>
      </c>
      <c r="P167">
        <f>P166+0.2</f>
        <v/>
      </c>
      <c r="Q167">
        <f>Q166+0.3</f>
        <v/>
      </c>
      <c r="R167">
        <f>R166+0.05</f>
        <v/>
      </c>
      <c r="S167">
        <f>S166+0.01</f>
        <v/>
      </c>
      <c r="T167">
        <f>T166+0.7</f>
        <v/>
      </c>
      <c r="U167">
        <f>U166+1.1</f>
        <v/>
      </c>
      <c r="V167">
        <f>V166+0.25</f>
        <v/>
      </c>
      <c r="W167">
        <f>W166+0.5</f>
        <v/>
      </c>
    </row>
    <row r="168">
      <c r="E168">
        <f>O168=ROUND(157*0.1,10)</f>
        <v/>
      </c>
      <c r="F168">
        <f>P168=ROUND(157*0.2,10)</f>
        <v/>
      </c>
      <c r="G168">
        <f>Q168=ROUND(157*0.3,10)</f>
        <v/>
      </c>
      <c r="H168">
        <f>R168=ROUND(157*0.05,10)</f>
        <v/>
      </c>
      <c r="I168">
        <f>S168=ROUND(157*0.01,10)</f>
        <v/>
      </c>
      <c r="J168">
        <f>T168=ROUND(157*0.7,10)</f>
        <v/>
      </c>
      <c r="K168">
        <f>U168=ROUND(157*1.1,10)</f>
        <v/>
      </c>
      <c r="L168">
        <f>V168=ROUND(157*0.25,10)</f>
        <v/>
      </c>
      <c r="M168">
        <f>W168=ROUND(157*0.5,10)</f>
        <v/>
      </c>
      <c r="O168">
        <f>O167+0.1</f>
        <v/>
      </c>
      <c r="P168">
        <f>P167+0.2</f>
        <v/>
      </c>
      <c r="Q168">
        <f>Q167+0.3</f>
        <v/>
      </c>
      <c r="R168">
        <f>R167+0.05</f>
        <v/>
      </c>
      <c r="S168">
        <f>S167+0.01</f>
        <v/>
      </c>
      <c r="T168">
        <f>T167+0.7</f>
        <v/>
      </c>
      <c r="U168">
        <f>U167+1.1</f>
        <v/>
      </c>
      <c r="V168">
        <f>V167+0.25</f>
        <v/>
      </c>
      <c r="W168">
        <f>W167+0.5</f>
        <v/>
      </c>
    </row>
    <row r="169">
      <c r="E169">
        <f>O169=ROUND(158*0.1,10)</f>
        <v/>
      </c>
      <c r="F169">
        <f>P169=ROUND(158*0.2,10)</f>
        <v/>
      </c>
      <c r="G169">
        <f>Q169=ROUND(158*0.3,10)</f>
        <v/>
      </c>
      <c r="H169">
        <f>R169=ROUND(158*0.05,10)</f>
        <v/>
      </c>
      <c r="I169">
        <f>S169=ROUND(158*0.01,10)</f>
        <v/>
      </c>
      <c r="J169">
        <f>T169=ROUND(158*0.7,10)</f>
        <v/>
      </c>
      <c r="K169">
        <f>U169=ROUND(158*1.1,10)</f>
        <v/>
      </c>
      <c r="L169">
        <f>V169=ROUND(158*0.25,10)</f>
        <v/>
      </c>
      <c r="M169">
        <f>W169=ROUND(158*0.5,10)</f>
        <v/>
      </c>
      <c r="O169">
        <f>O168+0.1</f>
        <v/>
      </c>
      <c r="P169">
        <f>P168+0.2</f>
        <v/>
      </c>
      <c r="Q169">
        <f>Q168+0.3</f>
        <v/>
      </c>
      <c r="R169">
        <f>R168+0.05</f>
        <v/>
      </c>
      <c r="S169">
        <f>S168+0.01</f>
        <v/>
      </c>
      <c r="T169">
        <f>T168+0.7</f>
        <v/>
      </c>
      <c r="U169">
        <f>U168+1.1</f>
        <v/>
      </c>
      <c r="V169">
        <f>V168+0.25</f>
        <v/>
      </c>
      <c r="W169">
        <f>W168+0.5</f>
        <v/>
      </c>
    </row>
    <row r="170">
      <c r="E170">
        <f>O170=ROUND(159*0.1,10)</f>
        <v/>
      </c>
      <c r="F170">
        <f>P170=ROUND(159*0.2,10)</f>
        <v/>
      </c>
      <c r="G170">
        <f>Q170=ROUND(159*0.3,10)</f>
        <v/>
      </c>
      <c r="H170">
        <f>R170=ROUND(159*0.05,10)</f>
        <v/>
      </c>
      <c r="I170">
        <f>S170=ROUND(159*0.01,10)</f>
        <v/>
      </c>
      <c r="J170">
        <f>T170=ROUND(159*0.7,10)</f>
        <v/>
      </c>
      <c r="K170">
        <f>U170=ROUND(159*1.1,10)</f>
        <v/>
      </c>
      <c r="L170">
        <f>V170=ROUND(159*0.25,10)</f>
        <v/>
      </c>
      <c r="M170">
        <f>W170=ROUND(159*0.5,10)</f>
        <v/>
      </c>
      <c r="O170">
        <f>O169+0.1</f>
        <v/>
      </c>
      <c r="P170">
        <f>P169+0.2</f>
        <v/>
      </c>
      <c r="Q170">
        <f>Q169+0.3</f>
        <v/>
      </c>
      <c r="R170">
        <f>R169+0.05</f>
        <v/>
      </c>
      <c r="S170">
        <f>S169+0.01</f>
        <v/>
      </c>
      <c r="T170">
        <f>T169+0.7</f>
        <v/>
      </c>
      <c r="U170">
        <f>U169+1.1</f>
        <v/>
      </c>
      <c r="V170">
        <f>V169+0.25</f>
        <v/>
      </c>
      <c r="W170">
        <f>W169+0.5</f>
        <v/>
      </c>
    </row>
    <row r="171">
      <c r="E171">
        <f>O171=ROUND(160*0.1,10)</f>
        <v/>
      </c>
      <c r="F171">
        <f>P171=ROUND(160*0.2,10)</f>
        <v/>
      </c>
      <c r="G171">
        <f>Q171=ROUND(160*0.3,10)</f>
        <v/>
      </c>
      <c r="H171">
        <f>R171=ROUND(160*0.05,10)</f>
        <v/>
      </c>
      <c r="I171">
        <f>S171=ROUND(160*0.01,10)</f>
        <v/>
      </c>
      <c r="J171">
        <f>T171=ROUND(160*0.7,10)</f>
        <v/>
      </c>
      <c r="K171">
        <f>U171=ROUND(160*1.1,10)</f>
        <v/>
      </c>
      <c r="L171">
        <f>V171=ROUND(160*0.25,10)</f>
        <v/>
      </c>
      <c r="M171">
        <f>W171=ROUND(160*0.5,10)</f>
        <v/>
      </c>
      <c r="O171">
        <f>O170+0.1</f>
        <v/>
      </c>
      <c r="P171">
        <f>P170+0.2</f>
        <v/>
      </c>
      <c r="Q171">
        <f>Q170+0.3</f>
        <v/>
      </c>
      <c r="R171">
        <f>R170+0.05</f>
        <v/>
      </c>
      <c r="S171">
        <f>S170+0.01</f>
        <v/>
      </c>
      <c r="T171">
        <f>T170+0.7</f>
        <v/>
      </c>
      <c r="U171">
        <f>U170+1.1</f>
        <v/>
      </c>
      <c r="V171">
        <f>V170+0.25</f>
        <v/>
      </c>
      <c r="W171">
        <f>W170+0.5</f>
        <v/>
      </c>
    </row>
    <row r="172">
      <c r="E172">
        <f>O172=ROUND(161*0.1,10)</f>
        <v/>
      </c>
      <c r="F172">
        <f>P172=ROUND(161*0.2,10)</f>
        <v/>
      </c>
      <c r="G172">
        <f>Q172=ROUND(161*0.3,10)</f>
        <v/>
      </c>
      <c r="H172">
        <f>R172=ROUND(161*0.05,10)</f>
        <v/>
      </c>
      <c r="I172">
        <f>S172=ROUND(161*0.01,10)</f>
        <v/>
      </c>
      <c r="J172">
        <f>T172=ROUND(161*0.7,10)</f>
        <v/>
      </c>
      <c r="K172">
        <f>U172=ROUND(161*1.1,10)</f>
        <v/>
      </c>
      <c r="L172">
        <f>V172=ROUND(161*0.25,10)</f>
        <v/>
      </c>
      <c r="M172">
        <f>W172=ROUND(161*0.5,10)</f>
        <v/>
      </c>
      <c r="O172">
        <f>O171+0.1</f>
        <v/>
      </c>
      <c r="P172">
        <f>P171+0.2</f>
        <v/>
      </c>
      <c r="Q172">
        <f>Q171+0.3</f>
        <v/>
      </c>
      <c r="R172">
        <f>R171+0.05</f>
        <v/>
      </c>
      <c r="S172">
        <f>S171+0.01</f>
        <v/>
      </c>
      <c r="T172">
        <f>T171+0.7</f>
        <v/>
      </c>
      <c r="U172">
        <f>U171+1.1</f>
        <v/>
      </c>
      <c r="V172">
        <f>V171+0.25</f>
        <v/>
      </c>
      <c r="W172">
        <f>W171+0.5</f>
        <v/>
      </c>
    </row>
    <row r="173">
      <c r="E173">
        <f>O173=ROUND(162*0.1,10)</f>
        <v/>
      </c>
      <c r="F173">
        <f>P173=ROUND(162*0.2,10)</f>
        <v/>
      </c>
      <c r="G173">
        <f>Q173=ROUND(162*0.3,10)</f>
        <v/>
      </c>
      <c r="H173">
        <f>R173=ROUND(162*0.05,10)</f>
        <v/>
      </c>
      <c r="I173">
        <f>S173=ROUND(162*0.01,10)</f>
        <v/>
      </c>
      <c r="J173">
        <f>T173=ROUND(162*0.7,10)</f>
        <v/>
      </c>
      <c r="K173">
        <f>U173=ROUND(162*1.1,10)</f>
        <v/>
      </c>
      <c r="L173">
        <f>V173=ROUND(162*0.25,10)</f>
        <v/>
      </c>
      <c r="M173">
        <f>W173=ROUND(162*0.5,10)</f>
        <v/>
      </c>
      <c r="O173">
        <f>O172+0.1</f>
        <v/>
      </c>
      <c r="P173">
        <f>P172+0.2</f>
        <v/>
      </c>
      <c r="Q173">
        <f>Q172+0.3</f>
        <v/>
      </c>
      <c r="R173">
        <f>R172+0.05</f>
        <v/>
      </c>
      <c r="S173">
        <f>S172+0.01</f>
        <v/>
      </c>
      <c r="T173">
        <f>T172+0.7</f>
        <v/>
      </c>
      <c r="U173">
        <f>U172+1.1</f>
        <v/>
      </c>
      <c r="V173">
        <f>V172+0.25</f>
        <v/>
      </c>
      <c r="W173">
        <f>W172+0.5</f>
        <v/>
      </c>
    </row>
    <row r="174">
      <c r="E174">
        <f>O174=ROUND(163*0.1,10)</f>
        <v/>
      </c>
      <c r="F174">
        <f>P174=ROUND(163*0.2,10)</f>
        <v/>
      </c>
      <c r="G174">
        <f>Q174=ROUND(163*0.3,10)</f>
        <v/>
      </c>
      <c r="H174">
        <f>R174=ROUND(163*0.05,10)</f>
        <v/>
      </c>
      <c r="I174">
        <f>S174=ROUND(163*0.01,10)</f>
        <v/>
      </c>
      <c r="J174">
        <f>T174=ROUND(163*0.7,10)</f>
        <v/>
      </c>
      <c r="K174">
        <f>U174=ROUND(163*1.1,10)</f>
        <v/>
      </c>
      <c r="L174">
        <f>V174=ROUND(163*0.25,10)</f>
        <v/>
      </c>
      <c r="M174">
        <f>W174=ROUND(163*0.5,10)</f>
        <v/>
      </c>
      <c r="O174">
        <f>O173+0.1</f>
        <v/>
      </c>
      <c r="P174">
        <f>P173+0.2</f>
        <v/>
      </c>
      <c r="Q174">
        <f>Q173+0.3</f>
        <v/>
      </c>
      <c r="R174">
        <f>R173+0.05</f>
        <v/>
      </c>
      <c r="S174">
        <f>S173+0.01</f>
        <v/>
      </c>
      <c r="T174">
        <f>T173+0.7</f>
        <v/>
      </c>
      <c r="U174">
        <f>U173+1.1</f>
        <v/>
      </c>
      <c r="V174">
        <f>V173+0.25</f>
        <v/>
      </c>
      <c r="W174">
        <f>W173+0.5</f>
        <v/>
      </c>
    </row>
    <row r="175">
      <c r="E175">
        <f>O175=ROUND(164*0.1,10)</f>
        <v/>
      </c>
      <c r="F175">
        <f>P175=ROUND(164*0.2,10)</f>
        <v/>
      </c>
      <c r="G175">
        <f>Q175=ROUND(164*0.3,10)</f>
        <v/>
      </c>
      <c r="H175">
        <f>R175=ROUND(164*0.05,10)</f>
        <v/>
      </c>
      <c r="I175">
        <f>S175=ROUND(164*0.01,10)</f>
        <v/>
      </c>
      <c r="J175">
        <f>T175=ROUND(164*0.7,10)</f>
        <v/>
      </c>
      <c r="K175">
        <f>U175=ROUND(164*1.1,10)</f>
        <v/>
      </c>
      <c r="L175">
        <f>V175=ROUND(164*0.25,10)</f>
        <v/>
      </c>
      <c r="M175">
        <f>W175=ROUND(164*0.5,10)</f>
        <v/>
      </c>
      <c r="O175">
        <f>O174+0.1</f>
        <v/>
      </c>
      <c r="P175">
        <f>P174+0.2</f>
        <v/>
      </c>
      <c r="Q175">
        <f>Q174+0.3</f>
        <v/>
      </c>
      <c r="R175">
        <f>R174+0.05</f>
        <v/>
      </c>
      <c r="S175">
        <f>S174+0.01</f>
        <v/>
      </c>
      <c r="T175">
        <f>T174+0.7</f>
        <v/>
      </c>
      <c r="U175">
        <f>U174+1.1</f>
        <v/>
      </c>
      <c r="V175">
        <f>V174+0.25</f>
        <v/>
      </c>
      <c r="W175">
        <f>W174+0.5</f>
        <v/>
      </c>
    </row>
    <row r="176">
      <c r="E176">
        <f>O176=ROUND(165*0.1,10)</f>
        <v/>
      </c>
      <c r="F176">
        <f>P176=ROUND(165*0.2,10)</f>
        <v/>
      </c>
      <c r="G176">
        <f>Q176=ROUND(165*0.3,10)</f>
        <v/>
      </c>
      <c r="H176">
        <f>R176=ROUND(165*0.05,10)</f>
        <v/>
      </c>
      <c r="I176">
        <f>S176=ROUND(165*0.01,10)</f>
        <v/>
      </c>
      <c r="J176">
        <f>T176=ROUND(165*0.7,10)</f>
        <v/>
      </c>
      <c r="K176">
        <f>U176=ROUND(165*1.1,10)</f>
        <v/>
      </c>
      <c r="L176">
        <f>V176=ROUND(165*0.25,10)</f>
        <v/>
      </c>
      <c r="M176">
        <f>W176=ROUND(165*0.5,10)</f>
        <v/>
      </c>
      <c r="O176">
        <f>O175+0.1</f>
        <v/>
      </c>
      <c r="P176">
        <f>P175+0.2</f>
        <v/>
      </c>
      <c r="Q176">
        <f>Q175+0.3</f>
        <v/>
      </c>
      <c r="R176">
        <f>R175+0.05</f>
        <v/>
      </c>
      <c r="S176">
        <f>S175+0.01</f>
        <v/>
      </c>
      <c r="T176">
        <f>T175+0.7</f>
        <v/>
      </c>
      <c r="U176">
        <f>U175+1.1</f>
        <v/>
      </c>
      <c r="V176">
        <f>V175+0.25</f>
        <v/>
      </c>
      <c r="W176">
        <f>W175+0.5</f>
        <v/>
      </c>
    </row>
    <row r="177">
      <c r="E177">
        <f>O177=ROUND(166*0.1,10)</f>
        <v/>
      </c>
      <c r="F177">
        <f>P177=ROUND(166*0.2,10)</f>
        <v/>
      </c>
      <c r="G177">
        <f>Q177=ROUND(166*0.3,10)</f>
        <v/>
      </c>
      <c r="H177">
        <f>R177=ROUND(166*0.05,10)</f>
        <v/>
      </c>
      <c r="I177">
        <f>S177=ROUND(166*0.01,10)</f>
        <v/>
      </c>
      <c r="J177">
        <f>T177=ROUND(166*0.7,10)</f>
        <v/>
      </c>
      <c r="K177">
        <f>U177=ROUND(166*1.1,10)</f>
        <v/>
      </c>
      <c r="L177">
        <f>V177=ROUND(166*0.25,10)</f>
        <v/>
      </c>
      <c r="M177">
        <f>W177=ROUND(166*0.5,10)</f>
        <v/>
      </c>
      <c r="O177">
        <f>O176+0.1</f>
        <v/>
      </c>
      <c r="P177">
        <f>P176+0.2</f>
        <v/>
      </c>
      <c r="Q177">
        <f>Q176+0.3</f>
        <v/>
      </c>
      <c r="R177">
        <f>R176+0.05</f>
        <v/>
      </c>
      <c r="S177">
        <f>S176+0.01</f>
        <v/>
      </c>
      <c r="T177">
        <f>T176+0.7</f>
        <v/>
      </c>
      <c r="U177">
        <f>U176+1.1</f>
        <v/>
      </c>
      <c r="V177">
        <f>V176+0.25</f>
        <v/>
      </c>
      <c r="W177">
        <f>W176+0.5</f>
        <v/>
      </c>
    </row>
    <row r="178">
      <c r="E178">
        <f>O178=ROUND(167*0.1,10)</f>
        <v/>
      </c>
      <c r="F178">
        <f>P178=ROUND(167*0.2,10)</f>
        <v/>
      </c>
      <c r="G178">
        <f>Q178=ROUND(167*0.3,10)</f>
        <v/>
      </c>
      <c r="H178">
        <f>R178=ROUND(167*0.05,10)</f>
        <v/>
      </c>
      <c r="I178">
        <f>S178=ROUND(167*0.01,10)</f>
        <v/>
      </c>
      <c r="J178">
        <f>T178=ROUND(167*0.7,10)</f>
        <v/>
      </c>
      <c r="K178">
        <f>U178=ROUND(167*1.1,10)</f>
        <v/>
      </c>
      <c r="L178">
        <f>V178=ROUND(167*0.25,10)</f>
        <v/>
      </c>
      <c r="M178">
        <f>W178=ROUND(167*0.5,10)</f>
        <v/>
      </c>
      <c r="O178">
        <f>O177+0.1</f>
        <v/>
      </c>
      <c r="P178">
        <f>P177+0.2</f>
        <v/>
      </c>
      <c r="Q178">
        <f>Q177+0.3</f>
        <v/>
      </c>
      <c r="R178">
        <f>R177+0.05</f>
        <v/>
      </c>
      <c r="S178">
        <f>S177+0.01</f>
        <v/>
      </c>
      <c r="T178">
        <f>T177+0.7</f>
        <v/>
      </c>
      <c r="U178">
        <f>U177+1.1</f>
        <v/>
      </c>
      <c r="V178">
        <f>V177+0.25</f>
        <v/>
      </c>
      <c r="W178">
        <f>W177+0.5</f>
        <v/>
      </c>
    </row>
    <row r="179">
      <c r="E179">
        <f>O179=ROUND(168*0.1,10)</f>
        <v/>
      </c>
      <c r="F179">
        <f>P179=ROUND(168*0.2,10)</f>
        <v/>
      </c>
      <c r="G179">
        <f>Q179=ROUND(168*0.3,10)</f>
        <v/>
      </c>
      <c r="H179">
        <f>R179=ROUND(168*0.05,10)</f>
        <v/>
      </c>
      <c r="I179">
        <f>S179=ROUND(168*0.01,10)</f>
        <v/>
      </c>
      <c r="J179">
        <f>T179=ROUND(168*0.7,10)</f>
        <v/>
      </c>
      <c r="K179">
        <f>U179=ROUND(168*1.1,10)</f>
        <v/>
      </c>
      <c r="L179">
        <f>V179=ROUND(168*0.25,10)</f>
        <v/>
      </c>
      <c r="M179">
        <f>W179=ROUND(168*0.5,10)</f>
        <v/>
      </c>
      <c r="O179">
        <f>O178+0.1</f>
        <v/>
      </c>
      <c r="P179">
        <f>P178+0.2</f>
        <v/>
      </c>
      <c r="Q179">
        <f>Q178+0.3</f>
        <v/>
      </c>
      <c r="R179">
        <f>R178+0.05</f>
        <v/>
      </c>
      <c r="S179">
        <f>S178+0.01</f>
        <v/>
      </c>
      <c r="T179">
        <f>T178+0.7</f>
        <v/>
      </c>
      <c r="U179">
        <f>U178+1.1</f>
        <v/>
      </c>
      <c r="V179">
        <f>V178+0.25</f>
        <v/>
      </c>
      <c r="W179">
        <f>W178+0.5</f>
        <v/>
      </c>
    </row>
    <row r="180">
      <c r="E180">
        <f>O180=ROUND(169*0.1,10)</f>
        <v/>
      </c>
      <c r="F180">
        <f>P180=ROUND(169*0.2,10)</f>
        <v/>
      </c>
      <c r="G180">
        <f>Q180=ROUND(169*0.3,10)</f>
        <v/>
      </c>
      <c r="H180">
        <f>R180=ROUND(169*0.05,10)</f>
        <v/>
      </c>
      <c r="I180">
        <f>S180=ROUND(169*0.01,10)</f>
        <v/>
      </c>
      <c r="J180">
        <f>T180=ROUND(169*0.7,10)</f>
        <v/>
      </c>
      <c r="K180">
        <f>U180=ROUND(169*1.1,10)</f>
        <v/>
      </c>
      <c r="L180">
        <f>V180=ROUND(169*0.25,10)</f>
        <v/>
      </c>
      <c r="M180">
        <f>W180=ROUND(169*0.5,10)</f>
        <v/>
      </c>
      <c r="O180">
        <f>O179+0.1</f>
        <v/>
      </c>
      <c r="P180">
        <f>P179+0.2</f>
        <v/>
      </c>
      <c r="Q180">
        <f>Q179+0.3</f>
        <v/>
      </c>
      <c r="R180">
        <f>R179+0.05</f>
        <v/>
      </c>
      <c r="S180">
        <f>S179+0.01</f>
        <v/>
      </c>
      <c r="T180">
        <f>T179+0.7</f>
        <v/>
      </c>
      <c r="U180">
        <f>U179+1.1</f>
        <v/>
      </c>
      <c r="V180">
        <f>V179+0.25</f>
        <v/>
      </c>
      <c r="W180">
        <f>W179+0.5</f>
        <v/>
      </c>
    </row>
    <row r="181">
      <c r="E181">
        <f>O181=ROUND(170*0.1,10)</f>
        <v/>
      </c>
      <c r="F181">
        <f>P181=ROUND(170*0.2,10)</f>
        <v/>
      </c>
      <c r="G181">
        <f>Q181=ROUND(170*0.3,10)</f>
        <v/>
      </c>
      <c r="H181">
        <f>R181=ROUND(170*0.05,10)</f>
        <v/>
      </c>
      <c r="I181">
        <f>S181=ROUND(170*0.01,10)</f>
        <v/>
      </c>
      <c r="J181">
        <f>T181=ROUND(170*0.7,10)</f>
        <v/>
      </c>
      <c r="K181">
        <f>U181=ROUND(170*1.1,10)</f>
        <v/>
      </c>
      <c r="L181">
        <f>V181=ROUND(170*0.25,10)</f>
        <v/>
      </c>
      <c r="M181">
        <f>W181=ROUND(170*0.5,10)</f>
        <v/>
      </c>
      <c r="O181">
        <f>O180+0.1</f>
        <v/>
      </c>
      <c r="P181">
        <f>P180+0.2</f>
        <v/>
      </c>
      <c r="Q181">
        <f>Q180+0.3</f>
        <v/>
      </c>
      <c r="R181">
        <f>R180+0.05</f>
        <v/>
      </c>
      <c r="S181">
        <f>S180+0.01</f>
        <v/>
      </c>
      <c r="T181">
        <f>T180+0.7</f>
        <v/>
      </c>
      <c r="U181">
        <f>U180+1.1</f>
        <v/>
      </c>
      <c r="V181">
        <f>V180+0.25</f>
        <v/>
      </c>
      <c r="W181">
        <f>W180+0.5</f>
        <v/>
      </c>
    </row>
    <row r="182">
      <c r="E182">
        <f>O182=ROUND(171*0.1,10)</f>
        <v/>
      </c>
      <c r="F182">
        <f>P182=ROUND(171*0.2,10)</f>
        <v/>
      </c>
      <c r="G182">
        <f>Q182=ROUND(171*0.3,10)</f>
        <v/>
      </c>
      <c r="H182">
        <f>R182=ROUND(171*0.05,10)</f>
        <v/>
      </c>
      <c r="I182">
        <f>S182=ROUND(171*0.01,10)</f>
        <v/>
      </c>
      <c r="J182">
        <f>T182=ROUND(171*0.7,10)</f>
        <v/>
      </c>
      <c r="K182">
        <f>U182=ROUND(171*1.1,10)</f>
        <v/>
      </c>
      <c r="L182">
        <f>V182=ROUND(171*0.25,10)</f>
        <v/>
      </c>
      <c r="M182">
        <f>W182=ROUND(171*0.5,10)</f>
        <v/>
      </c>
      <c r="O182">
        <f>O181+0.1</f>
        <v/>
      </c>
      <c r="P182">
        <f>P181+0.2</f>
        <v/>
      </c>
      <c r="Q182">
        <f>Q181+0.3</f>
        <v/>
      </c>
      <c r="R182">
        <f>R181+0.05</f>
        <v/>
      </c>
      <c r="S182">
        <f>S181+0.01</f>
        <v/>
      </c>
      <c r="T182">
        <f>T181+0.7</f>
        <v/>
      </c>
      <c r="U182">
        <f>U181+1.1</f>
        <v/>
      </c>
      <c r="V182">
        <f>V181+0.25</f>
        <v/>
      </c>
      <c r="W182">
        <f>W181+0.5</f>
        <v/>
      </c>
    </row>
    <row r="183">
      <c r="E183">
        <f>O183=ROUND(172*0.1,10)</f>
        <v/>
      </c>
      <c r="F183">
        <f>P183=ROUND(172*0.2,10)</f>
        <v/>
      </c>
      <c r="G183">
        <f>Q183=ROUND(172*0.3,10)</f>
        <v/>
      </c>
      <c r="H183">
        <f>R183=ROUND(172*0.05,10)</f>
        <v/>
      </c>
      <c r="I183">
        <f>S183=ROUND(172*0.01,10)</f>
        <v/>
      </c>
      <c r="J183">
        <f>T183=ROUND(172*0.7,10)</f>
        <v/>
      </c>
      <c r="K183">
        <f>U183=ROUND(172*1.1,10)</f>
        <v/>
      </c>
      <c r="L183">
        <f>V183=ROUND(172*0.25,10)</f>
        <v/>
      </c>
      <c r="M183">
        <f>W183=ROUND(172*0.5,10)</f>
        <v/>
      </c>
      <c r="O183">
        <f>O182+0.1</f>
        <v/>
      </c>
      <c r="P183">
        <f>P182+0.2</f>
        <v/>
      </c>
      <c r="Q183">
        <f>Q182+0.3</f>
        <v/>
      </c>
      <c r="R183">
        <f>R182+0.05</f>
        <v/>
      </c>
      <c r="S183">
        <f>S182+0.01</f>
        <v/>
      </c>
      <c r="T183">
        <f>T182+0.7</f>
        <v/>
      </c>
      <c r="U183">
        <f>U182+1.1</f>
        <v/>
      </c>
      <c r="V183">
        <f>V182+0.25</f>
        <v/>
      </c>
      <c r="W183">
        <f>W182+0.5</f>
        <v/>
      </c>
    </row>
    <row r="184">
      <c r="E184">
        <f>O184=ROUND(173*0.1,10)</f>
        <v/>
      </c>
      <c r="F184">
        <f>P184=ROUND(173*0.2,10)</f>
        <v/>
      </c>
      <c r="G184">
        <f>Q184=ROUND(173*0.3,10)</f>
        <v/>
      </c>
      <c r="H184">
        <f>R184=ROUND(173*0.05,10)</f>
        <v/>
      </c>
      <c r="I184">
        <f>S184=ROUND(173*0.01,10)</f>
        <v/>
      </c>
      <c r="J184">
        <f>T184=ROUND(173*0.7,10)</f>
        <v/>
      </c>
      <c r="K184">
        <f>U184=ROUND(173*1.1,10)</f>
        <v/>
      </c>
      <c r="L184">
        <f>V184=ROUND(173*0.25,10)</f>
        <v/>
      </c>
      <c r="M184">
        <f>W184=ROUND(173*0.5,10)</f>
        <v/>
      </c>
      <c r="O184">
        <f>O183+0.1</f>
        <v/>
      </c>
      <c r="P184">
        <f>P183+0.2</f>
        <v/>
      </c>
      <c r="Q184">
        <f>Q183+0.3</f>
        <v/>
      </c>
      <c r="R184">
        <f>R183+0.05</f>
        <v/>
      </c>
      <c r="S184">
        <f>S183+0.01</f>
        <v/>
      </c>
      <c r="T184">
        <f>T183+0.7</f>
        <v/>
      </c>
      <c r="U184">
        <f>U183+1.1</f>
        <v/>
      </c>
      <c r="V184">
        <f>V183+0.25</f>
        <v/>
      </c>
      <c r="W184">
        <f>W183+0.5</f>
        <v/>
      </c>
    </row>
    <row r="185">
      <c r="E185">
        <f>O185=ROUND(174*0.1,10)</f>
        <v/>
      </c>
      <c r="F185">
        <f>P185=ROUND(174*0.2,10)</f>
        <v/>
      </c>
      <c r="G185">
        <f>Q185=ROUND(174*0.3,10)</f>
        <v/>
      </c>
      <c r="H185">
        <f>R185=ROUND(174*0.05,10)</f>
        <v/>
      </c>
      <c r="I185">
        <f>S185=ROUND(174*0.01,10)</f>
        <v/>
      </c>
      <c r="J185">
        <f>T185=ROUND(174*0.7,10)</f>
        <v/>
      </c>
      <c r="K185">
        <f>U185=ROUND(174*1.1,10)</f>
        <v/>
      </c>
      <c r="L185">
        <f>V185=ROUND(174*0.25,10)</f>
        <v/>
      </c>
      <c r="M185">
        <f>W185=ROUND(174*0.5,10)</f>
        <v/>
      </c>
      <c r="O185">
        <f>O184+0.1</f>
        <v/>
      </c>
      <c r="P185">
        <f>P184+0.2</f>
        <v/>
      </c>
      <c r="Q185">
        <f>Q184+0.3</f>
        <v/>
      </c>
      <c r="R185">
        <f>R184+0.05</f>
        <v/>
      </c>
      <c r="S185">
        <f>S184+0.01</f>
        <v/>
      </c>
      <c r="T185">
        <f>T184+0.7</f>
        <v/>
      </c>
      <c r="U185">
        <f>U184+1.1</f>
        <v/>
      </c>
      <c r="V185">
        <f>V184+0.25</f>
        <v/>
      </c>
      <c r="W185">
        <f>W184+0.5</f>
        <v/>
      </c>
    </row>
    <row r="186">
      <c r="E186">
        <f>O186=ROUND(175*0.1,10)</f>
        <v/>
      </c>
      <c r="F186">
        <f>P186=ROUND(175*0.2,10)</f>
        <v/>
      </c>
      <c r="G186">
        <f>Q186=ROUND(175*0.3,10)</f>
        <v/>
      </c>
      <c r="H186">
        <f>R186=ROUND(175*0.05,10)</f>
        <v/>
      </c>
      <c r="I186">
        <f>S186=ROUND(175*0.01,10)</f>
        <v/>
      </c>
      <c r="J186">
        <f>T186=ROUND(175*0.7,10)</f>
        <v/>
      </c>
      <c r="K186">
        <f>U186=ROUND(175*1.1,10)</f>
        <v/>
      </c>
      <c r="L186">
        <f>V186=ROUND(175*0.25,10)</f>
        <v/>
      </c>
      <c r="M186">
        <f>W186=ROUND(175*0.5,10)</f>
        <v/>
      </c>
      <c r="O186">
        <f>O185+0.1</f>
        <v/>
      </c>
      <c r="P186">
        <f>P185+0.2</f>
        <v/>
      </c>
      <c r="Q186">
        <f>Q185+0.3</f>
        <v/>
      </c>
      <c r="R186">
        <f>R185+0.05</f>
        <v/>
      </c>
      <c r="S186">
        <f>S185+0.01</f>
        <v/>
      </c>
      <c r="T186">
        <f>T185+0.7</f>
        <v/>
      </c>
      <c r="U186">
        <f>U185+1.1</f>
        <v/>
      </c>
      <c r="V186">
        <f>V185+0.25</f>
        <v/>
      </c>
      <c r="W186">
        <f>W185+0.5</f>
        <v/>
      </c>
    </row>
    <row r="187">
      <c r="E187">
        <f>O187=ROUND(176*0.1,10)</f>
        <v/>
      </c>
      <c r="F187">
        <f>P187=ROUND(176*0.2,10)</f>
        <v/>
      </c>
      <c r="G187">
        <f>Q187=ROUND(176*0.3,10)</f>
        <v/>
      </c>
      <c r="H187">
        <f>R187=ROUND(176*0.05,10)</f>
        <v/>
      </c>
      <c r="I187">
        <f>S187=ROUND(176*0.01,10)</f>
        <v/>
      </c>
      <c r="J187">
        <f>T187=ROUND(176*0.7,10)</f>
        <v/>
      </c>
      <c r="K187">
        <f>U187=ROUND(176*1.1,10)</f>
        <v/>
      </c>
      <c r="L187">
        <f>V187=ROUND(176*0.25,10)</f>
        <v/>
      </c>
      <c r="M187">
        <f>W187=ROUND(176*0.5,10)</f>
        <v/>
      </c>
      <c r="O187">
        <f>O186+0.1</f>
        <v/>
      </c>
      <c r="P187">
        <f>P186+0.2</f>
        <v/>
      </c>
      <c r="Q187">
        <f>Q186+0.3</f>
        <v/>
      </c>
      <c r="R187">
        <f>R186+0.05</f>
        <v/>
      </c>
      <c r="S187">
        <f>S186+0.01</f>
        <v/>
      </c>
      <c r="T187">
        <f>T186+0.7</f>
        <v/>
      </c>
      <c r="U187">
        <f>U186+1.1</f>
        <v/>
      </c>
      <c r="V187">
        <f>V186+0.25</f>
        <v/>
      </c>
      <c r="W187">
        <f>W186+0.5</f>
        <v/>
      </c>
    </row>
    <row r="188">
      <c r="E188">
        <f>O188=ROUND(177*0.1,10)</f>
        <v/>
      </c>
      <c r="F188">
        <f>P188=ROUND(177*0.2,10)</f>
        <v/>
      </c>
      <c r="G188">
        <f>Q188=ROUND(177*0.3,10)</f>
        <v/>
      </c>
      <c r="H188">
        <f>R188=ROUND(177*0.05,10)</f>
        <v/>
      </c>
      <c r="I188">
        <f>S188=ROUND(177*0.01,10)</f>
        <v/>
      </c>
      <c r="J188">
        <f>T188=ROUND(177*0.7,10)</f>
        <v/>
      </c>
      <c r="K188">
        <f>U188=ROUND(177*1.1,10)</f>
        <v/>
      </c>
      <c r="L188">
        <f>V188=ROUND(177*0.25,10)</f>
        <v/>
      </c>
      <c r="M188">
        <f>W188=ROUND(177*0.5,10)</f>
        <v/>
      </c>
      <c r="O188">
        <f>O187+0.1</f>
        <v/>
      </c>
      <c r="P188">
        <f>P187+0.2</f>
        <v/>
      </c>
      <c r="Q188">
        <f>Q187+0.3</f>
        <v/>
      </c>
      <c r="R188">
        <f>R187+0.05</f>
        <v/>
      </c>
      <c r="S188">
        <f>S187+0.01</f>
        <v/>
      </c>
      <c r="T188">
        <f>T187+0.7</f>
        <v/>
      </c>
      <c r="U188">
        <f>U187+1.1</f>
        <v/>
      </c>
      <c r="V188">
        <f>V187+0.25</f>
        <v/>
      </c>
      <c r="W188">
        <f>W187+0.5</f>
        <v/>
      </c>
    </row>
    <row r="189">
      <c r="E189">
        <f>O189=ROUND(178*0.1,10)</f>
        <v/>
      </c>
      <c r="F189">
        <f>P189=ROUND(178*0.2,10)</f>
        <v/>
      </c>
      <c r="G189">
        <f>Q189=ROUND(178*0.3,10)</f>
        <v/>
      </c>
      <c r="H189">
        <f>R189=ROUND(178*0.05,10)</f>
        <v/>
      </c>
      <c r="I189">
        <f>S189=ROUND(178*0.01,10)</f>
        <v/>
      </c>
      <c r="J189">
        <f>T189=ROUND(178*0.7,10)</f>
        <v/>
      </c>
      <c r="K189">
        <f>U189=ROUND(178*1.1,10)</f>
        <v/>
      </c>
      <c r="L189">
        <f>V189=ROUND(178*0.25,10)</f>
        <v/>
      </c>
      <c r="M189">
        <f>W189=ROUND(178*0.5,10)</f>
        <v/>
      </c>
      <c r="O189">
        <f>O188+0.1</f>
        <v/>
      </c>
      <c r="P189">
        <f>P188+0.2</f>
        <v/>
      </c>
      <c r="Q189">
        <f>Q188+0.3</f>
        <v/>
      </c>
      <c r="R189">
        <f>R188+0.05</f>
        <v/>
      </c>
      <c r="S189">
        <f>S188+0.01</f>
        <v/>
      </c>
      <c r="T189">
        <f>T188+0.7</f>
        <v/>
      </c>
      <c r="U189">
        <f>U188+1.1</f>
        <v/>
      </c>
      <c r="V189">
        <f>V188+0.25</f>
        <v/>
      </c>
      <c r="W189">
        <f>W188+0.5</f>
        <v/>
      </c>
    </row>
    <row r="190">
      <c r="E190">
        <f>O190=ROUND(179*0.1,10)</f>
        <v/>
      </c>
      <c r="F190">
        <f>P190=ROUND(179*0.2,10)</f>
        <v/>
      </c>
      <c r="G190">
        <f>Q190=ROUND(179*0.3,10)</f>
        <v/>
      </c>
      <c r="H190">
        <f>R190=ROUND(179*0.05,10)</f>
        <v/>
      </c>
      <c r="I190">
        <f>S190=ROUND(179*0.01,10)</f>
        <v/>
      </c>
      <c r="J190">
        <f>T190=ROUND(179*0.7,10)</f>
        <v/>
      </c>
      <c r="K190">
        <f>U190=ROUND(179*1.1,10)</f>
        <v/>
      </c>
      <c r="L190">
        <f>V190=ROUND(179*0.25,10)</f>
        <v/>
      </c>
      <c r="M190">
        <f>W190=ROUND(179*0.5,10)</f>
        <v/>
      </c>
      <c r="O190">
        <f>O189+0.1</f>
        <v/>
      </c>
      <c r="P190">
        <f>P189+0.2</f>
        <v/>
      </c>
      <c r="Q190">
        <f>Q189+0.3</f>
        <v/>
      </c>
      <c r="R190">
        <f>R189+0.05</f>
        <v/>
      </c>
      <c r="S190">
        <f>S189+0.01</f>
        <v/>
      </c>
      <c r="T190">
        <f>T189+0.7</f>
        <v/>
      </c>
      <c r="U190">
        <f>U189+1.1</f>
        <v/>
      </c>
      <c r="V190">
        <f>V189+0.25</f>
        <v/>
      </c>
      <c r="W190">
        <f>W189+0.5</f>
        <v/>
      </c>
    </row>
    <row r="191">
      <c r="E191">
        <f>O191=ROUND(180*0.1,10)</f>
        <v/>
      </c>
      <c r="F191">
        <f>P191=ROUND(180*0.2,10)</f>
        <v/>
      </c>
      <c r="G191">
        <f>Q191=ROUND(180*0.3,10)</f>
        <v/>
      </c>
      <c r="H191">
        <f>R191=ROUND(180*0.05,10)</f>
        <v/>
      </c>
      <c r="I191">
        <f>S191=ROUND(180*0.01,10)</f>
        <v/>
      </c>
      <c r="J191">
        <f>T191=ROUND(180*0.7,10)</f>
        <v/>
      </c>
      <c r="K191">
        <f>U191=ROUND(180*1.1,10)</f>
        <v/>
      </c>
      <c r="L191">
        <f>V191=ROUND(180*0.25,10)</f>
        <v/>
      </c>
      <c r="M191">
        <f>W191=ROUND(180*0.5,10)</f>
        <v/>
      </c>
      <c r="O191">
        <f>O190+0.1</f>
        <v/>
      </c>
      <c r="P191">
        <f>P190+0.2</f>
        <v/>
      </c>
      <c r="Q191">
        <f>Q190+0.3</f>
        <v/>
      </c>
      <c r="R191">
        <f>R190+0.05</f>
        <v/>
      </c>
      <c r="S191">
        <f>S190+0.01</f>
        <v/>
      </c>
      <c r="T191">
        <f>T190+0.7</f>
        <v/>
      </c>
      <c r="U191">
        <f>U190+1.1</f>
        <v/>
      </c>
      <c r="V191">
        <f>V190+0.25</f>
        <v/>
      </c>
      <c r="W191">
        <f>W190+0.5</f>
        <v/>
      </c>
    </row>
    <row r="192">
      <c r="E192">
        <f>O192=ROUND(181*0.1,10)</f>
        <v/>
      </c>
      <c r="F192">
        <f>P192=ROUND(181*0.2,10)</f>
        <v/>
      </c>
      <c r="G192">
        <f>Q192=ROUND(181*0.3,10)</f>
        <v/>
      </c>
      <c r="H192">
        <f>R192=ROUND(181*0.05,10)</f>
        <v/>
      </c>
      <c r="I192">
        <f>S192=ROUND(181*0.01,10)</f>
        <v/>
      </c>
      <c r="J192">
        <f>T192=ROUND(181*0.7,10)</f>
        <v/>
      </c>
      <c r="K192">
        <f>U192=ROUND(181*1.1,10)</f>
        <v/>
      </c>
      <c r="L192">
        <f>V192=ROUND(181*0.25,10)</f>
        <v/>
      </c>
      <c r="M192">
        <f>W192=ROUND(181*0.5,10)</f>
        <v/>
      </c>
      <c r="O192">
        <f>O191+0.1</f>
        <v/>
      </c>
      <c r="P192">
        <f>P191+0.2</f>
        <v/>
      </c>
      <c r="Q192">
        <f>Q191+0.3</f>
        <v/>
      </c>
      <c r="R192">
        <f>R191+0.05</f>
        <v/>
      </c>
      <c r="S192">
        <f>S191+0.01</f>
        <v/>
      </c>
      <c r="T192">
        <f>T191+0.7</f>
        <v/>
      </c>
      <c r="U192">
        <f>U191+1.1</f>
        <v/>
      </c>
      <c r="V192">
        <f>V191+0.25</f>
        <v/>
      </c>
      <c r="W192">
        <f>W191+0.5</f>
        <v/>
      </c>
    </row>
    <row r="193">
      <c r="E193">
        <f>O193=ROUND(182*0.1,10)</f>
        <v/>
      </c>
      <c r="F193">
        <f>P193=ROUND(182*0.2,10)</f>
        <v/>
      </c>
      <c r="G193">
        <f>Q193=ROUND(182*0.3,10)</f>
        <v/>
      </c>
      <c r="H193">
        <f>R193=ROUND(182*0.05,10)</f>
        <v/>
      </c>
      <c r="I193">
        <f>S193=ROUND(182*0.01,10)</f>
        <v/>
      </c>
      <c r="J193">
        <f>T193=ROUND(182*0.7,10)</f>
        <v/>
      </c>
      <c r="K193">
        <f>U193=ROUND(182*1.1,10)</f>
        <v/>
      </c>
      <c r="L193">
        <f>V193=ROUND(182*0.25,10)</f>
        <v/>
      </c>
      <c r="M193">
        <f>W193=ROUND(182*0.5,10)</f>
        <v/>
      </c>
      <c r="O193">
        <f>O192+0.1</f>
        <v/>
      </c>
      <c r="P193">
        <f>P192+0.2</f>
        <v/>
      </c>
      <c r="Q193">
        <f>Q192+0.3</f>
        <v/>
      </c>
      <c r="R193">
        <f>R192+0.05</f>
        <v/>
      </c>
      <c r="S193">
        <f>S192+0.01</f>
        <v/>
      </c>
      <c r="T193">
        <f>T192+0.7</f>
        <v/>
      </c>
      <c r="U193">
        <f>U192+1.1</f>
        <v/>
      </c>
      <c r="V193">
        <f>V192+0.25</f>
        <v/>
      </c>
      <c r="W193">
        <f>W192+0.5</f>
        <v/>
      </c>
    </row>
    <row r="194">
      <c r="E194">
        <f>O194=ROUND(183*0.1,10)</f>
        <v/>
      </c>
      <c r="F194">
        <f>P194=ROUND(183*0.2,10)</f>
        <v/>
      </c>
      <c r="G194">
        <f>Q194=ROUND(183*0.3,10)</f>
        <v/>
      </c>
      <c r="H194">
        <f>R194=ROUND(183*0.05,10)</f>
        <v/>
      </c>
      <c r="I194">
        <f>S194=ROUND(183*0.01,10)</f>
        <v/>
      </c>
      <c r="J194">
        <f>T194=ROUND(183*0.7,10)</f>
        <v/>
      </c>
      <c r="K194">
        <f>U194=ROUND(183*1.1,10)</f>
        <v/>
      </c>
      <c r="L194">
        <f>V194=ROUND(183*0.25,10)</f>
        <v/>
      </c>
      <c r="M194">
        <f>W194=ROUND(183*0.5,10)</f>
        <v/>
      </c>
      <c r="O194">
        <f>O193+0.1</f>
        <v/>
      </c>
      <c r="P194">
        <f>P193+0.2</f>
        <v/>
      </c>
      <c r="Q194">
        <f>Q193+0.3</f>
        <v/>
      </c>
      <c r="R194">
        <f>R193+0.05</f>
        <v/>
      </c>
      <c r="S194">
        <f>S193+0.01</f>
        <v/>
      </c>
      <c r="T194">
        <f>T193+0.7</f>
        <v/>
      </c>
      <c r="U194">
        <f>U193+1.1</f>
        <v/>
      </c>
      <c r="V194">
        <f>V193+0.25</f>
        <v/>
      </c>
      <c r="W194">
        <f>W193+0.5</f>
        <v/>
      </c>
    </row>
    <row r="195">
      <c r="E195">
        <f>O195=ROUND(184*0.1,10)</f>
        <v/>
      </c>
      <c r="F195">
        <f>P195=ROUND(184*0.2,10)</f>
        <v/>
      </c>
      <c r="G195">
        <f>Q195=ROUND(184*0.3,10)</f>
        <v/>
      </c>
      <c r="H195">
        <f>R195=ROUND(184*0.05,10)</f>
        <v/>
      </c>
      <c r="I195">
        <f>S195=ROUND(184*0.01,10)</f>
        <v/>
      </c>
      <c r="J195">
        <f>T195=ROUND(184*0.7,10)</f>
        <v/>
      </c>
      <c r="K195">
        <f>U195=ROUND(184*1.1,10)</f>
        <v/>
      </c>
      <c r="L195">
        <f>V195=ROUND(184*0.25,10)</f>
        <v/>
      </c>
      <c r="M195">
        <f>W195=ROUND(184*0.5,10)</f>
        <v/>
      </c>
      <c r="O195">
        <f>O194+0.1</f>
        <v/>
      </c>
      <c r="P195">
        <f>P194+0.2</f>
        <v/>
      </c>
      <c r="Q195">
        <f>Q194+0.3</f>
        <v/>
      </c>
      <c r="R195">
        <f>R194+0.05</f>
        <v/>
      </c>
      <c r="S195">
        <f>S194+0.01</f>
        <v/>
      </c>
      <c r="T195">
        <f>T194+0.7</f>
        <v/>
      </c>
      <c r="U195">
        <f>U194+1.1</f>
        <v/>
      </c>
      <c r="V195">
        <f>V194+0.25</f>
        <v/>
      </c>
      <c r="W195">
        <f>W194+0.5</f>
        <v/>
      </c>
    </row>
    <row r="196">
      <c r="E196">
        <f>O196=ROUND(185*0.1,10)</f>
        <v/>
      </c>
      <c r="F196">
        <f>P196=ROUND(185*0.2,10)</f>
        <v/>
      </c>
      <c r="G196">
        <f>Q196=ROUND(185*0.3,10)</f>
        <v/>
      </c>
      <c r="H196">
        <f>R196=ROUND(185*0.05,10)</f>
        <v/>
      </c>
      <c r="I196">
        <f>S196=ROUND(185*0.01,10)</f>
        <v/>
      </c>
      <c r="J196">
        <f>T196=ROUND(185*0.7,10)</f>
        <v/>
      </c>
      <c r="K196">
        <f>U196=ROUND(185*1.1,10)</f>
        <v/>
      </c>
      <c r="L196">
        <f>V196=ROUND(185*0.25,10)</f>
        <v/>
      </c>
      <c r="M196">
        <f>W196=ROUND(185*0.5,10)</f>
        <v/>
      </c>
      <c r="O196">
        <f>O195+0.1</f>
        <v/>
      </c>
      <c r="P196">
        <f>P195+0.2</f>
        <v/>
      </c>
      <c r="Q196">
        <f>Q195+0.3</f>
        <v/>
      </c>
      <c r="R196">
        <f>R195+0.05</f>
        <v/>
      </c>
      <c r="S196">
        <f>S195+0.01</f>
        <v/>
      </c>
      <c r="T196">
        <f>T195+0.7</f>
        <v/>
      </c>
      <c r="U196">
        <f>U195+1.1</f>
        <v/>
      </c>
      <c r="V196">
        <f>V195+0.25</f>
        <v/>
      </c>
      <c r="W196">
        <f>W195+0.5</f>
        <v/>
      </c>
    </row>
    <row r="197">
      <c r="E197">
        <f>O197=ROUND(186*0.1,10)</f>
        <v/>
      </c>
      <c r="F197">
        <f>P197=ROUND(186*0.2,10)</f>
        <v/>
      </c>
      <c r="G197">
        <f>Q197=ROUND(186*0.3,10)</f>
        <v/>
      </c>
      <c r="H197">
        <f>R197=ROUND(186*0.05,10)</f>
        <v/>
      </c>
      <c r="I197">
        <f>S197=ROUND(186*0.01,10)</f>
        <v/>
      </c>
      <c r="J197">
        <f>T197=ROUND(186*0.7,10)</f>
        <v/>
      </c>
      <c r="K197">
        <f>U197=ROUND(186*1.1,10)</f>
        <v/>
      </c>
      <c r="L197">
        <f>V197=ROUND(186*0.25,10)</f>
        <v/>
      </c>
      <c r="M197">
        <f>W197=ROUND(186*0.5,10)</f>
        <v/>
      </c>
      <c r="O197">
        <f>O196+0.1</f>
        <v/>
      </c>
      <c r="P197">
        <f>P196+0.2</f>
        <v/>
      </c>
      <c r="Q197">
        <f>Q196+0.3</f>
        <v/>
      </c>
      <c r="R197">
        <f>R196+0.05</f>
        <v/>
      </c>
      <c r="S197">
        <f>S196+0.01</f>
        <v/>
      </c>
      <c r="T197">
        <f>T196+0.7</f>
        <v/>
      </c>
      <c r="U197">
        <f>U196+1.1</f>
        <v/>
      </c>
      <c r="V197">
        <f>V196+0.25</f>
        <v/>
      </c>
      <c r="W197">
        <f>W196+0.5</f>
        <v/>
      </c>
    </row>
    <row r="198">
      <c r="E198">
        <f>O198=ROUND(187*0.1,10)</f>
        <v/>
      </c>
      <c r="F198">
        <f>P198=ROUND(187*0.2,10)</f>
        <v/>
      </c>
      <c r="G198">
        <f>Q198=ROUND(187*0.3,10)</f>
        <v/>
      </c>
      <c r="H198">
        <f>R198=ROUND(187*0.05,10)</f>
        <v/>
      </c>
      <c r="I198">
        <f>S198=ROUND(187*0.01,10)</f>
        <v/>
      </c>
      <c r="J198">
        <f>T198=ROUND(187*0.7,10)</f>
        <v/>
      </c>
      <c r="K198">
        <f>U198=ROUND(187*1.1,10)</f>
        <v/>
      </c>
      <c r="L198">
        <f>V198=ROUND(187*0.25,10)</f>
        <v/>
      </c>
      <c r="M198">
        <f>W198=ROUND(187*0.5,10)</f>
        <v/>
      </c>
      <c r="O198">
        <f>O197+0.1</f>
        <v/>
      </c>
      <c r="P198">
        <f>P197+0.2</f>
        <v/>
      </c>
      <c r="Q198">
        <f>Q197+0.3</f>
        <v/>
      </c>
      <c r="R198">
        <f>R197+0.05</f>
        <v/>
      </c>
      <c r="S198">
        <f>S197+0.01</f>
        <v/>
      </c>
      <c r="T198">
        <f>T197+0.7</f>
        <v/>
      </c>
      <c r="U198">
        <f>U197+1.1</f>
        <v/>
      </c>
      <c r="V198">
        <f>V197+0.25</f>
        <v/>
      </c>
      <c r="W198">
        <f>W197+0.5</f>
        <v/>
      </c>
    </row>
    <row r="199">
      <c r="E199">
        <f>O199=ROUND(188*0.1,10)</f>
        <v/>
      </c>
      <c r="F199">
        <f>P199=ROUND(188*0.2,10)</f>
        <v/>
      </c>
      <c r="G199">
        <f>Q199=ROUND(188*0.3,10)</f>
        <v/>
      </c>
      <c r="H199">
        <f>R199=ROUND(188*0.05,10)</f>
        <v/>
      </c>
      <c r="I199">
        <f>S199=ROUND(188*0.01,10)</f>
        <v/>
      </c>
      <c r="J199">
        <f>T199=ROUND(188*0.7,10)</f>
        <v/>
      </c>
      <c r="K199">
        <f>U199=ROUND(188*1.1,10)</f>
        <v/>
      </c>
      <c r="L199">
        <f>V199=ROUND(188*0.25,10)</f>
        <v/>
      </c>
      <c r="M199">
        <f>W199=ROUND(188*0.5,10)</f>
        <v/>
      </c>
      <c r="O199">
        <f>O198+0.1</f>
        <v/>
      </c>
      <c r="P199">
        <f>P198+0.2</f>
        <v/>
      </c>
      <c r="Q199">
        <f>Q198+0.3</f>
        <v/>
      </c>
      <c r="R199">
        <f>R198+0.05</f>
        <v/>
      </c>
      <c r="S199">
        <f>S198+0.01</f>
        <v/>
      </c>
      <c r="T199">
        <f>T198+0.7</f>
        <v/>
      </c>
      <c r="U199">
        <f>U198+1.1</f>
        <v/>
      </c>
      <c r="V199">
        <f>V198+0.25</f>
        <v/>
      </c>
      <c r="W199">
        <f>W198+0.5</f>
        <v/>
      </c>
    </row>
    <row r="200">
      <c r="E200">
        <f>O200=ROUND(189*0.1,10)</f>
        <v/>
      </c>
      <c r="F200">
        <f>P200=ROUND(189*0.2,10)</f>
        <v/>
      </c>
      <c r="G200">
        <f>Q200=ROUND(189*0.3,10)</f>
        <v/>
      </c>
      <c r="H200">
        <f>R200=ROUND(189*0.05,10)</f>
        <v/>
      </c>
      <c r="I200">
        <f>S200=ROUND(189*0.01,10)</f>
        <v/>
      </c>
      <c r="J200">
        <f>T200=ROUND(189*0.7,10)</f>
        <v/>
      </c>
      <c r="K200">
        <f>U200=ROUND(189*1.1,10)</f>
        <v/>
      </c>
      <c r="L200">
        <f>V200=ROUND(189*0.25,10)</f>
        <v/>
      </c>
      <c r="M200">
        <f>W200=ROUND(189*0.5,10)</f>
        <v/>
      </c>
      <c r="O200">
        <f>O199+0.1</f>
        <v/>
      </c>
      <c r="P200">
        <f>P199+0.2</f>
        <v/>
      </c>
      <c r="Q200">
        <f>Q199+0.3</f>
        <v/>
      </c>
      <c r="R200">
        <f>R199+0.05</f>
        <v/>
      </c>
      <c r="S200">
        <f>S199+0.01</f>
        <v/>
      </c>
      <c r="T200">
        <f>T199+0.7</f>
        <v/>
      </c>
      <c r="U200">
        <f>U199+1.1</f>
        <v/>
      </c>
      <c r="V200">
        <f>V199+0.25</f>
        <v/>
      </c>
      <c r="W200">
        <f>W199+0.5</f>
        <v/>
      </c>
    </row>
    <row r="201">
      <c r="E201">
        <f>O201=ROUND(190*0.1,10)</f>
        <v/>
      </c>
      <c r="F201">
        <f>P201=ROUND(190*0.2,10)</f>
        <v/>
      </c>
      <c r="G201">
        <f>Q201=ROUND(190*0.3,10)</f>
        <v/>
      </c>
      <c r="H201">
        <f>R201=ROUND(190*0.05,10)</f>
        <v/>
      </c>
      <c r="I201">
        <f>S201=ROUND(190*0.01,10)</f>
        <v/>
      </c>
      <c r="J201">
        <f>T201=ROUND(190*0.7,10)</f>
        <v/>
      </c>
      <c r="K201">
        <f>U201=ROUND(190*1.1,10)</f>
        <v/>
      </c>
      <c r="L201">
        <f>V201=ROUND(190*0.25,10)</f>
        <v/>
      </c>
      <c r="M201">
        <f>W201=ROUND(190*0.5,10)</f>
        <v/>
      </c>
      <c r="O201">
        <f>O200+0.1</f>
        <v/>
      </c>
      <c r="P201">
        <f>P200+0.2</f>
        <v/>
      </c>
      <c r="Q201">
        <f>Q200+0.3</f>
        <v/>
      </c>
      <c r="R201">
        <f>R200+0.05</f>
        <v/>
      </c>
      <c r="S201">
        <f>S200+0.01</f>
        <v/>
      </c>
      <c r="T201">
        <f>T200+0.7</f>
        <v/>
      </c>
      <c r="U201">
        <f>U200+1.1</f>
        <v/>
      </c>
      <c r="V201">
        <f>V200+0.25</f>
        <v/>
      </c>
      <c r="W201">
        <f>W200+0.5</f>
        <v/>
      </c>
    </row>
    <row r="202">
      <c r="E202">
        <f>O202=ROUND(191*0.1,10)</f>
        <v/>
      </c>
      <c r="F202">
        <f>P202=ROUND(191*0.2,10)</f>
        <v/>
      </c>
      <c r="G202">
        <f>Q202=ROUND(191*0.3,10)</f>
        <v/>
      </c>
      <c r="H202">
        <f>R202=ROUND(191*0.05,10)</f>
        <v/>
      </c>
      <c r="I202">
        <f>S202=ROUND(191*0.01,10)</f>
        <v/>
      </c>
      <c r="J202">
        <f>T202=ROUND(191*0.7,10)</f>
        <v/>
      </c>
      <c r="K202">
        <f>U202=ROUND(191*1.1,10)</f>
        <v/>
      </c>
      <c r="L202">
        <f>V202=ROUND(191*0.25,10)</f>
        <v/>
      </c>
      <c r="M202">
        <f>W202=ROUND(191*0.5,10)</f>
        <v/>
      </c>
      <c r="O202">
        <f>O201+0.1</f>
        <v/>
      </c>
      <c r="P202">
        <f>P201+0.2</f>
        <v/>
      </c>
      <c r="Q202">
        <f>Q201+0.3</f>
        <v/>
      </c>
      <c r="R202">
        <f>R201+0.05</f>
        <v/>
      </c>
      <c r="S202">
        <f>S201+0.01</f>
        <v/>
      </c>
      <c r="T202">
        <f>T201+0.7</f>
        <v/>
      </c>
      <c r="U202">
        <f>U201+1.1</f>
        <v/>
      </c>
      <c r="V202">
        <f>V201+0.25</f>
        <v/>
      </c>
      <c r="W202">
        <f>W201+0.5</f>
        <v/>
      </c>
    </row>
    <row r="203">
      <c r="E203">
        <f>O203=ROUND(192*0.1,10)</f>
        <v/>
      </c>
      <c r="F203">
        <f>P203=ROUND(192*0.2,10)</f>
        <v/>
      </c>
      <c r="G203">
        <f>Q203=ROUND(192*0.3,10)</f>
        <v/>
      </c>
      <c r="H203">
        <f>R203=ROUND(192*0.05,10)</f>
        <v/>
      </c>
      <c r="I203">
        <f>S203=ROUND(192*0.01,10)</f>
        <v/>
      </c>
      <c r="J203">
        <f>T203=ROUND(192*0.7,10)</f>
        <v/>
      </c>
      <c r="K203">
        <f>U203=ROUND(192*1.1,10)</f>
        <v/>
      </c>
      <c r="L203">
        <f>V203=ROUND(192*0.25,10)</f>
        <v/>
      </c>
      <c r="M203">
        <f>W203=ROUND(192*0.5,10)</f>
        <v/>
      </c>
      <c r="O203">
        <f>O202+0.1</f>
        <v/>
      </c>
      <c r="P203">
        <f>P202+0.2</f>
        <v/>
      </c>
      <c r="Q203">
        <f>Q202+0.3</f>
        <v/>
      </c>
      <c r="R203">
        <f>R202+0.05</f>
        <v/>
      </c>
      <c r="S203">
        <f>S202+0.01</f>
        <v/>
      </c>
      <c r="T203">
        <f>T202+0.7</f>
        <v/>
      </c>
      <c r="U203">
        <f>U202+1.1</f>
        <v/>
      </c>
      <c r="V203">
        <f>V202+0.25</f>
        <v/>
      </c>
      <c r="W203">
        <f>W202+0.5</f>
        <v/>
      </c>
    </row>
    <row r="204">
      <c r="E204">
        <f>O204=ROUND(193*0.1,10)</f>
        <v/>
      </c>
      <c r="F204">
        <f>P204=ROUND(193*0.2,10)</f>
        <v/>
      </c>
      <c r="G204">
        <f>Q204=ROUND(193*0.3,10)</f>
        <v/>
      </c>
      <c r="H204">
        <f>R204=ROUND(193*0.05,10)</f>
        <v/>
      </c>
      <c r="I204">
        <f>S204=ROUND(193*0.01,10)</f>
        <v/>
      </c>
      <c r="J204">
        <f>T204=ROUND(193*0.7,10)</f>
        <v/>
      </c>
      <c r="K204">
        <f>U204=ROUND(193*1.1,10)</f>
        <v/>
      </c>
      <c r="L204">
        <f>V204=ROUND(193*0.25,10)</f>
        <v/>
      </c>
      <c r="M204">
        <f>W204=ROUND(193*0.5,10)</f>
        <v/>
      </c>
      <c r="O204">
        <f>O203+0.1</f>
        <v/>
      </c>
      <c r="P204">
        <f>P203+0.2</f>
        <v/>
      </c>
      <c r="Q204">
        <f>Q203+0.3</f>
        <v/>
      </c>
      <c r="R204">
        <f>R203+0.05</f>
        <v/>
      </c>
      <c r="S204">
        <f>S203+0.01</f>
        <v/>
      </c>
      <c r="T204">
        <f>T203+0.7</f>
        <v/>
      </c>
      <c r="U204">
        <f>U203+1.1</f>
        <v/>
      </c>
      <c r="V204">
        <f>V203+0.25</f>
        <v/>
      </c>
      <c r="W204">
        <f>W203+0.5</f>
        <v/>
      </c>
    </row>
    <row r="205">
      <c r="E205">
        <f>O205=ROUND(194*0.1,10)</f>
        <v/>
      </c>
      <c r="F205">
        <f>P205=ROUND(194*0.2,10)</f>
        <v/>
      </c>
      <c r="G205">
        <f>Q205=ROUND(194*0.3,10)</f>
        <v/>
      </c>
      <c r="H205">
        <f>R205=ROUND(194*0.05,10)</f>
        <v/>
      </c>
      <c r="I205">
        <f>S205=ROUND(194*0.01,10)</f>
        <v/>
      </c>
      <c r="J205">
        <f>T205=ROUND(194*0.7,10)</f>
        <v/>
      </c>
      <c r="K205">
        <f>U205=ROUND(194*1.1,10)</f>
        <v/>
      </c>
      <c r="L205">
        <f>V205=ROUND(194*0.25,10)</f>
        <v/>
      </c>
      <c r="M205">
        <f>W205=ROUND(194*0.5,10)</f>
        <v/>
      </c>
      <c r="O205">
        <f>O204+0.1</f>
        <v/>
      </c>
      <c r="P205">
        <f>P204+0.2</f>
        <v/>
      </c>
      <c r="Q205">
        <f>Q204+0.3</f>
        <v/>
      </c>
      <c r="R205">
        <f>R204+0.05</f>
        <v/>
      </c>
      <c r="S205">
        <f>S204+0.01</f>
        <v/>
      </c>
      <c r="T205">
        <f>T204+0.7</f>
        <v/>
      </c>
      <c r="U205">
        <f>U204+1.1</f>
        <v/>
      </c>
      <c r="V205">
        <f>V204+0.25</f>
        <v/>
      </c>
      <c r="W205">
        <f>W204+0.5</f>
        <v/>
      </c>
    </row>
    <row r="206">
      <c r="E206">
        <f>O206=ROUND(195*0.1,10)</f>
        <v/>
      </c>
      <c r="F206">
        <f>P206=ROUND(195*0.2,10)</f>
        <v/>
      </c>
      <c r="G206">
        <f>Q206=ROUND(195*0.3,10)</f>
        <v/>
      </c>
      <c r="H206">
        <f>R206=ROUND(195*0.05,10)</f>
        <v/>
      </c>
      <c r="I206">
        <f>S206=ROUND(195*0.01,10)</f>
        <v/>
      </c>
      <c r="J206">
        <f>T206=ROUND(195*0.7,10)</f>
        <v/>
      </c>
      <c r="K206">
        <f>U206=ROUND(195*1.1,10)</f>
        <v/>
      </c>
      <c r="L206">
        <f>V206=ROUND(195*0.25,10)</f>
        <v/>
      </c>
      <c r="M206">
        <f>W206=ROUND(195*0.5,10)</f>
        <v/>
      </c>
      <c r="O206">
        <f>O205+0.1</f>
        <v/>
      </c>
      <c r="P206">
        <f>P205+0.2</f>
        <v/>
      </c>
      <c r="Q206">
        <f>Q205+0.3</f>
        <v/>
      </c>
      <c r="R206">
        <f>R205+0.05</f>
        <v/>
      </c>
      <c r="S206">
        <f>S205+0.01</f>
        <v/>
      </c>
      <c r="T206">
        <f>T205+0.7</f>
        <v/>
      </c>
      <c r="U206">
        <f>U205+1.1</f>
        <v/>
      </c>
      <c r="V206">
        <f>V205+0.25</f>
        <v/>
      </c>
      <c r="W206">
        <f>W205+0.5</f>
        <v/>
      </c>
    </row>
    <row r="207">
      <c r="E207">
        <f>O207=ROUND(196*0.1,10)</f>
        <v/>
      </c>
      <c r="F207">
        <f>P207=ROUND(196*0.2,10)</f>
        <v/>
      </c>
      <c r="G207">
        <f>Q207=ROUND(196*0.3,10)</f>
        <v/>
      </c>
      <c r="H207">
        <f>R207=ROUND(196*0.05,10)</f>
        <v/>
      </c>
      <c r="I207">
        <f>S207=ROUND(196*0.01,10)</f>
        <v/>
      </c>
      <c r="J207">
        <f>T207=ROUND(196*0.7,10)</f>
        <v/>
      </c>
      <c r="K207">
        <f>U207=ROUND(196*1.1,10)</f>
        <v/>
      </c>
      <c r="L207">
        <f>V207=ROUND(196*0.25,10)</f>
        <v/>
      </c>
      <c r="M207">
        <f>W207=ROUND(196*0.5,10)</f>
        <v/>
      </c>
      <c r="O207">
        <f>O206+0.1</f>
        <v/>
      </c>
      <c r="P207">
        <f>P206+0.2</f>
        <v/>
      </c>
      <c r="Q207">
        <f>Q206+0.3</f>
        <v/>
      </c>
      <c r="R207">
        <f>R206+0.05</f>
        <v/>
      </c>
      <c r="S207">
        <f>S206+0.01</f>
        <v/>
      </c>
      <c r="T207">
        <f>T206+0.7</f>
        <v/>
      </c>
      <c r="U207">
        <f>U206+1.1</f>
        <v/>
      </c>
      <c r="V207">
        <f>V206+0.25</f>
        <v/>
      </c>
      <c r="W207">
        <f>W206+0.5</f>
        <v/>
      </c>
    </row>
    <row r="208">
      <c r="E208">
        <f>O208=ROUND(197*0.1,10)</f>
        <v/>
      </c>
      <c r="F208">
        <f>P208=ROUND(197*0.2,10)</f>
        <v/>
      </c>
      <c r="G208">
        <f>Q208=ROUND(197*0.3,10)</f>
        <v/>
      </c>
      <c r="H208">
        <f>R208=ROUND(197*0.05,10)</f>
        <v/>
      </c>
      <c r="I208">
        <f>S208=ROUND(197*0.01,10)</f>
        <v/>
      </c>
      <c r="J208">
        <f>T208=ROUND(197*0.7,10)</f>
        <v/>
      </c>
      <c r="K208">
        <f>U208=ROUND(197*1.1,10)</f>
        <v/>
      </c>
      <c r="L208">
        <f>V208=ROUND(197*0.25,10)</f>
        <v/>
      </c>
      <c r="M208">
        <f>W208=ROUND(197*0.5,10)</f>
        <v/>
      </c>
      <c r="O208">
        <f>O207+0.1</f>
        <v/>
      </c>
      <c r="P208">
        <f>P207+0.2</f>
        <v/>
      </c>
      <c r="Q208">
        <f>Q207+0.3</f>
        <v/>
      </c>
      <c r="R208">
        <f>R207+0.05</f>
        <v/>
      </c>
      <c r="S208">
        <f>S207+0.01</f>
        <v/>
      </c>
      <c r="T208">
        <f>T207+0.7</f>
        <v/>
      </c>
      <c r="U208">
        <f>U207+1.1</f>
        <v/>
      </c>
      <c r="V208">
        <f>V207+0.25</f>
        <v/>
      </c>
      <c r="W208">
        <f>W207+0.5</f>
        <v/>
      </c>
    </row>
    <row r="209">
      <c r="E209">
        <f>O209=ROUND(198*0.1,10)</f>
        <v/>
      </c>
      <c r="F209">
        <f>P209=ROUND(198*0.2,10)</f>
        <v/>
      </c>
      <c r="G209">
        <f>Q209=ROUND(198*0.3,10)</f>
        <v/>
      </c>
      <c r="H209">
        <f>R209=ROUND(198*0.05,10)</f>
        <v/>
      </c>
      <c r="I209">
        <f>S209=ROUND(198*0.01,10)</f>
        <v/>
      </c>
      <c r="J209">
        <f>T209=ROUND(198*0.7,10)</f>
        <v/>
      </c>
      <c r="K209">
        <f>U209=ROUND(198*1.1,10)</f>
        <v/>
      </c>
      <c r="L209">
        <f>V209=ROUND(198*0.25,10)</f>
        <v/>
      </c>
      <c r="M209">
        <f>W209=ROUND(198*0.5,10)</f>
        <v/>
      </c>
      <c r="O209">
        <f>O208+0.1</f>
        <v/>
      </c>
      <c r="P209">
        <f>P208+0.2</f>
        <v/>
      </c>
      <c r="Q209">
        <f>Q208+0.3</f>
        <v/>
      </c>
      <c r="R209">
        <f>R208+0.05</f>
        <v/>
      </c>
      <c r="S209">
        <f>S208+0.01</f>
        <v/>
      </c>
      <c r="T209">
        <f>T208+0.7</f>
        <v/>
      </c>
      <c r="U209">
        <f>U208+1.1</f>
        <v/>
      </c>
      <c r="V209">
        <f>V208+0.25</f>
        <v/>
      </c>
      <c r="W209">
        <f>W208+0.5</f>
        <v/>
      </c>
    </row>
    <row r="210">
      <c r="E210">
        <f>O210=ROUND(199*0.1,10)</f>
        <v/>
      </c>
      <c r="F210">
        <f>P210=ROUND(199*0.2,10)</f>
        <v/>
      </c>
      <c r="G210">
        <f>Q210=ROUND(199*0.3,10)</f>
        <v/>
      </c>
      <c r="H210">
        <f>R210=ROUND(199*0.05,10)</f>
        <v/>
      </c>
      <c r="I210">
        <f>S210=ROUND(199*0.01,10)</f>
        <v/>
      </c>
      <c r="J210">
        <f>T210=ROUND(199*0.7,10)</f>
        <v/>
      </c>
      <c r="K210">
        <f>U210=ROUND(199*1.1,10)</f>
        <v/>
      </c>
      <c r="L210">
        <f>V210=ROUND(199*0.25,10)</f>
        <v/>
      </c>
      <c r="M210">
        <f>W210=ROUND(199*0.5,10)</f>
        <v/>
      </c>
      <c r="O210">
        <f>O209+0.1</f>
        <v/>
      </c>
      <c r="P210">
        <f>P209+0.2</f>
        <v/>
      </c>
      <c r="Q210">
        <f>Q209+0.3</f>
        <v/>
      </c>
      <c r="R210">
        <f>R209+0.05</f>
        <v/>
      </c>
      <c r="S210">
        <f>S209+0.01</f>
        <v/>
      </c>
      <c r="T210">
        <f>T209+0.7</f>
        <v/>
      </c>
      <c r="U210">
        <f>U209+1.1</f>
        <v/>
      </c>
      <c r="V210">
        <f>V209+0.25</f>
        <v/>
      </c>
      <c r="W210">
        <f>W209+0.5</f>
        <v/>
      </c>
    </row>
    <row r="211">
      <c r="E211">
        <f>O211=ROUND(200*0.1,10)</f>
        <v/>
      </c>
      <c r="F211">
        <f>P211=ROUND(200*0.2,10)</f>
        <v/>
      </c>
      <c r="G211">
        <f>Q211=ROUND(200*0.3,10)</f>
        <v/>
      </c>
      <c r="H211">
        <f>R211=ROUND(200*0.05,10)</f>
        <v/>
      </c>
      <c r="I211">
        <f>S211=ROUND(200*0.01,10)</f>
        <v/>
      </c>
      <c r="J211">
        <f>T211=ROUND(200*0.7,10)</f>
        <v/>
      </c>
      <c r="K211">
        <f>U211=ROUND(200*1.1,10)</f>
        <v/>
      </c>
      <c r="L211">
        <f>V211=ROUND(200*0.25,10)</f>
        <v/>
      </c>
      <c r="M211">
        <f>W211=ROUND(200*0.5,10)</f>
        <v/>
      </c>
      <c r="O211">
        <f>O210+0.1</f>
        <v/>
      </c>
      <c r="P211">
        <f>P210+0.2</f>
        <v/>
      </c>
      <c r="Q211">
        <f>Q210+0.3</f>
        <v/>
      </c>
      <c r="R211">
        <f>R210+0.05</f>
        <v/>
      </c>
      <c r="S211">
        <f>S210+0.01</f>
        <v/>
      </c>
      <c r="T211">
        <f>T210+0.7</f>
        <v/>
      </c>
      <c r="U211">
        <f>U210+1.1</f>
        <v/>
      </c>
      <c r="V211">
        <f>V210+0.25</f>
        <v/>
      </c>
      <c r="W211">
        <f>W210+0.5</f>
        <v/>
      </c>
    </row>
    <row r="212">
      <c r="E212">
        <f>O212=ROUND(201*0.1,10)</f>
        <v/>
      </c>
      <c r="F212">
        <f>P212=ROUND(201*0.2,10)</f>
        <v/>
      </c>
      <c r="G212">
        <f>Q212=ROUND(201*0.3,10)</f>
        <v/>
      </c>
      <c r="H212">
        <f>R212=ROUND(201*0.05,10)</f>
        <v/>
      </c>
      <c r="I212">
        <f>S212=ROUND(201*0.01,10)</f>
        <v/>
      </c>
      <c r="J212">
        <f>T212=ROUND(201*0.7,10)</f>
        <v/>
      </c>
      <c r="K212">
        <f>U212=ROUND(201*1.1,10)</f>
        <v/>
      </c>
      <c r="L212">
        <f>V212=ROUND(201*0.25,10)</f>
        <v/>
      </c>
      <c r="M212">
        <f>W212=ROUND(201*0.5,10)</f>
        <v/>
      </c>
      <c r="O212">
        <f>O211+0.1</f>
        <v/>
      </c>
      <c r="P212">
        <f>P211+0.2</f>
        <v/>
      </c>
      <c r="Q212">
        <f>Q211+0.3</f>
        <v/>
      </c>
      <c r="R212">
        <f>R211+0.05</f>
        <v/>
      </c>
      <c r="S212">
        <f>S211+0.01</f>
        <v/>
      </c>
      <c r="T212">
        <f>T211+0.7</f>
        <v/>
      </c>
      <c r="U212">
        <f>U211+1.1</f>
        <v/>
      </c>
      <c r="V212">
        <f>V211+0.25</f>
        <v/>
      </c>
      <c r="W212">
        <f>W211+0.5</f>
        <v/>
      </c>
    </row>
    <row r="213">
      <c r="E213">
        <f>O213=ROUND(202*0.1,10)</f>
        <v/>
      </c>
      <c r="F213">
        <f>P213=ROUND(202*0.2,10)</f>
        <v/>
      </c>
      <c r="G213">
        <f>Q213=ROUND(202*0.3,10)</f>
        <v/>
      </c>
      <c r="H213">
        <f>R213=ROUND(202*0.05,10)</f>
        <v/>
      </c>
      <c r="I213">
        <f>S213=ROUND(202*0.01,10)</f>
        <v/>
      </c>
      <c r="J213">
        <f>T213=ROUND(202*0.7,10)</f>
        <v/>
      </c>
      <c r="K213">
        <f>U213=ROUND(202*1.1,10)</f>
        <v/>
      </c>
      <c r="L213">
        <f>V213=ROUND(202*0.25,10)</f>
        <v/>
      </c>
      <c r="M213">
        <f>W213=ROUND(202*0.5,10)</f>
        <v/>
      </c>
      <c r="O213">
        <f>O212+0.1</f>
        <v/>
      </c>
      <c r="P213">
        <f>P212+0.2</f>
        <v/>
      </c>
      <c r="Q213">
        <f>Q212+0.3</f>
        <v/>
      </c>
      <c r="R213">
        <f>R212+0.05</f>
        <v/>
      </c>
      <c r="S213">
        <f>S212+0.01</f>
        <v/>
      </c>
      <c r="T213">
        <f>T212+0.7</f>
        <v/>
      </c>
      <c r="U213">
        <f>U212+1.1</f>
        <v/>
      </c>
      <c r="V213">
        <f>V212+0.25</f>
        <v/>
      </c>
      <c r="W213">
        <f>W212+0.5</f>
        <v/>
      </c>
    </row>
    <row r="214">
      <c r="E214">
        <f>O214=ROUND(203*0.1,10)</f>
        <v/>
      </c>
      <c r="F214">
        <f>P214=ROUND(203*0.2,10)</f>
        <v/>
      </c>
      <c r="G214">
        <f>Q214=ROUND(203*0.3,10)</f>
        <v/>
      </c>
      <c r="H214">
        <f>R214=ROUND(203*0.05,10)</f>
        <v/>
      </c>
      <c r="I214">
        <f>S214=ROUND(203*0.01,10)</f>
        <v/>
      </c>
      <c r="J214">
        <f>T214=ROUND(203*0.7,10)</f>
        <v/>
      </c>
      <c r="K214">
        <f>U214=ROUND(203*1.1,10)</f>
        <v/>
      </c>
      <c r="L214">
        <f>V214=ROUND(203*0.25,10)</f>
        <v/>
      </c>
      <c r="M214">
        <f>W214=ROUND(203*0.5,10)</f>
        <v/>
      </c>
      <c r="O214">
        <f>O213+0.1</f>
        <v/>
      </c>
      <c r="P214">
        <f>P213+0.2</f>
        <v/>
      </c>
      <c r="Q214">
        <f>Q213+0.3</f>
        <v/>
      </c>
      <c r="R214">
        <f>R213+0.05</f>
        <v/>
      </c>
      <c r="S214">
        <f>S213+0.01</f>
        <v/>
      </c>
      <c r="T214">
        <f>T213+0.7</f>
        <v/>
      </c>
      <c r="U214">
        <f>U213+1.1</f>
        <v/>
      </c>
      <c r="V214">
        <f>V213+0.25</f>
        <v/>
      </c>
      <c r="W214">
        <f>W213+0.5</f>
        <v/>
      </c>
    </row>
    <row r="215">
      <c r="E215">
        <f>O215=ROUND(204*0.1,10)</f>
        <v/>
      </c>
      <c r="F215">
        <f>P215=ROUND(204*0.2,10)</f>
        <v/>
      </c>
      <c r="G215">
        <f>Q215=ROUND(204*0.3,10)</f>
        <v/>
      </c>
      <c r="H215">
        <f>R215=ROUND(204*0.05,10)</f>
        <v/>
      </c>
      <c r="I215">
        <f>S215=ROUND(204*0.01,10)</f>
        <v/>
      </c>
      <c r="J215">
        <f>T215=ROUND(204*0.7,10)</f>
        <v/>
      </c>
      <c r="K215">
        <f>U215=ROUND(204*1.1,10)</f>
        <v/>
      </c>
      <c r="L215">
        <f>V215=ROUND(204*0.25,10)</f>
        <v/>
      </c>
      <c r="M215">
        <f>W215=ROUND(204*0.5,10)</f>
        <v/>
      </c>
      <c r="O215">
        <f>O214+0.1</f>
        <v/>
      </c>
      <c r="P215">
        <f>P214+0.2</f>
        <v/>
      </c>
      <c r="Q215">
        <f>Q214+0.3</f>
        <v/>
      </c>
      <c r="R215">
        <f>R214+0.05</f>
        <v/>
      </c>
      <c r="S215">
        <f>S214+0.01</f>
        <v/>
      </c>
      <c r="T215">
        <f>T214+0.7</f>
        <v/>
      </c>
      <c r="U215">
        <f>U214+1.1</f>
        <v/>
      </c>
      <c r="V215">
        <f>V214+0.25</f>
        <v/>
      </c>
      <c r="W215">
        <f>W214+0.5</f>
        <v/>
      </c>
    </row>
    <row r="216">
      <c r="E216">
        <f>O216=ROUND(205*0.1,10)</f>
        <v/>
      </c>
      <c r="F216">
        <f>P216=ROUND(205*0.2,10)</f>
        <v/>
      </c>
      <c r="G216">
        <f>Q216=ROUND(205*0.3,10)</f>
        <v/>
      </c>
      <c r="H216">
        <f>R216=ROUND(205*0.05,10)</f>
        <v/>
      </c>
      <c r="I216">
        <f>S216=ROUND(205*0.01,10)</f>
        <v/>
      </c>
      <c r="J216">
        <f>T216=ROUND(205*0.7,10)</f>
        <v/>
      </c>
      <c r="K216">
        <f>U216=ROUND(205*1.1,10)</f>
        <v/>
      </c>
      <c r="L216">
        <f>V216=ROUND(205*0.25,10)</f>
        <v/>
      </c>
      <c r="M216">
        <f>W216=ROUND(205*0.5,10)</f>
        <v/>
      </c>
      <c r="O216">
        <f>O215+0.1</f>
        <v/>
      </c>
      <c r="P216">
        <f>P215+0.2</f>
        <v/>
      </c>
      <c r="Q216">
        <f>Q215+0.3</f>
        <v/>
      </c>
      <c r="R216">
        <f>R215+0.05</f>
        <v/>
      </c>
      <c r="S216">
        <f>S215+0.01</f>
        <v/>
      </c>
      <c r="T216">
        <f>T215+0.7</f>
        <v/>
      </c>
      <c r="U216">
        <f>U215+1.1</f>
        <v/>
      </c>
      <c r="V216">
        <f>V215+0.25</f>
        <v/>
      </c>
      <c r="W216">
        <f>W215+0.5</f>
        <v/>
      </c>
    </row>
    <row r="217">
      <c r="E217">
        <f>O217=ROUND(206*0.1,10)</f>
        <v/>
      </c>
      <c r="F217">
        <f>P217=ROUND(206*0.2,10)</f>
        <v/>
      </c>
      <c r="G217">
        <f>Q217=ROUND(206*0.3,10)</f>
        <v/>
      </c>
      <c r="H217">
        <f>R217=ROUND(206*0.05,10)</f>
        <v/>
      </c>
      <c r="I217">
        <f>S217=ROUND(206*0.01,10)</f>
        <v/>
      </c>
      <c r="J217">
        <f>T217=ROUND(206*0.7,10)</f>
        <v/>
      </c>
      <c r="K217">
        <f>U217=ROUND(206*1.1,10)</f>
        <v/>
      </c>
      <c r="L217">
        <f>V217=ROUND(206*0.25,10)</f>
        <v/>
      </c>
      <c r="M217">
        <f>W217=ROUND(206*0.5,10)</f>
        <v/>
      </c>
      <c r="O217">
        <f>O216+0.1</f>
        <v/>
      </c>
      <c r="P217">
        <f>P216+0.2</f>
        <v/>
      </c>
      <c r="Q217">
        <f>Q216+0.3</f>
        <v/>
      </c>
      <c r="R217">
        <f>R216+0.05</f>
        <v/>
      </c>
      <c r="S217">
        <f>S216+0.01</f>
        <v/>
      </c>
      <c r="T217">
        <f>T216+0.7</f>
        <v/>
      </c>
      <c r="U217">
        <f>U216+1.1</f>
        <v/>
      </c>
      <c r="V217">
        <f>V216+0.25</f>
        <v/>
      </c>
      <c r="W217">
        <f>W216+0.5</f>
        <v/>
      </c>
    </row>
    <row r="218">
      <c r="E218">
        <f>O218=ROUND(207*0.1,10)</f>
        <v/>
      </c>
      <c r="F218">
        <f>P218=ROUND(207*0.2,10)</f>
        <v/>
      </c>
      <c r="G218">
        <f>Q218=ROUND(207*0.3,10)</f>
        <v/>
      </c>
      <c r="H218">
        <f>R218=ROUND(207*0.05,10)</f>
        <v/>
      </c>
      <c r="I218">
        <f>S218=ROUND(207*0.01,10)</f>
        <v/>
      </c>
      <c r="J218">
        <f>T218=ROUND(207*0.7,10)</f>
        <v/>
      </c>
      <c r="K218">
        <f>U218=ROUND(207*1.1,10)</f>
        <v/>
      </c>
      <c r="L218">
        <f>V218=ROUND(207*0.25,10)</f>
        <v/>
      </c>
      <c r="M218">
        <f>W218=ROUND(207*0.5,10)</f>
        <v/>
      </c>
      <c r="O218">
        <f>O217+0.1</f>
        <v/>
      </c>
      <c r="P218">
        <f>P217+0.2</f>
        <v/>
      </c>
      <c r="Q218">
        <f>Q217+0.3</f>
        <v/>
      </c>
      <c r="R218">
        <f>R217+0.05</f>
        <v/>
      </c>
      <c r="S218">
        <f>S217+0.01</f>
        <v/>
      </c>
      <c r="T218">
        <f>T217+0.7</f>
        <v/>
      </c>
      <c r="U218">
        <f>U217+1.1</f>
        <v/>
      </c>
      <c r="V218">
        <f>V217+0.25</f>
        <v/>
      </c>
      <c r="W218">
        <f>W217+0.5</f>
        <v/>
      </c>
    </row>
    <row r="219">
      <c r="E219">
        <f>O219=ROUND(208*0.1,10)</f>
        <v/>
      </c>
      <c r="F219">
        <f>P219=ROUND(208*0.2,10)</f>
        <v/>
      </c>
      <c r="G219">
        <f>Q219=ROUND(208*0.3,10)</f>
        <v/>
      </c>
      <c r="H219">
        <f>R219=ROUND(208*0.05,10)</f>
        <v/>
      </c>
      <c r="I219">
        <f>S219=ROUND(208*0.01,10)</f>
        <v/>
      </c>
      <c r="J219">
        <f>T219=ROUND(208*0.7,10)</f>
        <v/>
      </c>
      <c r="K219">
        <f>U219=ROUND(208*1.1,10)</f>
        <v/>
      </c>
      <c r="L219">
        <f>V219=ROUND(208*0.25,10)</f>
        <v/>
      </c>
      <c r="M219">
        <f>W219=ROUND(208*0.5,10)</f>
        <v/>
      </c>
      <c r="O219">
        <f>O218+0.1</f>
        <v/>
      </c>
      <c r="P219">
        <f>P218+0.2</f>
        <v/>
      </c>
      <c r="Q219">
        <f>Q218+0.3</f>
        <v/>
      </c>
      <c r="R219">
        <f>R218+0.05</f>
        <v/>
      </c>
      <c r="S219">
        <f>S218+0.01</f>
        <v/>
      </c>
      <c r="T219">
        <f>T218+0.7</f>
        <v/>
      </c>
      <c r="U219">
        <f>U218+1.1</f>
        <v/>
      </c>
      <c r="V219">
        <f>V218+0.25</f>
        <v/>
      </c>
      <c r="W219">
        <f>W218+0.5</f>
        <v/>
      </c>
    </row>
    <row r="220">
      <c r="E220">
        <f>O220=ROUND(209*0.1,10)</f>
        <v/>
      </c>
      <c r="F220">
        <f>P220=ROUND(209*0.2,10)</f>
        <v/>
      </c>
      <c r="G220">
        <f>Q220=ROUND(209*0.3,10)</f>
        <v/>
      </c>
      <c r="H220">
        <f>R220=ROUND(209*0.05,10)</f>
        <v/>
      </c>
      <c r="I220">
        <f>S220=ROUND(209*0.01,10)</f>
        <v/>
      </c>
      <c r="J220">
        <f>T220=ROUND(209*0.7,10)</f>
        <v/>
      </c>
      <c r="K220">
        <f>U220=ROUND(209*1.1,10)</f>
        <v/>
      </c>
      <c r="L220">
        <f>V220=ROUND(209*0.25,10)</f>
        <v/>
      </c>
      <c r="M220">
        <f>W220=ROUND(209*0.5,10)</f>
        <v/>
      </c>
      <c r="O220">
        <f>O219+0.1</f>
        <v/>
      </c>
      <c r="P220">
        <f>P219+0.2</f>
        <v/>
      </c>
      <c r="Q220">
        <f>Q219+0.3</f>
        <v/>
      </c>
      <c r="R220">
        <f>R219+0.05</f>
        <v/>
      </c>
      <c r="S220">
        <f>S219+0.01</f>
        <v/>
      </c>
      <c r="T220">
        <f>T219+0.7</f>
        <v/>
      </c>
      <c r="U220">
        <f>U219+1.1</f>
        <v/>
      </c>
      <c r="V220">
        <f>V219+0.25</f>
        <v/>
      </c>
      <c r="W220">
        <f>W219+0.5</f>
        <v/>
      </c>
    </row>
    <row r="221">
      <c r="E221">
        <f>O221=ROUND(210*0.1,10)</f>
        <v/>
      </c>
      <c r="F221">
        <f>P221=ROUND(210*0.2,10)</f>
        <v/>
      </c>
      <c r="G221">
        <f>Q221=ROUND(210*0.3,10)</f>
        <v/>
      </c>
      <c r="H221">
        <f>R221=ROUND(210*0.05,10)</f>
        <v/>
      </c>
      <c r="I221">
        <f>S221=ROUND(210*0.01,10)</f>
        <v/>
      </c>
      <c r="J221">
        <f>T221=ROUND(210*0.7,10)</f>
        <v/>
      </c>
      <c r="K221">
        <f>U221=ROUND(210*1.1,10)</f>
        <v/>
      </c>
      <c r="L221">
        <f>V221=ROUND(210*0.25,10)</f>
        <v/>
      </c>
      <c r="M221">
        <f>W221=ROUND(210*0.5,10)</f>
        <v/>
      </c>
      <c r="O221">
        <f>O220+0.1</f>
        <v/>
      </c>
      <c r="P221">
        <f>P220+0.2</f>
        <v/>
      </c>
      <c r="Q221">
        <f>Q220+0.3</f>
        <v/>
      </c>
      <c r="R221">
        <f>R220+0.05</f>
        <v/>
      </c>
      <c r="S221">
        <f>S220+0.01</f>
        <v/>
      </c>
      <c r="T221">
        <f>T220+0.7</f>
        <v/>
      </c>
      <c r="U221">
        <f>U220+1.1</f>
        <v/>
      </c>
      <c r="V221">
        <f>V220+0.25</f>
        <v/>
      </c>
      <c r="W221">
        <f>W220+0.5</f>
        <v/>
      </c>
    </row>
    <row r="222">
      <c r="E222">
        <f>O222=ROUND(211*0.1,10)</f>
        <v/>
      </c>
      <c r="F222">
        <f>P222=ROUND(211*0.2,10)</f>
        <v/>
      </c>
      <c r="G222">
        <f>Q222=ROUND(211*0.3,10)</f>
        <v/>
      </c>
      <c r="H222">
        <f>R222=ROUND(211*0.05,10)</f>
        <v/>
      </c>
      <c r="I222">
        <f>S222=ROUND(211*0.01,10)</f>
        <v/>
      </c>
      <c r="J222">
        <f>T222=ROUND(211*0.7,10)</f>
        <v/>
      </c>
      <c r="K222">
        <f>U222=ROUND(211*1.1,10)</f>
        <v/>
      </c>
      <c r="L222">
        <f>V222=ROUND(211*0.25,10)</f>
        <v/>
      </c>
      <c r="M222">
        <f>W222=ROUND(211*0.5,10)</f>
        <v/>
      </c>
      <c r="O222">
        <f>O221+0.1</f>
        <v/>
      </c>
      <c r="P222">
        <f>P221+0.2</f>
        <v/>
      </c>
      <c r="Q222">
        <f>Q221+0.3</f>
        <v/>
      </c>
      <c r="R222">
        <f>R221+0.05</f>
        <v/>
      </c>
      <c r="S222">
        <f>S221+0.01</f>
        <v/>
      </c>
      <c r="T222">
        <f>T221+0.7</f>
        <v/>
      </c>
      <c r="U222">
        <f>U221+1.1</f>
        <v/>
      </c>
      <c r="V222">
        <f>V221+0.25</f>
        <v/>
      </c>
      <c r="W222">
        <f>W221+0.5</f>
        <v/>
      </c>
    </row>
    <row r="223">
      <c r="E223">
        <f>O223=ROUND(212*0.1,10)</f>
        <v/>
      </c>
      <c r="F223">
        <f>P223=ROUND(212*0.2,10)</f>
        <v/>
      </c>
      <c r="G223">
        <f>Q223=ROUND(212*0.3,10)</f>
        <v/>
      </c>
      <c r="H223">
        <f>R223=ROUND(212*0.05,10)</f>
        <v/>
      </c>
      <c r="I223">
        <f>S223=ROUND(212*0.01,10)</f>
        <v/>
      </c>
      <c r="J223">
        <f>T223=ROUND(212*0.7,10)</f>
        <v/>
      </c>
      <c r="K223">
        <f>U223=ROUND(212*1.1,10)</f>
        <v/>
      </c>
      <c r="L223">
        <f>V223=ROUND(212*0.25,10)</f>
        <v/>
      </c>
      <c r="M223">
        <f>W223=ROUND(212*0.5,10)</f>
        <v/>
      </c>
      <c r="O223">
        <f>O222+0.1</f>
        <v/>
      </c>
      <c r="P223">
        <f>P222+0.2</f>
        <v/>
      </c>
      <c r="Q223">
        <f>Q222+0.3</f>
        <v/>
      </c>
      <c r="R223">
        <f>R222+0.05</f>
        <v/>
      </c>
      <c r="S223">
        <f>S222+0.01</f>
        <v/>
      </c>
      <c r="T223">
        <f>T222+0.7</f>
        <v/>
      </c>
      <c r="U223">
        <f>U222+1.1</f>
        <v/>
      </c>
      <c r="V223">
        <f>V222+0.25</f>
        <v/>
      </c>
      <c r="W223">
        <f>W222+0.5</f>
        <v/>
      </c>
    </row>
    <row r="224">
      <c r="E224">
        <f>O224=ROUND(213*0.1,10)</f>
        <v/>
      </c>
      <c r="F224">
        <f>P224=ROUND(213*0.2,10)</f>
        <v/>
      </c>
      <c r="G224">
        <f>Q224=ROUND(213*0.3,10)</f>
        <v/>
      </c>
      <c r="H224">
        <f>R224=ROUND(213*0.05,10)</f>
        <v/>
      </c>
      <c r="I224">
        <f>S224=ROUND(213*0.01,10)</f>
        <v/>
      </c>
      <c r="J224">
        <f>T224=ROUND(213*0.7,10)</f>
        <v/>
      </c>
      <c r="K224">
        <f>U224=ROUND(213*1.1,10)</f>
        <v/>
      </c>
      <c r="L224">
        <f>V224=ROUND(213*0.25,10)</f>
        <v/>
      </c>
      <c r="M224">
        <f>W224=ROUND(213*0.5,10)</f>
        <v/>
      </c>
      <c r="O224">
        <f>O223+0.1</f>
        <v/>
      </c>
      <c r="P224">
        <f>P223+0.2</f>
        <v/>
      </c>
      <c r="Q224">
        <f>Q223+0.3</f>
        <v/>
      </c>
      <c r="R224">
        <f>R223+0.05</f>
        <v/>
      </c>
      <c r="S224">
        <f>S223+0.01</f>
        <v/>
      </c>
      <c r="T224">
        <f>T223+0.7</f>
        <v/>
      </c>
      <c r="U224">
        <f>U223+1.1</f>
        <v/>
      </c>
      <c r="V224">
        <f>V223+0.25</f>
        <v/>
      </c>
      <c r="W224">
        <f>W223+0.5</f>
        <v/>
      </c>
    </row>
    <row r="225">
      <c r="E225">
        <f>O225=ROUND(214*0.1,10)</f>
        <v/>
      </c>
      <c r="F225">
        <f>P225=ROUND(214*0.2,10)</f>
        <v/>
      </c>
      <c r="G225">
        <f>Q225=ROUND(214*0.3,10)</f>
        <v/>
      </c>
      <c r="H225">
        <f>R225=ROUND(214*0.05,10)</f>
        <v/>
      </c>
      <c r="I225">
        <f>S225=ROUND(214*0.01,10)</f>
        <v/>
      </c>
      <c r="J225">
        <f>T225=ROUND(214*0.7,10)</f>
        <v/>
      </c>
      <c r="K225">
        <f>U225=ROUND(214*1.1,10)</f>
        <v/>
      </c>
      <c r="L225">
        <f>V225=ROUND(214*0.25,10)</f>
        <v/>
      </c>
      <c r="M225">
        <f>W225=ROUND(214*0.5,10)</f>
        <v/>
      </c>
      <c r="O225">
        <f>O224+0.1</f>
        <v/>
      </c>
      <c r="P225">
        <f>P224+0.2</f>
        <v/>
      </c>
      <c r="Q225">
        <f>Q224+0.3</f>
        <v/>
      </c>
      <c r="R225">
        <f>R224+0.05</f>
        <v/>
      </c>
      <c r="S225">
        <f>S224+0.01</f>
        <v/>
      </c>
      <c r="T225">
        <f>T224+0.7</f>
        <v/>
      </c>
      <c r="U225">
        <f>U224+1.1</f>
        <v/>
      </c>
      <c r="V225">
        <f>V224+0.25</f>
        <v/>
      </c>
      <c r="W225">
        <f>W224+0.5</f>
        <v/>
      </c>
    </row>
    <row r="226">
      <c r="E226">
        <f>O226=ROUND(215*0.1,10)</f>
        <v/>
      </c>
      <c r="F226">
        <f>P226=ROUND(215*0.2,10)</f>
        <v/>
      </c>
      <c r="G226">
        <f>Q226=ROUND(215*0.3,10)</f>
        <v/>
      </c>
      <c r="H226">
        <f>R226=ROUND(215*0.05,10)</f>
        <v/>
      </c>
      <c r="I226">
        <f>S226=ROUND(215*0.01,10)</f>
        <v/>
      </c>
      <c r="J226">
        <f>T226=ROUND(215*0.7,10)</f>
        <v/>
      </c>
      <c r="K226">
        <f>U226=ROUND(215*1.1,10)</f>
        <v/>
      </c>
      <c r="L226">
        <f>V226=ROUND(215*0.25,10)</f>
        <v/>
      </c>
      <c r="M226">
        <f>W226=ROUND(215*0.5,10)</f>
        <v/>
      </c>
      <c r="O226">
        <f>O225+0.1</f>
        <v/>
      </c>
      <c r="P226">
        <f>P225+0.2</f>
        <v/>
      </c>
      <c r="Q226">
        <f>Q225+0.3</f>
        <v/>
      </c>
      <c r="R226">
        <f>R225+0.05</f>
        <v/>
      </c>
      <c r="S226">
        <f>S225+0.01</f>
        <v/>
      </c>
      <c r="T226">
        <f>T225+0.7</f>
        <v/>
      </c>
      <c r="U226">
        <f>U225+1.1</f>
        <v/>
      </c>
      <c r="V226">
        <f>V225+0.25</f>
        <v/>
      </c>
      <c r="W226">
        <f>W225+0.5</f>
        <v/>
      </c>
    </row>
    <row r="227">
      <c r="E227">
        <f>O227=ROUND(216*0.1,10)</f>
        <v/>
      </c>
      <c r="F227">
        <f>P227=ROUND(216*0.2,10)</f>
        <v/>
      </c>
      <c r="G227">
        <f>Q227=ROUND(216*0.3,10)</f>
        <v/>
      </c>
      <c r="H227">
        <f>R227=ROUND(216*0.05,10)</f>
        <v/>
      </c>
      <c r="I227">
        <f>S227=ROUND(216*0.01,10)</f>
        <v/>
      </c>
      <c r="J227">
        <f>T227=ROUND(216*0.7,10)</f>
        <v/>
      </c>
      <c r="K227">
        <f>U227=ROUND(216*1.1,10)</f>
        <v/>
      </c>
      <c r="L227">
        <f>V227=ROUND(216*0.25,10)</f>
        <v/>
      </c>
      <c r="M227">
        <f>W227=ROUND(216*0.5,10)</f>
        <v/>
      </c>
      <c r="O227">
        <f>O226+0.1</f>
        <v/>
      </c>
      <c r="P227">
        <f>P226+0.2</f>
        <v/>
      </c>
      <c r="Q227">
        <f>Q226+0.3</f>
        <v/>
      </c>
      <c r="R227">
        <f>R226+0.05</f>
        <v/>
      </c>
      <c r="S227">
        <f>S226+0.01</f>
        <v/>
      </c>
      <c r="T227">
        <f>T226+0.7</f>
        <v/>
      </c>
      <c r="U227">
        <f>U226+1.1</f>
        <v/>
      </c>
      <c r="V227">
        <f>V226+0.25</f>
        <v/>
      </c>
      <c r="W227">
        <f>W226+0.5</f>
        <v/>
      </c>
    </row>
    <row r="228">
      <c r="E228">
        <f>O228=ROUND(217*0.1,10)</f>
        <v/>
      </c>
      <c r="F228">
        <f>P228=ROUND(217*0.2,10)</f>
        <v/>
      </c>
      <c r="G228">
        <f>Q228=ROUND(217*0.3,10)</f>
        <v/>
      </c>
      <c r="H228">
        <f>R228=ROUND(217*0.05,10)</f>
        <v/>
      </c>
      <c r="I228">
        <f>S228=ROUND(217*0.01,10)</f>
        <v/>
      </c>
      <c r="J228">
        <f>T228=ROUND(217*0.7,10)</f>
        <v/>
      </c>
      <c r="K228">
        <f>U228=ROUND(217*1.1,10)</f>
        <v/>
      </c>
      <c r="L228">
        <f>V228=ROUND(217*0.25,10)</f>
        <v/>
      </c>
      <c r="M228">
        <f>W228=ROUND(217*0.5,10)</f>
        <v/>
      </c>
      <c r="O228">
        <f>O227+0.1</f>
        <v/>
      </c>
      <c r="P228">
        <f>P227+0.2</f>
        <v/>
      </c>
      <c r="Q228">
        <f>Q227+0.3</f>
        <v/>
      </c>
      <c r="R228">
        <f>R227+0.05</f>
        <v/>
      </c>
      <c r="S228">
        <f>S227+0.01</f>
        <v/>
      </c>
      <c r="T228">
        <f>T227+0.7</f>
        <v/>
      </c>
      <c r="U228">
        <f>U227+1.1</f>
        <v/>
      </c>
      <c r="V228">
        <f>V227+0.25</f>
        <v/>
      </c>
      <c r="W228">
        <f>W227+0.5</f>
        <v/>
      </c>
    </row>
    <row r="229">
      <c r="E229">
        <f>O229=ROUND(218*0.1,10)</f>
        <v/>
      </c>
      <c r="F229">
        <f>P229=ROUND(218*0.2,10)</f>
        <v/>
      </c>
      <c r="G229">
        <f>Q229=ROUND(218*0.3,10)</f>
        <v/>
      </c>
      <c r="H229">
        <f>R229=ROUND(218*0.05,10)</f>
        <v/>
      </c>
      <c r="I229">
        <f>S229=ROUND(218*0.01,10)</f>
        <v/>
      </c>
      <c r="J229">
        <f>T229=ROUND(218*0.7,10)</f>
        <v/>
      </c>
      <c r="K229">
        <f>U229=ROUND(218*1.1,10)</f>
        <v/>
      </c>
      <c r="L229">
        <f>V229=ROUND(218*0.25,10)</f>
        <v/>
      </c>
      <c r="M229">
        <f>W229=ROUND(218*0.5,10)</f>
        <v/>
      </c>
      <c r="O229">
        <f>O228+0.1</f>
        <v/>
      </c>
      <c r="P229">
        <f>P228+0.2</f>
        <v/>
      </c>
      <c r="Q229">
        <f>Q228+0.3</f>
        <v/>
      </c>
      <c r="R229">
        <f>R228+0.05</f>
        <v/>
      </c>
      <c r="S229">
        <f>S228+0.01</f>
        <v/>
      </c>
      <c r="T229">
        <f>T228+0.7</f>
        <v/>
      </c>
      <c r="U229">
        <f>U228+1.1</f>
        <v/>
      </c>
      <c r="V229">
        <f>V228+0.25</f>
        <v/>
      </c>
      <c r="W229">
        <f>W228+0.5</f>
        <v/>
      </c>
    </row>
    <row r="230">
      <c r="E230">
        <f>O230=ROUND(219*0.1,10)</f>
        <v/>
      </c>
      <c r="F230">
        <f>P230=ROUND(219*0.2,10)</f>
        <v/>
      </c>
      <c r="G230">
        <f>Q230=ROUND(219*0.3,10)</f>
        <v/>
      </c>
      <c r="H230">
        <f>R230=ROUND(219*0.05,10)</f>
        <v/>
      </c>
      <c r="I230">
        <f>S230=ROUND(219*0.01,10)</f>
        <v/>
      </c>
      <c r="J230">
        <f>T230=ROUND(219*0.7,10)</f>
        <v/>
      </c>
      <c r="K230">
        <f>U230=ROUND(219*1.1,10)</f>
        <v/>
      </c>
      <c r="L230">
        <f>V230=ROUND(219*0.25,10)</f>
        <v/>
      </c>
      <c r="M230">
        <f>W230=ROUND(219*0.5,10)</f>
        <v/>
      </c>
      <c r="O230">
        <f>O229+0.1</f>
        <v/>
      </c>
      <c r="P230">
        <f>P229+0.2</f>
        <v/>
      </c>
      <c r="Q230">
        <f>Q229+0.3</f>
        <v/>
      </c>
      <c r="R230">
        <f>R229+0.05</f>
        <v/>
      </c>
      <c r="S230">
        <f>S229+0.01</f>
        <v/>
      </c>
      <c r="T230">
        <f>T229+0.7</f>
        <v/>
      </c>
      <c r="U230">
        <f>U229+1.1</f>
        <v/>
      </c>
      <c r="V230">
        <f>V229+0.25</f>
        <v/>
      </c>
      <c r="W230">
        <f>W229+0.5</f>
        <v/>
      </c>
    </row>
    <row r="231">
      <c r="E231">
        <f>O231=ROUND(220*0.1,10)</f>
        <v/>
      </c>
      <c r="F231">
        <f>P231=ROUND(220*0.2,10)</f>
        <v/>
      </c>
      <c r="G231">
        <f>Q231=ROUND(220*0.3,10)</f>
        <v/>
      </c>
      <c r="H231">
        <f>R231=ROUND(220*0.05,10)</f>
        <v/>
      </c>
      <c r="I231">
        <f>S231=ROUND(220*0.01,10)</f>
        <v/>
      </c>
      <c r="J231">
        <f>T231=ROUND(220*0.7,10)</f>
        <v/>
      </c>
      <c r="K231">
        <f>U231=ROUND(220*1.1,10)</f>
        <v/>
      </c>
      <c r="L231">
        <f>V231=ROUND(220*0.25,10)</f>
        <v/>
      </c>
      <c r="M231">
        <f>W231=ROUND(220*0.5,10)</f>
        <v/>
      </c>
      <c r="O231">
        <f>O230+0.1</f>
        <v/>
      </c>
      <c r="P231">
        <f>P230+0.2</f>
        <v/>
      </c>
      <c r="Q231">
        <f>Q230+0.3</f>
        <v/>
      </c>
      <c r="R231">
        <f>R230+0.05</f>
        <v/>
      </c>
      <c r="S231">
        <f>S230+0.01</f>
        <v/>
      </c>
      <c r="T231">
        <f>T230+0.7</f>
        <v/>
      </c>
      <c r="U231">
        <f>U230+1.1</f>
        <v/>
      </c>
      <c r="V231">
        <f>V230+0.25</f>
        <v/>
      </c>
      <c r="W231">
        <f>W230+0.5</f>
        <v/>
      </c>
    </row>
    <row r="232">
      <c r="E232">
        <f>O232=ROUND(221*0.1,10)</f>
        <v/>
      </c>
      <c r="F232">
        <f>P232=ROUND(221*0.2,10)</f>
        <v/>
      </c>
      <c r="G232">
        <f>Q232=ROUND(221*0.3,10)</f>
        <v/>
      </c>
      <c r="H232">
        <f>R232=ROUND(221*0.05,10)</f>
        <v/>
      </c>
      <c r="I232">
        <f>S232=ROUND(221*0.01,10)</f>
        <v/>
      </c>
      <c r="J232">
        <f>T232=ROUND(221*0.7,10)</f>
        <v/>
      </c>
      <c r="K232">
        <f>U232=ROUND(221*1.1,10)</f>
        <v/>
      </c>
      <c r="L232">
        <f>V232=ROUND(221*0.25,10)</f>
        <v/>
      </c>
      <c r="M232">
        <f>W232=ROUND(221*0.5,10)</f>
        <v/>
      </c>
      <c r="O232">
        <f>O231+0.1</f>
        <v/>
      </c>
      <c r="P232">
        <f>P231+0.2</f>
        <v/>
      </c>
      <c r="Q232">
        <f>Q231+0.3</f>
        <v/>
      </c>
      <c r="R232">
        <f>R231+0.05</f>
        <v/>
      </c>
      <c r="S232">
        <f>S231+0.01</f>
        <v/>
      </c>
      <c r="T232">
        <f>T231+0.7</f>
        <v/>
      </c>
      <c r="U232">
        <f>U231+1.1</f>
        <v/>
      </c>
      <c r="V232">
        <f>V231+0.25</f>
        <v/>
      </c>
      <c r="W232">
        <f>W231+0.5</f>
        <v/>
      </c>
    </row>
    <row r="233">
      <c r="E233">
        <f>O233=ROUND(222*0.1,10)</f>
        <v/>
      </c>
      <c r="F233">
        <f>P233=ROUND(222*0.2,10)</f>
        <v/>
      </c>
      <c r="G233">
        <f>Q233=ROUND(222*0.3,10)</f>
        <v/>
      </c>
      <c r="H233">
        <f>R233=ROUND(222*0.05,10)</f>
        <v/>
      </c>
      <c r="I233">
        <f>S233=ROUND(222*0.01,10)</f>
        <v/>
      </c>
      <c r="J233">
        <f>T233=ROUND(222*0.7,10)</f>
        <v/>
      </c>
      <c r="K233">
        <f>U233=ROUND(222*1.1,10)</f>
        <v/>
      </c>
      <c r="L233">
        <f>V233=ROUND(222*0.25,10)</f>
        <v/>
      </c>
      <c r="M233">
        <f>W233=ROUND(222*0.5,10)</f>
        <v/>
      </c>
      <c r="O233">
        <f>O232+0.1</f>
        <v/>
      </c>
      <c r="P233">
        <f>P232+0.2</f>
        <v/>
      </c>
      <c r="Q233">
        <f>Q232+0.3</f>
        <v/>
      </c>
      <c r="R233">
        <f>R232+0.05</f>
        <v/>
      </c>
      <c r="S233">
        <f>S232+0.01</f>
        <v/>
      </c>
      <c r="T233">
        <f>T232+0.7</f>
        <v/>
      </c>
      <c r="U233">
        <f>U232+1.1</f>
        <v/>
      </c>
      <c r="V233">
        <f>V232+0.25</f>
        <v/>
      </c>
      <c r="W233">
        <f>W232+0.5</f>
        <v/>
      </c>
    </row>
    <row r="234">
      <c r="E234">
        <f>O234=ROUND(223*0.1,10)</f>
        <v/>
      </c>
      <c r="F234">
        <f>P234=ROUND(223*0.2,10)</f>
        <v/>
      </c>
      <c r="G234">
        <f>Q234=ROUND(223*0.3,10)</f>
        <v/>
      </c>
      <c r="H234">
        <f>R234=ROUND(223*0.05,10)</f>
        <v/>
      </c>
      <c r="I234">
        <f>S234=ROUND(223*0.01,10)</f>
        <v/>
      </c>
      <c r="J234">
        <f>T234=ROUND(223*0.7,10)</f>
        <v/>
      </c>
      <c r="K234">
        <f>U234=ROUND(223*1.1,10)</f>
        <v/>
      </c>
      <c r="L234">
        <f>V234=ROUND(223*0.25,10)</f>
        <v/>
      </c>
      <c r="M234">
        <f>W234=ROUND(223*0.5,10)</f>
        <v/>
      </c>
      <c r="O234">
        <f>O233+0.1</f>
        <v/>
      </c>
      <c r="P234">
        <f>P233+0.2</f>
        <v/>
      </c>
      <c r="Q234">
        <f>Q233+0.3</f>
        <v/>
      </c>
      <c r="R234">
        <f>R233+0.05</f>
        <v/>
      </c>
      <c r="S234">
        <f>S233+0.01</f>
        <v/>
      </c>
      <c r="T234">
        <f>T233+0.7</f>
        <v/>
      </c>
      <c r="U234">
        <f>U233+1.1</f>
        <v/>
      </c>
      <c r="V234">
        <f>V233+0.25</f>
        <v/>
      </c>
      <c r="W234">
        <f>W233+0.5</f>
        <v/>
      </c>
    </row>
    <row r="235">
      <c r="E235">
        <f>O235=ROUND(224*0.1,10)</f>
        <v/>
      </c>
      <c r="F235">
        <f>P235=ROUND(224*0.2,10)</f>
        <v/>
      </c>
      <c r="G235">
        <f>Q235=ROUND(224*0.3,10)</f>
        <v/>
      </c>
      <c r="H235">
        <f>R235=ROUND(224*0.05,10)</f>
        <v/>
      </c>
      <c r="I235">
        <f>S235=ROUND(224*0.01,10)</f>
        <v/>
      </c>
      <c r="J235">
        <f>T235=ROUND(224*0.7,10)</f>
        <v/>
      </c>
      <c r="K235">
        <f>U235=ROUND(224*1.1,10)</f>
        <v/>
      </c>
      <c r="L235">
        <f>V235=ROUND(224*0.25,10)</f>
        <v/>
      </c>
      <c r="M235">
        <f>W235=ROUND(224*0.5,10)</f>
        <v/>
      </c>
      <c r="O235">
        <f>O234+0.1</f>
        <v/>
      </c>
      <c r="P235">
        <f>P234+0.2</f>
        <v/>
      </c>
      <c r="Q235">
        <f>Q234+0.3</f>
        <v/>
      </c>
      <c r="R235">
        <f>R234+0.05</f>
        <v/>
      </c>
      <c r="S235">
        <f>S234+0.01</f>
        <v/>
      </c>
      <c r="T235">
        <f>T234+0.7</f>
        <v/>
      </c>
      <c r="U235">
        <f>U234+1.1</f>
        <v/>
      </c>
      <c r="V235">
        <f>V234+0.25</f>
        <v/>
      </c>
      <c r="W235">
        <f>W234+0.5</f>
        <v/>
      </c>
    </row>
    <row r="236">
      <c r="E236">
        <f>O236=ROUND(225*0.1,10)</f>
        <v/>
      </c>
      <c r="F236">
        <f>P236=ROUND(225*0.2,10)</f>
        <v/>
      </c>
      <c r="G236">
        <f>Q236=ROUND(225*0.3,10)</f>
        <v/>
      </c>
      <c r="H236">
        <f>R236=ROUND(225*0.05,10)</f>
        <v/>
      </c>
      <c r="I236">
        <f>S236=ROUND(225*0.01,10)</f>
        <v/>
      </c>
      <c r="J236">
        <f>T236=ROUND(225*0.7,10)</f>
        <v/>
      </c>
      <c r="K236">
        <f>U236=ROUND(225*1.1,10)</f>
        <v/>
      </c>
      <c r="L236">
        <f>V236=ROUND(225*0.25,10)</f>
        <v/>
      </c>
      <c r="M236">
        <f>W236=ROUND(225*0.5,10)</f>
        <v/>
      </c>
      <c r="O236">
        <f>O235+0.1</f>
        <v/>
      </c>
      <c r="P236">
        <f>P235+0.2</f>
        <v/>
      </c>
      <c r="Q236">
        <f>Q235+0.3</f>
        <v/>
      </c>
      <c r="R236">
        <f>R235+0.05</f>
        <v/>
      </c>
      <c r="S236">
        <f>S235+0.01</f>
        <v/>
      </c>
      <c r="T236">
        <f>T235+0.7</f>
        <v/>
      </c>
      <c r="U236">
        <f>U235+1.1</f>
        <v/>
      </c>
      <c r="V236">
        <f>V235+0.25</f>
        <v/>
      </c>
      <c r="W236">
        <f>W235+0.5</f>
        <v/>
      </c>
    </row>
    <row r="237">
      <c r="E237">
        <f>O237=ROUND(226*0.1,10)</f>
        <v/>
      </c>
      <c r="F237">
        <f>P237=ROUND(226*0.2,10)</f>
        <v/>
      </c>
      <c r="G237">
        <f>Q237=ROUND(226*0.3,10)</f>
        <v/>
      </c>
      <c r="H237">
        <f>R237=ROUND(226*0.05,10)</f>
        <v/>
      </c>
      <c r="I237">
        <f>S237=ROUND(226*0.01,10)</f>
        <v/>
      </c>
      <c r="J237">
        <f>T237=ROUND(226*0.7,10)</f>
        <v/>
      </c>
      <c r="K237">
        <f>U237=ROUND(226*1.1,10)</f>
        <v/>
      </c>
      <c r="L237">
        <f>V237=ROUND(226*0.25,10)</f>
        <v/>
      </c>
      <c r="M237">
        <f>W237=ROUND(226*0.5,10)</f>
        <v/>
      </c>
      <c r="O237">
        <f>O236+0.1</f>
        <v/>
      </c>
      <c r="P237">
        <f>P236+0.2</f>
        <v/>
      </c>
      <c r="Q237">
        <f>Q236+0.3</f>
        <v/>
      </c>
      <c r="R237">
        <f>R236+0.05</f>
        <v/>
      </c>
      <c r="S237">
        <f>S236+0.01</f>
        <v/>
      </c>
      <c r="T237">
        <f>T236+0.7</f>
        <v/>
      </c>
      <c r="U237">
        <f>U236+1.1</f>
        <v/>
      </c>
      <c r="V237">
        <f>V236+0.25</f>
        <v/>
      </c>
      <c r="W237">
        <f>W236+0.5</f>
        <v/>
      </c>
    </row>
    <row r="238">
      <c r="E238">
        <f>O238=ROUND(227*0.1,10)</f>
        <v/>
      </c>
      <c r="F238">
        <f>P238=ROUND(227*0.2,10)</f>
        <v/>
      </c>
      <c r="G238">
        <f>Q238=ROUND(227*0.3,10)</f>
        <v/>
      </c>
      <c r="H238">
        <f>R238=ROUND(227*0.05,10)</f>
        <v/>
      </c>
      <c r="I238">
        <f>S238=ROUND(227*0.01,10)</f>
        <v/>
      </c>
      <c r="J238">
        <f>T238=ROUND(227*0.7,10)</f>
        <v/>
      </c>
      <c r="K238">
        <f>U238=ROUND(227*1.1,10)</f>
        <v/>
      </c>
      <c r="L238">
        <f>V238=ROUND(227*0.25,10)</f>
        <v/>
      </c>
      <c r="M238">
        <f>W238=ROUND(227*0.5,10)</f>
        <v/>
      </c>
      <c r="O238">
        <f>O237+0.1</f>
        <v/>
      </c>
      <c r="P238">
        <f>P237+0.2</f>
        <v/>
      </c>
      <c r="Q238">
        <f>Q237+0.3</f>
        <v/>
      </c>
      <c r="R238">
        <f>R237+0.05</f>
        <v/>
      </c>
      <c r="S238">
        <f>S237+0.01</f>
        <v/>
      </c>
      <c r="T238">
        <f>T237+0.7</f>
        <v/>
      </c>
      <c r="U238">
        <f>U237+1.1</f>
        <v/>
      </c>
      <c r="V238">
        <f>V237+0.25</f>
        <v/>
      </c>
      <c r="W238">
        <f>W237+0.5</f>
        <v/>
      </c>
    </row>
    <row r="239">
      <c r="E239">
        <f>O239=ROUND(228*0.1,10)</f>
        <v/>
      </c>
      <c r="F239">
        <f>P239=ROUND(228*0.2,10)</f>
        <v/>
      </c>
      <c r="G239">
        <f>Q239=ROUND(228*0.3,10)</f>
        <v/>
      </c>
      <c r="H239">
        <f>R239=ROUND(228*0.05,10)</f>
        <v/>
      </c>
      <c r="I239">
        <f>S239=ROUND(228*0.01,10)</f>
        <v/>
      </c>
      <c r="J239">
        <f>T239=ROUND(228*0.7,10)</f>
        <v/>
      </c>
      <c r="K239">
        <f>U239=ROUND(228*1.1,10)</f>
        <v/>
      </c>
      <c r="L239">
        <f>V239=ROUND(228*0.25,10)</f>
        <v/>
      </c>
      <c r="M239">
        <f>W239=ROUND(228*0.5,10)</f>
        <v/>
      </c>
      <c r="O239">
        <f>O238+0.1</f>
        <v/>
      </c>
      <c r="P239">
        <f>P238+0.2</f>
        <v/>
      </c>
      <c r="Q239">
        <f>Q238+0.3</f>
        <v/>
      </c>
      <c r="R239">
        <f>R238+0.05</f>
        <v/>
      </c>
      <c r="S239">
        <f>S238+0.01</f>
        <v/>
      </c>
      <c r="T239">
        <f>T238+0.7</f>
        <v/>
      </c>
      <c r="U239">
        <f>U238+1.1</f>
        <v/>
      </c>
      <c r="V239">
        <f>V238+0.25</f>
        <v/>
      </c>
      <c r="W239">
        <f>W238+0.5</f>
        <v/>
      </c>
    </row>
    <row r="240">
      <c r="E240">
        <f>O240=ROUND(229*0.1,10)</f>
        <v/>
      </c>
      <c r="F240">
        <f>P240=ROUND(229*0.2,10)</f>
        <v/>
      </c>
      <c r="G240">
        <f>Q240=ROUND(229*0.3,10)</f>
        <v/>
      </c>
      <c r="H240">
        <f>R240=ROUND(229*0.05,10)</f>
        <v/>
      </c>
      <c r="I240">
        <f>S240=ROUND(229*0.01,10)</f>
        <v/>
      </c>
      <c r="J240">
        <f>T240=ROUND(229*0.7,10)</f>
        <v/>
      </c>
      <c r="K240">
        <f>U240=ROUND(229*1.1,10)</f>
        <v/>
      </c>
      <c r="L240">
        <f>V240=ROUND(229*0.25,10)</f>
        <v/>
      </c>
      <c r="M240">
        <f>W240=ROUND(229*0.5,10)</f>
        <v/>
      </c>
      <c r="O240">
        <f>O239+0.1</f>
        <v/>
      </c>
      <c r="P240">
        <f>P239+0.2</f>
        <v/>
      </c>
      <c r="Q240">
        <f>Q239+0.3</f>
        <v/>
      </c>
      <c r="R240">
        <f>R239+0.05</f>
        <v/>
      </c>
      <c r="S240">
        <f>S239+0.01</f>
        <v/>
      </c>
      <c r="T240">
        <f>T239+0.7</f>
        <v/>
      </c>
      <c r="U240">
        <f>U239+1.1</f>
        <v/>
      </c>
      <c r="V240">
        <f>V239+0.25</f>
        <v/>
      </c>
      <c r="W240">
        <f>W239+0.5</f>
        <v/>
      </c>
    </row>
    <row r="241">
      <c r="E241">
        <f>O241=ROUND(230*0.1,10)</f>
        <v/>
      </c>
      <c r="F241">
        <f>P241=ROUND(230*0.2,10)</f>
        <v/>
      </c>
      <c r="G241">
        <f>Q241=ROUND(230*0.3,10)</f>
        <v/>
      </c>
      <c r="H241">
        <f>R241=ROUND(230*0.05,10)</f>
        <v/>
      </c>
      <c r="I241">
        <f>S241=ROUND(230*0.01,10)</f>
        <v/>
      </c>
      <c r="J241">
        <f>T241=ROUND(230*0.7,10)</f>
        <v/>
      </c>
      <c r="K241">
        <f>U241=ROUND(230*1.1,10)</f>
        <v/>
      </c>
      <c r="L241">
        <f>V241=ROUND(230*0.25,10)</f>
        <v/>
      </c>
      <c r="M241">
        <f>W241=ROUND(230*0.5,10)</f>
        <v/>
      </c>
      <c r="O241">
        <f>O240+0.1</f>
        <v/>
      </c>
      <c r="P241">
        <f>P240+0.2</f>
        <v/>
      </c>
      <c r="Q241">
        <f>Q240+0.3</f>
        <v/>
      </c>
      <c r="R241">
        <f>R240+0.05</f>
        <v/>
      </c>
      <c r="S241">
        <f>S240+0.01</f>
        <v/>
      </c>
      <c r="T241">
        <f>T240+0.7</f>
        <v/>
      </c>
      <c r="U241">
        <f>U240+1.1</f>
        <v/>
      </c>
      <c r="V241">
        <f>V240+0.25</f>
        <v/>
      </c>
      <c r="W241">
        <f>W240+0.5</f>
        <v/>
      </c>
    </row>
    <row r="242">
      <c r="E242">
        <f>O242=ROUND(231*0.1,10)</f>
        <v/>
      </c>
      <c r="F242">
        <f>P242=ROUND(231*0.2,10)</f>
        <v/>
      </c>
      <c r="G242">
        <f>Q242=ROUND(231*0.3,10)</f>
        <v/>
      </c>
      <c r="H242">
        <f>R242=ROUND(231*0.05,10)</f>
        <v/>
      </c>
      <c r="I242">
        <f>S242=ROUND(231*0.01,10)</f>
        <v/>
      </c>
      <c r="J242">
        <f>T242=ROUND(231*0.7,10)</f>
        <v/>
      </c>
      <c r="K242">
        <f>U242=ROUND(231*1.1,10)</f>
        <v/>
      </c>
      <c r="L242">
        <f>V242=ROUND(231*0.25,10)</f>
        <v/>
      </c>
      <c r="M242">
        <f>W242=ROUND(231*0.5,10)</f>
        <v/>
      </c>
      <c r="O242">
        <f>O241+0.1</f>
        <v/>
      </c>
      <c r="P242">
        <f>P241+0.2</f>
        <v/>
      </c>
      <c r="Q242">
        <f>Q241+0.3</f>
        <v/>
      </c>
      <c r="R242">
        <f>R241+0.05</f>
        <v/>
      </c>
      <c r="S242">
        <f>S241+0.01</f>
        <v/>
      </c>
      <c r="T242">
        <f>T241+0.7</f>
        <v/>
      </c>
      <c r="U242">
        <f>U241+1.1</f>
        <v/>
      </c>
      <c r="V242">
        <f>V241+0.25</f>
        <v/>
      </c>
      <c r="W242">
        <f>W241+0.5</f>
        <v/>
      </c>
    </row>
    <row r="243">
      <c r="E243">
        <f>O243=ROUND(232*0.1,10)</f>
        <v/>
      </c>
      <c r="F243">
        <f>P243=ROUND(232*0.2,10)</f>
        <v/>
      </c>
      <c r="G243">
        <f>Q243=ROUND(232*0.3,10)</f>
        <v/>
      </c>
      <c r="H243">
        <f>R243=ROUND(232*0.05,10)</f>
        <v/>
      </c>
      <c r="I243">
        <f>S243=ROUND(232*0.01,10)</f>
        <v/>
      </c>
      <c r="J243">
        <f>T243=ROUND(232*0.7,10)</f>
        <v/>
      </c>
      <c r="K243">
        <f>U243=ROUND(232*1.1,10)</f>
        <v/>
      </c>
      <c r="L243">
        <f>V243=ROUND(232*0.25,10)</f>
        <v/>
      </c>
      <c r="M243">
        <f>W243=ROUND(232*0.5,10)</f>
        <v/>
      </c>
      <c r="O243">
        <f>O242+0.1</f>
        <v/>
      </c>
      <c r="P243">
        <f>P242+0.2</f>
        <v/>
      </c>
      <c r="Q243">
        <f>Q242+0.3</f>
        <v/>
      </c>
      <c r="R243">
        <f>R242+0.05</f>
        <v/>
      </c>
      <c r="S243">
        <f>S242+0.01</f>
        <v/>
      </c>
      <c r="T243">
        <f>T242+0.7</f>
        <v/>
      </c>
      <c r="U243">
        <f>U242+1.1</f>
        <v/>
      </c>
      <c r="V243">
        <f>V242+0.25</f>
        <v/>
      </c>
      <c r="W243">
        <f>W242+0.5</f>
        <v/>
      </c>
    </row>
    <row r="244">
      <c r="E244">
        <f>O244=ROUND(233*0.1,10)</f>
        <v/>
      </c>
      <c r="F244">
        <f>P244=ROUND(233*0.2,10)</f>
        <v/>
      </c>
      <c r="G244">
        <f>Q244=ROUND(233*0.3,10)</f>
        <v/>
      </c>
      <c r="H244">
        <f>R244=ROUND(233*0.05,10)</f>
        <v/>
      </c>
      <c r="I244">
        <f>S244=ROUND(233*0.01,10)</f>
        <v/>
      </c>
      <c r="J244">
        <f>T244=ROUND(233*0.7,10)</f>
        <v/>
      </c>
      <c r="K244">
        <f>U244=ROUND(233*1.1,10)</f>
        <v/>
      </c>
      <c r="L244">
        <f>V244=ROUND(233*0.25,10)</f>
        <v/>
      </c>
      <c r="M244">
        <f>W244=ROUND(233*0.5,10)</f>
        <v/>
      </c>
      <c r="O244">
        <f>O243+0.1</f>
        <v/>
      </c>
      <c r="P244">
        <f>P243+0.2</f>
        <v/>
      </c>
      <c r="Q244">
        <f>Q243+0.3</f>
        <v/>
      </c>
      <c r="R244">
        <f>R243+0.05</f>
        <v/>
      </c>
      <c r="S244">
        <f>S243+0.01</f>
        <v/>
      </c>
      <c r="T244">
        <f>T243+0.7</f>
        <v/>
      </c>
      <c r="U244">
        <f>U243+1.1</f>
        <v/>
      </c>
      <c r="V244">
        <f>V243+0.25</f>
        <v/>
      </c>
      <c r="W244">
        <f>W243+0.5</f>
        <v/>
      </c>
    </row>
    <row r="245">
      <c r="E245">
        <f>O245=ROUND(234*0.1,10)</f>
        <v/>
      </c>
      <c r="F245">
        <f>P245=ROUND(234*0.2,10)</f>
        <v/>
      </c>
      <c r="G245">
        <f>Q245=ROUND(234*0.3,10)</f>
        <v/>
      </c>
      <c r="H245">
        <f>R245=ROUND(234*0.05,10)</f>
        <v/>
      </c>
      <c r="I245">
        <f>S245=ROUND(234*0.01,10)</f>
        <v/>
      </c>
      <c r="J245">
        <f>T245=ROUND(234*0.7,10)</f>
        <v/>
      </c>
      <c r="K245">
        <f>U245=ROUND(234*1.1,10)</f>
        <v/>
      </c>
      <c r="L245">
        <f>V245=ROUND(234*0.25,10)</f>
        <v/>
      </c>
      <c r="M245">
        <f>W245=ROUND(234*0.5,10)</f>
        <v/>
      </c>
      <c r="O245">
        <f>O244+0.1</f>
        <v/>
      </c>
      <c r="P245">
        <f>P244+0.2</f>
        <v/>
      </c>
      <c r="Q245">
        <f>Q244+0.3</f>
        <v/>
      </c>
      <c r="R245">
        <f>R244+0.05</f>
        <v/>
      </c>
      <c r="S245">
        <f>S244+0.01</f>
        <v/>
      </c>
      <c r="T245">
        <f>T244+0.7</f>
        <v/>
      </c>
      <c r="U245">
        <f>U244+1.1</f>
        <v/>
      </c>
      <c r="V245">
        <f>V244+0.25</f>
        <v/>
      </c>
      <c r="W245">
        <f>W244+0.5</f>
        <v/>
      </c>
    </row>
    <row r="246">
      <c r="E246">
        <f>O246=ROUND(235*0.1,10)</f>
        <v/>
      </c>
      <c r="F246">
        <f>P246=ROUND(235*0.2,10)</f>
        <v/>
      </c>
      <c r="G246">
        <f>Q246=ROUND(235*0.3,10)</f>
        <v/>
      </c>
      <c r="H246">
        <f>R246=ROUND(235*0.05,10)</f>
        <v/>
      </c>
      <c r="I246">
        <f>S246=ROUND(235*0.01,10)</f>
        <v/>
      </c>
      <c r="J246">
        <f>T246=ROUND(235*0.7,10)</f>
        <v/>
      </c>
      <c r="K246">
        <f>U246=ROUND(235*1.1,10)</f>
        <v/>
      </c>
      <c r="L246">
        <f>V246=ROUND(235*0.25,10)</f>
        <v/>
      </c>
      <c r="M246">
        <f>W246=ROUND(235*0.5,10)</f>
        <v/>
      </c>
      <c r="O246">
        <f>O245+0.1</f>
        <v/>
      </c>
      <c r="P246">
        <f>P245+0.2</f>
        <v/>
      </c>
      <c r="Q246">
        <f>Q245+0.3</f>
        <v/>
      </c>
      <c r="R246">
        <f>R245+0.05</f>
        <v/>
      </c>
      <c r="S246">
        <f>S245+0.01</f>
        <v/>
      </c>
      <c r="T246">
        <f>T245+0.7</f>
        <v/>
      </c>
      <c r="U246">
        <f>U245+1.1</f>
        <v/>
      </c>
      <c r="V246">
        <f>V245+0.25</f>
        <v/>
      </c>
      <c r="W246">
        <f>W245+0.5</f>
        <v/>
      </c>
    </row>
    <row r="247">
      <c r="E247">
        <f>O247=ROUND(236*0.1,10)</f>
        <v/>
      </c>
      <c r="F247">
        <f>P247=ROUND(236*0.2,10)</f>
        <v/>
      </c>
      <c r="G247">
        <f>Q247=ROUND(236*0.3,10)</f>
        <v/>
      </c>
      <c r="H247">
        <f>R247=ROUND(236*0.05,10)</f>
        <v/>
      </c>
      <c r="I247">
        <f>S247=ROUND(236*0.01,10)</f>
        <v/>
      </c>
      <c r="J247">
        <f>T247=ROUND(236*0.7,10)</f>
        <v/>
      </c>
      <c r="K247">
        <f>U247=ROUND(236*1.1,10)</f>
        <v/>
      </c>
      <c r="L247">
        <f>V247=ROUND(236*0.25,10)</f>
        <v/>
      </c>
      <c r="M247">
        <f>W247=ROUND(236*0.5,10)</f>
        <v/>
      </c>
      <c r="O247">
        <f>O246+0.1</f>
        <v/>
      </c>
      <c r="P247">
        <f>P246+0.2</f>
        <v/>
      </c>
      <c r="Q247">
        <f>Q246+0.3</f>
        <v/>
      </c>
      <c r="R247">
        <f>R246+0.05</f>
        <v/>
      </c>
      <c r="S247">
        <f>S246+0.01</f>
        <v/>
      </c>
      <c r="T247">
        <f>T246+0.7</f>
        <v/>
      </c>
      <c r="U247">
        <f>U246+1.1</f>
        <v/>
      </c>
      <c r="V247">
        <f>V246+0.25</f>
        <v/>
      </c>
      <c r="W247">
        <f>W246+0.5</f>
        <v/>
      </c>
    </row>
    <row r="248">
      <c r="E248">
        <f>O248=ROUND(237*0.1,10)</f>
        <v/>
      </c>
      <c r="F248">
        <f>P248=ROUND(237*0.2,10)</f>
        <v/>
      </c>
      <c r="G248">
        <f>Q248=ROUND(237*0.3,10)</f>
        <v/>
      </c>
      <c r="H248">
        <f>R248=ROUND(237*0.05,10)</f>
        <v/>
      </c>
      <c r="I248">
        <f>S248=ROUND(237*0.01,10)</f>
        <v/>
      </c>
      <c r="J248">
        <f>T248=ROUND(237*0.7,10)</f>
        <v/>
      </c>
      <c r="K248">
        <f>U248=ROUND(237*1.1,10)</f>
        <v/>
      </c>
      <c r="L248">
        <f>V248=ROUND(237*0.25,10)</f>
        <v/>
      </c>
      <c r="M248">
        <f>W248=ROUND(237*0.5,10)</f>
        <v/>
      </c>
      <c r="O248">
        <f>O247+0.1</f>
        <v/>
      </c>
      <c r="P248">
        <f>P247+0.2</f>
        <v/>
      </c>
      <c r="Q248">
        <f>Q247+0.3</f>
        <v/>
      </c>
      <c r="R248">
        <f>R247+0.05</f>
        <v/>
      </c>
      <c r="S248">
        <f>S247+0.01</f>
        <v/>
      </c>
      <c r="T248">
        <f>T247+0.7</f>
        <v/>
      </c>
      <c r="U248">
        <f>U247+1.1</f>
        <v/>
      </c>
      <c r="V248">
        <f>V247+0.25</f>
        <v/>
      </c>
      <c r="W248">
        <f>W247+0.5</f>
        <v/>
      </c>
    </row>
    <row r="249">
      <c r="E249">
        <f>O249=ROUND(238*0.1,10)</f>
        <v/>
      </c>
      <c r="F249">
        <f>P249=ROUND(238*0.2,10)</f>
        <v/>
      </c>
      <c r="G249">
        <f>Q249=ROUND(238*0.3,10)</f>
        <v/>
      </c>
      <c r="H249">
        <f>R249=ROUND(238*0.05,10)</f>
        <v/>
      </c>
      <c r="I249">
        <f>S249=ROUND(238*0.01,10)</f>
        <v/>
      </c>
      <c r="J249">
        <f>T249=ROUND(238*0.7,10)</f>
        <v/>
      </c>
      <c r="K249">
        <f>U249=ROUND(238*1.1,10)</f>
        <v/>
      </c>
      <c r="L249">
        <f>V249=ROUND(238*0.25,10)</f>
        <v/>
      </c>
      <c r="M249">
        <f>W249=ROUND(238*0.5,10)</f>
        <v/>
      </c>
      <c r="O249">
        <f>O248+0.1</f>
        <v/>
      </c>
      <c r="P249">
        <f>P248+0.2</f>
        <v/>
      </c>
      <c r="Q249">
        <f>Q248+0.3</f>
        <v/>
      </c>
      <c r="R249">
        <f>R248+0.05</f>
        <v/>
      </c>
      <c r="S249">
        <f>S248+0.01</f>
        <v/>
      </c>
      <c r="T249">
        <f>T248+0.7</f>
        <v/>
      </c>
      <c r="U249">
        <f>U248+1.1</f>
        <v/>
      </c>
      <c r="V249">
        <f>V248+0.25</f>
        <v/>
      </c>
      <c r="W249">
        <f>W248+0.5</f>
        <v/>
      </c>
    </row>
    <row r="250">
      <c r="E250">
        <f>O250=ROUND(239*0.1,10)</f>
        <v/>
      </c>
      <c r="F250">
        <f>P250=ROUND(239*0.2,10)</f>
        <v/>
      </c>
      <c r="G250">
        <f>Q250=ROUND(239*0.3,10)</f>
        <v/>
      </c>
      <c r="H250">
        <f>R250=ROUND(239*0.05,10)</f>
        <v/>
      </c>
      <c r="I250">
        <f>S250=ROUND(239*0.01,10)</f>
        <v/>
      </c>
      <c r="J250">
        <f>T250=ROUND(239*0.7,10)</f>
        <v/>
      </c>
      <c r="K250">
        <f>U250=ROUND(239*1.1,10)</f>
        <v/>
      </c>
      <c r="L250">
        <f>V250=ROUND(239*0.25,10)</f>
        <v/>
      </c>
      <c r="M250">
        <f>W250=ROUND(239*0.5,10)</f>
        <v/>
      </c>
      <c r="O250">
        <f>O249+0.1</f>
        <v/>
      </c>
      <c r="P250">
        <f>P249+0.2</f>
        <v/>
      </c>
      <c r="Q250">
        <f>Q249+0.3</f>
        <v/>
      </c>
      <c r="R250">
        <f>R249+0.05</f>
        <v/>
      </c>
      <c r="S250">
        <f>S249+0.01</f>
        <v/>
      </c>
      <c r="T250">
        <f>T249+0.7</f>
        <v/>
      </c>
      <c r="U250">
        <f>U249+1.1</f>
        <v/>
      </c>
      <c r="V250">
        <f>V249+0.25</f>
        <v/>
      </c>
      <c r="W250">
        <f>W249+0.5</f>
        <v/>
      </c>
    </row>
    <row r="251">
      <c r="E251">
        <f>O251=ROUND(240*0.1,10)</f>
        <v/>
      </c>
      <c r="F251">
        <f>P251=ROUND(240*0.2,10)</f>
        <v/>
      </c>
      <c r="G251">
        <f>Q251=ROUND(240*0.3,10)</f>
        <v/>
      </c>
      <c r="H251">
        <f>R251=ROUND(240*0.05,10)</f>
        <v/>
      </c>
      <c r="I251">
        <f>S251=ROUND(240*0.01,10)</f>
        <v/>
      </c>
      <c r="J251">
        <f>T251=ROUND(240*0.7,10)</f>
        <v/>
      </c>
      <c r="K251">
        <f>U251=ROUND(240*1.1,10)</f>
        <v/>
      </c>
      <c r="L251">
        <f>V251=ROUND(240*0.25,10)</f>
        <v/>
      </c>
      <c r="M251">
        <f>W251=ROUND(240*0.5,10)</f>
        <v/>
      </c>
      <c r="O251">
        <f>O250+0.1</f>
        <v/>
      </c>
      <c r="P251">
        <f>P250+0.2</f>
        <v/>
      </c>
      <c r="Q251">
        <f>Q250+0.3</f>
        <v/>
      </c>
      <c r="R251">
        <f>R250+0.05</f>
        <v/>
      </c>
      <c r="S251">
        <f>S250+0.01</f>
        <v/>
      </c>
      <c r="T251">
        <f>T250+0.7</f>
        <v/>
      </c>
      <c r="U251">
        <f>U250+1.1</f>
        <v/>
      </c>
      <c r="V251">
        <f>V250+0.25</f>
        <v/>
      </c>
      <c r="W251">
        <f>W250+0.5</f>
        <v/>
      </c>
    </row>
    <row r="252">
      <c r="E252">
        <f>O252=ROUND(241*0.1,10)</f>
        <v/>
      </c>
      <c r="F252">
        <f>P252=ROUND(241*0.2,10)</f>
        <v/>
      </c>
      <c r="G252">
        <f>Q252=ROUND(241*0.3,10)</f>
        <v/>
      </c>
      <c r="H252">
        <f>R252=ROUND(241*0.05,10)</f>
        <v/>
      </c>
      <c r="I252">
        <f>S252=ROUND(241*0.01,10)</f>
        <v/>
      </c>
      <c r="J252">
        <f>T252=ROUND(241*0.7,10)</f>
        <v/>
      </c>
      <c r="K252">
        <f>U252=ROUND(241*1.1,10)</f>
        <v/>
      </c>
      <c r="L252">
        <f>V252=ROUND(241*0.25,10)</f>
        <v/>
      </c>
      <c r="M252">
        <f>W252=ROUND(241*0.5,10)</f>
        <v/>
      </c>
      <c r="O252">
        <f>O251+0.1</f>
        <v/>
      </c>
      <c r="P252">
        <f>P251+0.2</f>
        <v/>
      </c>
      <c r="Q252">
        <f>Q251+0.3</f>
        <v/>
      </c>
      <c r="R252">
        <f>R251+0.05</f>
        <v/>
      </c>
      <c r="S252">
        <f>S251+0.01</f>
        <v/>
      </c>
      <c r="T252">
        <f>T251+0.7</f>
        <v/>
      </c>
      <c r="U252">
        <f>U251+1.1</f>
        <v/>
      </c>
      <c r="V252">
        <f>V251+0.25</f>
        <v/>
      </c>
      <c r="W252">
        <f>W251+0.5</f>
        <v/>
      </c>
    </row>
    <row r="253">
      <c r="E253">
        <f>O253=ROUND(242*0.1,10)</f>
        <v/>
      </c>
      <c r="F253">
        <f>P253=ROUND(242*0.2,10)</f>
        <v/>
      </c>
      <c r="G253">
        <f>Q253=ROUND(242*0.3,10)</f>
        <v/>
      </c>
      <c r="H253">
        <f>R253=ROUND(242*0.05,10)</f>
        <v/>
      </c>
      <c r="I253">
        <f>S253=ROUND(242*0.01,10)</f>
        <v/>
      </c>
      <c r="J253">
        <f>T253=ROUND(242*0.7,10)</f>
        <v/>
      </c>
      <c r="K253">
        <f>U253=ROUND(242*1.1,10)</f>
        <v/>
      </c>
      <c r="L253">
        <f>V253=ROUND(242*0.25,10)</f>
        <v/>
      </c>
      <c r="M253">
        <f>W253=ROUND(242*0.5,10)</f>
        <v/>
      </c>
      <c r="O253">
        <f>O252+0.1</f>
        <v/>
      </c>
      <c r="P253">
        <f>P252+0.2</f>
        <v/>
      </c>
      <c r="Q253">
        <f>Q252+0.3</f>
        <v/>
      </c>
      <c r="R253">
        <f>R252+0.05</f>
        <v/>
      </c>
      <c r="S253">
        <f>S252+0.01</f>
        <v/>
      </c>
      <c r="T253">
        <f>T252+0.7</f>
        <v/>
      </c>
      <c r="U253">
        <f>U252+1.1</f>
        <v/>
      </c>
      <c r="V253">
        <f>V252+0.25</f>
        <v/>
      </c>
      <c r="W253">
        <f>W252+0.5</f>
        <v/>
      </c>
    </row>
    <row r="254">
      <c r="E254">
        <f>O254=ROUND(243*0.1,10)</f>
        <v/>
      </c>
      <c r="F254">
        <f>P254=ROUND(243*0.2,10)</f>
        <v/>
      </c>
      <c r="G254">
        <f>Q254=ROUND(243*0.3,10)</f>
        <v/>
      </c>
      <c r="H254">
        <f>R254=ROUND(243*0.05,10)</f>
        <v/>
      </c>
      <c r="I254">
        <f>S254=ROUND(243*0.01,10)</f>
        <v/>
      </c>
      <c r="J254">
        <f>T254=ROUND(243*0.7,10)</f>
        <v/>
      </c>
      <c r="K254">
        <f>U254=ROUND(243*1.1,10)</f>
        <v/>
      </c>
      <c r="L254">
        <f>V254=ROUND(243*0.25,10)</f>
        <v/>
      </c>
      <c r="M254">
        <f>W254=ROUND(243*0.5,10)</f>
        <v/>
      </c>
      <c r="O254">
        <f>O253+0.1</f>
        <v/>
      </c>
      <c r="P254">
        <f>P253+0.2</f>
        <v/>
      </c>
      <c r="Q254">
        <f>Q253+0.3</f>
        <v/>
      </c>
      <c r="R254">
        <f>R253+0.05</f>
        <v/>
      </c>
      <c r="S254">
        <f>S253+0.01</f>
        <v/>
      </c>
      <c r="T254">
        <f>T253+0.7</f>
        <v/>
      </c>
      <c r="U254">
        <f>U253+1.1</f>
        <v/>
      </c>
      <c r="V254">
        <f>V253+0.25</f>
        <v/>
      </c>
      <c r="W254">
        <f>W253+0.5</f>
        <v/>
      </c>
    </row>
    <row r="255">
      <c r="E255">
        <f>O255=ROUND(244*0.1,10)</f>
        <v/>
      </c>
      <c r="F255">
        <f>P255=ROUND(244*0.2,10)</f>
        <v/>
      </c>
      <c r="G255">
        <f>Q255=ROUND(244*0.3,10)</f>
        <v/>
      </c>
      <c r="H255">
        <f>R255=ROUND(244*0.05,10)</f>
        <v/>
      </c>
      <c r="I255">
        <f>S255=ROUND(244*0.01,10)</f>
        <v/>
      </c>
      <c r="J255">
        <f>T255=ROUND(244*0.7,10)</f>
        <v/>
      </c>
      <c r="K255">
        <f>U255=ROUND(244*1.1,10)</f>
        <v/>
      </c>
      <c r="L255">
        <f>V255=ROUND(244*0.25,10)</f>
        <v/>
      </c>
      <c r="M255">
        <f>W255=ROUND(244*0.5,10)</f>
        <v/>
      </c>
      <c r="O255">
        <f>O254+0.1</f>
        <v/>
      </c>
      <c r="P255">
        <f>P254+0.2</f>
        <v/>
      </c>
      <c r="Q255">
        <f>Q254+0.3</f>
        <v/>
      </c>
      <c r="R255">
        <f>R254+0.05</f>
        <v/>
      </c>
      <c r="S255">
        <f>S254+0.01</f>
        <v/>
      </c>
      <c r="T255">
        <f>T254+0.7</f>
        <v/>
      </c>
      <c r="U255">
        <f>U254+1.1</f>
        <v/>
      </c>
      <c r="V255">
        <f>V254+0.25</f>
        <v/>
      </c>
      <c r="W255">
        <f>W254+0.5</f>
        <v/>
      </c>
    </row>
    <row r="256">
      <c r="E256">
        <f>O256=ROUND(245*0.1,10)</f>
        <v/>
      </c>
      <c r="F256">
        <f>P256=ROUND(245*0.2,10)</f>
        <v/>
      </c>
      <c r="G256">
        <f>Q256=ROUND(245*0.3,10)</f>
        <v/>
      </c>
      <c r="H256">
        <f>R256=ROUND(245*0.05,10)</f>
        <v/>
      </c>
      <c r="I256">
        <f>S256=ROUND(245*0.01,10)</f>
        <v/>
      </c>
      <c r="J256">
        <f>T256=ROUND(245*0.7,10)</f>
        <v/>
      </c>
      <c r="K256">
        <f>U256=ROUND(245*1.1,10)</f>
        <v/>
      </c>
      <c r="L256">
        <f>V256=ROUND(245*0.25,10)</f>
        <v/>
      </c>
      <c r="M256">
        <f>W256=ROUND(245*0.5,10)</f>
        <v/>
      </c>
      <c r="O256">
        <f>O255+0.1</f>
        <v/>
      </c>
      <c r="P256">
        <f>P255+0.2</f>
        <v/>
      </c>
      <c r="Q256">
        <f>Q255+0.3</f>
        <v/>
      </c>
      <c r="R256">
        <f>R255+0.05</f>
        <v/>
      </c>
      <c r="S256">
        <f>S255+0.01</f>
        <v/>
      </c>
      <c r="T256">
        <f>T255+0.7</f>
        <v/>
      </c>
      <c r="U256">
        <f>U255+1.1</f>
        <v/>
      </c>
      <c r="V256">
        <f>V255+0.25</f>
        <v/>
      </c>
      <c r="W256">
        <f>W255+0.5</f>
        <v/>
      </c>
    </row>
    <row r="257">
      <c r="E257">
        <f>O257=ROUND(246*0.1,10)</f>
        <v/>
      </c>
      <c r="F257">
        <f>P257=ROUND(246*0.2,10)</f>
        <v/>
      </c>
      <c r="G257">
        <f>Q257=ROUND(246*0.3,10)</f>
        <v/>
      </c>
      <c r="H257">
        <f>R257=ROUND(246*0.05,10)</f>
        <v/>
      </c>
      <c r="I257">
        <f>S257=ROUND(246*0.01,10)</f>
        <v/>
      </c>
      <c r="J257">
        <f>T257=ROUND(246*0.7,10)</f>
        <v/>
      </c>
      <c r="K257">
        <f>U257=ROUND(246*1.1,10)</f>
        <v/>
      </c>
      <c r="L257">
        <f>V257=ROUND(246*0.25,10)</f>
        <v/>
      </c>
      <c r="M257">
        <f>W257=ROUND(246*0.5,10)</f>
        <v/>
      </c>
      <c r="O257">
        <f>O256+0.1</f>
        <v/>
      </c>
      <c r="P257">
        <f>P256+0.2</f>
        <v/>
      </c>
      <c r="Q257">
        <f>Q256+0.3</f>
        <v/>
      </c>
      <c r="R257">
        <f>R256+0.05</f>
        <v/>
      </c>
      <c r="S257">
        <f>S256+0.01</f>
        <v/>
      </c>
      <c r="T257">
        <f>T256+0.7</f>
        <v/>
      </c>
      <c r="U257">
        <f>U256+1.1</f>
        <v/>
      </c>
      <c r="V257">
        <f>V256+0.25</f>
        <v/>
      </c>
      <c r="W257">
        <f>W256+0.5</f>
        <v/>
      </c>
    </row>
    <row r="258">
      <c r="E258">
        <f>O258=ROUND(247*0.1,10)</f>
        <v/>
      </c>
      <c r="F258">
        <f>P258=ROUND(247*0.2,10)</f>
        <v/>
      </c>
      <c r="G258">
        <f>Q258=ROUND(247*0.3,10)</f>
        <v/>
      </c>
      <c r="H258">
        <f>R258=ROUND(247*0.05,10)</f>
        <v/>
      </c>
      <c r="I258">
        <f>S258=ROUND(247*0.01,10)</f>
        <v/>
      </c>
      <c r="J258">
        <f>T258=ROUND(247*0.7,10)</f>
        <v/>
      </c>
      <c r="K258">
        <f>U258=ROUND(247*1.1,10)</f>
        <v/>
      </c>
      <c r="L258">
        <f>V258=ROUND(247*0.25,10)</f>
        <v/>
      </c>
      <c r="M258">
        <f>W258=ROUND(247*0.5,10)</f>
        <v/>
      </c>
      <c r="O258">
        <f>O257+0.1</f>
        <v/>
      </c>
      <c r="P258">
        <f>P257+0.2</f>
        <v/>
      </c>
      <c r="Q258">
        <f>Q257+0.3</f>
        <v/>
      </c>
      <c r="R258">
        <f>R257+0.05</f>
        <v/>
      </c>
      <c r="S258">
        <f>S257+0.01</f>
        <v/>
      </c>
      <c r="T258">
        <f>T257+0.7</f>
        <v/>
      </c>
      <c r="U258">
        <f>U257+1.1</f>
        <v/>
      </c>
      <c r="V258">
        <f>V257+0.25</f>
        <v/>
      </c>
      <c r="W258">
        <f>W257+0.5</f>
        <v/>
      </c>
    </row>
    <row r="259">
      <c r="E259">
        <f>O259=ROUND(248*0.1,10)</f>
        <v/>
      </c>
      <c r="F259">
        <f>P259=ROUND(248*0.2,10)</f>
        <v/>
      </c>
      <c r="G259">
        <f>Q259=ROUND(248*0.3,10)</f>
        <v/>
      </c>
      <c r="H259">
        <f>R259=ROUND(248*0.05,10)</f>
        <v/>
      </c>
      <c r="I259">
        <f>S259=ROUND(248*0.01,10)</f>
        <v/>
      </c>
      <c r="J259">
        <f>T259=ROUND(248*0.7,10)</f>
        <v/>
      </c>
      <c r="K259">
        <f>U259=ROUND(248*1.1,10)</f>
        <v/>
      </c>
      <c r="L259">
        <f>V259=ROUND(248*0.25,10)</f>
        <v/>
      </c>
      <c r="M259">
        <f>W259=ROUND(248*0.5,10)</f>
        <v/>
      </c>
      <c r="O259">
        <f>O258+0.1</f>
        <v/>
      </c>
      <c r="P259">
        <f>P258+0.2</f>
        <v/>
      </c>
      <c r="Q259">
        <f>Q258+0.3</f>
        <v/>
      </c>
      <c r="R259">
        <f>R258+0.05</f>
        <v/>
      </c>
      <c r="S259">
        <f>S258+0.01</f>
        <v/>
      </c>
      <c r="T259">
        <f>T258+0.7</f>
        <v/>
      </c>
      <c r="U259">
        <f>U258+1.1</f>
        <v/>
      </c>
      <c r="V259">
        <f>V258+0.25</f>
        <v/>
      </c>
      <c r="W259">
        <f>W258+0.5</f>
        <v/>
      </c>
    </row>
    <row r="260">
      <c r="E260">
        <f>O260=ROUND(249*0.1,10)</f>
        <v/>
      </c>
      <c r="F260">
        <f>P260=ROUND(249*0.2,10)</f>
        <v/>
      </c>
      <c r="G260">
        <f>Q260=ROUND(249*0.3,10)</f>
        <v/>
      </c>
      <c r="H260">
        <f>R260=ROUND(249*0.05,10)</f>
        <v/>
      </c>
      <c r="I260">
        <f>S260=ROUND(249*0.01,10)</f>
        <v/>
      </c>
      <c r="J260">
        <f>T260=ROUND(249*0.7,10)</f>
        <v/>
      </c>
      <c r="K260">
        <f>U260=ROUND(249*1.1,10)</f>
        <v/>
      </c>
      <c r="L260">
        <f>V260=ROUND(249*0.25,10)</f>
        <v/>
      </c>
      <c r="M260">
        <f>W260=ROUND(249*0.5,10)</f>
        <v/>
      </c>
      <c r="O260">
        <f>O259+0.1</f>
        <v/>
      </c>
      <c r="P260">
        <f>P259+0.2</f>
        <v/>
      </c>
      <c r="Q260">
        <f>Q259+0.3</f>
        <v/>
      </c>
      <c r="R260">
        <f>R259+0.05</f>
        <v/>
      </c>
      <c r="S260">
        <f>S259+0.01</f>
        <v/>
      </c>
      <c r="T260">
        <f>T259+0.7</f>
        <v/>
      </c>
      <c r="U260">
        <f>U259+1.1</f>
        <v/>
      </c>
      <c r="V260">
        <f>V259+0.25</f>
        <v/>
      </c>
      <c r="W260">
        <f>W259+0.5</f>
        <v/>
      </c>
    </row>
    <row r="261">
      <c r="E261">
        <f>O261=ROUND(250*0.1,10)</f>
        <v/>
      </c>
      <c r="F261">
        <f>P261=ROUND(250*0.2,10)</f>
        <v/>
      </c>
      <c r="G261">
        <f>Q261=ROUND(250*0.3,10)</f>
        <v/>
      </c>
      <c r="H261">
        <f>R261=ROUND(250*0.05,10)</f>
        <v/>
      </c>
      <c r="I261">
        <f>S261=ROUND(250*0.01,10)</f>
        <v/>
      </c>
      <c r="J261">
        <f>T261=ROUND(250*0.7,10)</f>
        <v/>
      </c>
      <c r="K261">
        <f>U261=ROUND(250*1.1,10)</f>
        <v/>
      </c>
      <c r="L261">
        <f>V261=ROUND(250*0.25,10)</f>
        <v/>
      </c>
      <c r="M261">
        <f>W261=ROUND(250*0.5,10)</f>
        <v/>
      </c>
      <c r="O261">
        <f>O260+0.1</f>
        <v/>
      </c>
      <c r="P261">
        <f>P260+0.2</f>
        <v/>
      </c>
      <c r="Q261">
        <f>Q260+0.3</f>
        <v/>
      </c>
      <c r="R261">
        <f>R260+0.05</f>
        <v/>
      </c>
      <c r="S261">
        <f>S260+0.01</f>
        <v/>
      </c>
      <c r="T261">
        <f>T260+0.7</f>
        <v/>
      </c>
      <c r="U261">
        <f>U260+1.1</f>
        <v/>
      </c>
      <c r="V261">
        <f>V260+0.25</f>
        <v/>
      </c>
      <c r="W261">
        <f>W260+0.5</f>
        <v/>
      </c>
    </row>
    <row r="262">
      <c r="E262">
        <f>O262=ROUND(251*0.1,10)</f>
        <v/>
      </c>
      <c r="F262">
        <f>P262=ROUND(251*0.2,10)</f>
        <v/>
      </c>
      <c r="G262">
        <f>Q262=ROUND(251*0.3,10)</f>
        <v/>
      </c>
      <c r="H262">
        <f>R262=ROUND(251*0.05,10)</f>
        <v/>
      </c>
      <c r="I262">
        <f>S262=ROUND(251*0.01,10)</f>
        <v/>
      </c>
      <c r="J262">
        <f>T262=ROUND(251*0.7,10)</f>
        <v/>
      </c>
      <c r="K262">
        <f>U262=ROUND(251*1.1,10)</f>
        <v/>
      </c>
      <c r="L262">
        <f>V262=ROUND(251*0.25,10)</f>
        <v/>
      </c>
      <c r="M262">
        <f>W262=ROUND(251*0.5,10)</f>
        <v/>
      </c>
      <c r="O262">
        <f>O261+0.1</f>
        <v/>
      </c>
      <c r="P262">
        <f>P261+0.2</f>
        <v/>
      </c>
      <c r="Q262">
        <f>Q261+0.3</f>
        <v/>
      </c>
      <c r="R262">
        <f>R261+0.05</f>
        <v/>
      </c>
      <c r="S262">
        <f>S261+0.01</f>
        <v/>
      </c>
      <c r="T262">
        <f>T261+0.7</f>
        <v/>
      </c>
      <c r="U262">
        <f>U261+1.1</f>
        <v/>
      </c>
      <c r="V262">
        <f>V261+0.25</f>
        <v/>
      </c>
      <c r="W262">
        <f>W261+0.5</f>
        <v/>
      </c>
    </row>
    <row r="263">
      <c r="E263">
        <f>O263=ROUND(252*0.1,10)</f>
        <v/>
      </c>
      <c r="F263">
        <f>P263=ROUND(252*0.2,10)</f>
        <v/>
      </c>
      <c r="G263">
        <f>Q263=ROUND(252*0.3,10)</f>
        <v/>
      </c>
      <c r="H263">
        <f>R263=ROUND(252*0.05,10)</f>
        <v/>
      </c>
      <c r="I263">
        <f>S263=ROUND(252*0.01,10)</f>
        <v/>
      </c>
      <c r="J263">
        <f>T263=ROUND(252*0.7,10)</f>
        <v/>
      </c>
      <c r="K263">
        <f>U263=ROUND(252*1.1,10)</f>
        <v/>
      </c>
      <c r="L263">
        <f>V263=ROUND(252*0.25,10)</f>
        <v/>
      </c>
      <c r="M263">
        <f>W263=ROUND(252*0.5,10)</f>
        <v/>
      </c>
      <c r="O263">
        <f>O262+0.1</f>
        <v/>
      </c>
      <c r="P263">
        <f>P262+0.2</f>
        <v/>
      </c>
      <c r="Q263">
        <f>Q262+0.3</f>
        <v/>
      </c>
      <c r="R263">
        <f>R262+0.05</f>
        <v/>
      </c>
      <c r="S263">
        <f>S262+0.01</f>
        <v/>
      </c>
      <c r="T263">
        <f>T262+0.7</f>
        <v/>
      </c>
      <c r="U263">
        <f>U262+1.1</f>
        <v/>
      </c>
      <c r="V263">
        <f>V262+0.25</f>
        <v/>
      </c>
      <c r="W263">
        <f>W262+0.5</f>
        <v/>
      </c>
    </row>
    <row r="264">
      <c r="E264">
        <f>O264=ROUND(253*0.1,10)</f>
        <v/>
      </c>
      <c r="F264">
        <f>P264=ROUND(253*0.2,10)</f>
        <v/>
      </c>
      <c r="G264">
        <f>Q264=ROUND(253*0.3,10)</f>
        <v/>
      </c>
      <c r="H264">
        <f>R264=ROUND(253*0.05,10)</f>
        <v/>
      </c>
      <c r="I264">
        <f>S264=ROUND(253*0.01,10)</f>
        <v/>
      </c>
      <c r="J264">
        <f>T264=ROUND(253*0.7,10)</f>
        <v/>
      </c>
      <c r="K264">
        <f>U264=ROUND(253*1.1,10)</f>
        <v/>
      </c>
      <c r="L264">
        <f>V264=ROUND(253*0.25,10)</f>
        <v/>
      </c>
      <c r="M264">
        <f>W264=ROUND(253*0.5,10)</f>
        <v/>
      </c>
      <c r="O264">
        <f>O263+0.1</f>
        <v/>
      </c>
      <c r="P264">
        <f>P263+0.2</f>
        <v/>
      </c>
      <c r="Q264">
        <f>Q263+0.3</f>
        <v/>
      </c>
      <c r="R264">
        <f>R263+0.05</f>
        <v/>
      </c>
      <c r="S264">
        <f>S263+0.01</f>
        <v/>
      </c>
      <c r="T264">
        <f>T263+0.7</f>
        <v/>
      </c>
      <c r="U264">
        <f>U263+1.1</f>
        <v/>
      </c>
      <c r="V264">
        <f>V263+0.25</f>
        <v/>
      </c>
      <c r="W264">
        <f>W263+0.5</f>
        <v/>
      </c>
    </row>
    <row r="265">
      <c r="E265">
        <f>O265=ROUND(254*0.1,10)</f>
        <v/>
      </c>
      <c r="F265">
        <f>P265=ROUND(254*0.2,10)</f>
        <v/>
      </c>
      <c r="G265">
        <f>Q265=ROUND(254*0.3,10)</f>
        <v/>
      </c>
      <c r="H265">
        <f>R265=ROUND(254*0.05,10)</f>
        <v/>
      </c>
      <c r="I265">
        <f>S265=ROUND(254*0.01,10)</f>
        <v/>
      </c>
      <c r="J265">
        <f>T265=ROUND(254*0.7,10)</f>
        <v/>
      </c>
      <c r="K265">
        <f>U265=ROUND(254*1.1,10)</f>
        <v/>
      </c>
      <c r="L265">
        <f>V265=ROUND(254*0.25,10)</f>
        <v/>
      </c>
      <c r="M265">
        <f>W265=ROUND(254*0.5,10)</f>
        <v/>
      </c>
      <c r="O265">
        <f>O264+0.1</f>
        <v/>
      </c>
      <c r="P265">
        <f>P264+0.2</f>
        <v/>
      </c>
      <c r="Q265">
        <f>Q264+0.3</f>
        <v/>
      </c>
      <c r="R265">
        <f>R264+0.05</f>
        <v/>
      </c>
      <c r="S265">
        <f>S264+0.01</f>
        <v/>
      </c>
      <c r="T265">
        <f>T264+0.7</f>
        <v/>
      </c>
      <c r="U265">
        <f>U264+1.1</f>
        <v/>
      </c>
      <c r="V265">
        <f>V264+0.25</f>
        <v/>
      </c>
      <c r="W265">
        <f>W264+0.5</f>
        <v/>
      </c>
    </row>
    <row r="266">
      <c r="E266">
        <f>O266=ROUND(255*0.1,10)</f>
        <v/>
      </c>
      <c r="F266">
        <f>P266=ROUND(255*0.2,10)</f>
        <v/>
      </c>
      <c r="G266">
        <f>Q266=ROUND(255*0.3,10)</f>
        <v/>
      </c>
      <c r="H266">
        <f>R266=ROUND(255*0.05,10)</f>
        <v/>
      </c>
      <c r="I266">
        <f>S266=ROUND(255*0.01,10)</f>
        <v/>
      </c>
      <c r="J266">
        <f>T266=ROUND(255*0.7,10)</f>
        <v/>
      </c>
      <c r="K266">
        <f>U266=ROUND(255*1.1,10)</f>
        <v/>
      </c>
      <c r="L266">
        <f>V266=ROUND(255*0.25,10)</f>
        <v/>
      </c>
      <c r="M266">
        <f>W266=ROUND(255*0.5,10)</f>
        <v/>
      </c>
      <c r="O266">
        <f>O265+0.1</f>
        <v/>
      </c>
      <c r="P266">
        <f>P265+0.2</f>
        <v/>
      </c>
      <c r="Q266">
        <f>Q265+0.3</f>
        <v/>
      </c>
      <c r="R266">
        <f>R265+0.05</f>
        <v/>
      </c>
      <c r="S266">
        <f>S265+0.01</f>
        <v/>
      </c>
      <c r="T266">
        <f>T265+0.7</f>
        <v/>
      </c>
      <c r="U266">
        <f>U265+1.1</f>
        <v/>
      </c>
      <c r="V266">
        <f>V265+0.25</f>
        <v/>
      </c>
      <c r="W266">
        <f>W265+0.5</f>
        <v/>
      </c>
    </row>
    <row r="267">
      <c r="E267">
        <f>O267=ROUND(256*0.1,10)</f>
        <v/>
      </c>
      <c r="F267">
        <f>P267=ROUND(256*0.2,10)</f>
        <v/>
      </c>
      <c r="G267">
        <f>Q267=ROUND(256*0.3,10)</f>
        <v/>
      </c>
      <c r="H267">
        <f>R267=ROUND(256*0.05,10)</f>
        <v/>
      </c>
      <c r="I267">
        <f>S267=ROUND(256*0.01,10)</f>
        <v/>
      </c>
      <c r="J267">
        <f>T267=ROUND(256*0.7,10)</f>
        <v/>
      </c>
      <c r="K267">
        <f>U267=ROUND(256*1.1,10)</f>
        <v/>
      </c>
      <c r="L267">
        <f>V267=ROUND(256*0.25,10)</f>
        <v/>
      </c>
      <c r="M267">
        <f>W267=ROUND(256*0.5,10)</f>
        <v/>
      </c>
      <c r="O267">
        <f>O266+0.1</f>
        <v/>
      </c>
      <c r="P267">
        <f>P266+0.2</f>
        <v/>
      </c>
      <c r="Q267">
        <f>Q266+0.3</f>
        <v/>
      </c>
      <c r="R267">
        <f>R266+0.05</f>
        <v/>
      </c>
      <c r="S267">
        <f>S266+0.01</f>
        <v/>
      </c>
      <c r="T267">
        <f>T266+0.7</f>
        <v/>
      </c>
      <c r="U267">
        <f>U266+1.1</f>
        <v/>
      </c>
      <c r="V267">
        <f>V266+0.25</f>
        <v/>
      </c>
      <c r="W267">
        <f>W266+0.5</f>
        <v/>
      </c>
    </row>
    <row r="268">
      <c r="E268">
        <f>O268=ROUND(257*0.1,10)</f>
        <v/>
      </c>
      <c r="F268">
        <f>P268=ROUND(257*0.2,10)</f>
        <v/>
      </c>
      <c r="G268">
        <f>Q268=ROUND(257*0.3,10)</f>
        <v/>
      </c>
      <c r="H268">
        <f>R268=ROUND(257*0.05,10)</f>
        <v/>
      </c>
      <c r="I268">
        <f>S268=ROUND(257*0.01,10)</f>
        <v/>
      </c>
      <c r="J268">
        <f>T268=ROUND(257*0.7,10)</f>
        <v/>
      </c>
      <c r="K268">
        <f>U268=ROUND(257*1.1,10)</f>
        <v/>
      </c>
      <c r="L268">
        <f>V268=ROUND(257*0.25,10)</f>
        <v/>
      </c>
      <c r="M268">
        <f>W268=ROUND(257*0.5,10)</f>
        <v/>
      </c>
      <c r="O268">
        <f>O267+0.1</f>
        <v/>
      </c>
      <c r="P268">
        <f>P267+0.2</f>
        <v/>
      </c>
      <c r="Q268">
        <f>Q267+0.3</f>
        <v/>
      </c>
      <c r="R268">
        <f>R267+0.05</f>
        <v/>
      </c>
      <c r="S268">
        <f>S267+0.01</f>
        <v/>
      </c>
      <c r="T268">
        <f>T267+0.7</f>
        <v/>
      </c>
      <c r="U268">
        <f>U267+1.1</f>
        <v/>
      </c>
      <c r="V268">
        <f>V267+0.25</f>
        <v/>
      </c>
      <c r="W268">
        <f>W267+0.5</f>
        <v/>
      </c>
    </row>
    <row r="269">
      <c r="E269">
        <f>O269=ROUND(258*0.1,10)</f>
        <v/>
      </c>
      <c r="F269">
        <f>P269=ROUND(258*0.2,10)</f>
        <v/>
      </c>
      <c r="G269">
        <f>Q269=ROUND(258*0.3,10)</f>
        <v/>
      </c>
      <c r="H269">
        <f>R269=ROUND(258*0.05,10)</f>
        <v/>
      </c>
      <c r="I269">
        <f>S269=ROUND(258*0.01,10)</f>
        <v/>
      </c>
      <c r="J269">
        <f>T269=ROUND(258*0.7,10)</f>
        <v/>
      </c>
      <c r="K269">
        <f>U269=ROUND(258*1.1,10)</f>
        <v/>
      </c>
      <c r="L269">
        <f>V269=ROUND(258*0.25,10)</f>
        <v/>
      </c>
      <c r="M269">
        <f>W269=ROUND(258*0.5,10)</f>
        <v/>
      </c>
      <c r="O269">
        <f>O268+0.1</f>
        <v/>
      </c>
      <c r="P269">
        <f>P268+0.2</f>
        <v/>
      </c>
      <c r="Q269">
        <f>Q268+0.3</f>
        <v/>
      </c>
      <c r="R269">
        <f>R268+0.05</f>
        <v/>
      </c>
      <c r="S269">
        <f>S268+0.01</f>
        <v/>
      </c>
      <c r="T269">
        <f>T268+0.7</f>
        <v/>
      </c>
      <c r="U269">
        <f>U268+1.1</f>
        <v/>
      </c>
      <c r="V269">
        <f>V268+0.25</f>
        <v/>
      </c>
      <c r="W269">
        <f>W268+0.5</f>
        <v/>
      </c>
    </row>
    <row r="270">
      <c r="E270">
        <f>O270=ROUND(259*0.1,10)</f>
        <v/>
      </c>
      <c r="F270">
        <f>P270=ROUND(259*0.2,10)</f>
        <v/>
      </c>
      <c r="G270">
        <f>Q270=ROUND(259*0.3,10)</f>
        <v/>
      </c>
      <c r="H270">
        <f>R270=ROUND(259*0.05,10)</f>
        <v/>
      </c>
      <c r="I270">
        <f>S270=ROUND(259*0.01,10)</f>
        <v/>
      </c>
      <c r="J270">
        <f>T270=ROUND(259*0.7,10)</f>
        <v/>
      </c>
      <c r="K270">
        <f>U270=ROUND(259*1.1,10)</f>
        <v/>
      </c>
      <c r="L270">
        <f>V270=ROUND(259*0.25,10)</f>
        <v/>
      </c>
      <c r="M270">
        <f>W270=ROUND(259*0.5,10)</f>
        <v/>
      </c>
      <c r="O270">
        <f>O269+0.1</f>
        <v/>
      </c>
      <c r="P270">
        <f>P269+0.2</f>
        <v/>
      </c>
      <c r="Q270">
        <f>Q269+0.3</f>
        <v/>
      </c>
      <c r="R270">
        <f>R269+0.05</f>
        <v/>
      </c>
      <c r="S270">
        <f>S269+0.01</f>
        <v/>
      </c>
      <c r="T270">
        <f>T269+0.7</f>
        <v/>
      </c>
      <c r="U270">
        <f>U269+1.1</f>
        <v/>
      </c>
      <c r="V270">
        <f>V269+0.25</f>
        <v/>
      </c>
      <c r="W270">
        <f>W269+0.5</f>
        <v/>
      </c>
    </row>
    <row r="271">
      <c r="E271">
        <f>O271=ROUND(260*0.1,10)</f>
        <v/>
      </c>
      <c r="F271">
        <f>P271=ROUND(260*0.2,10)</f>
        <v/>
      </c>
      <c r="G271">
        <f>Q271=ROUND(260*0.3,10)</f>
        <v/>
      </c>
      <c r="H271">
        <f>R271=ROUND(260*0.05,10)</f>
        <v/>
      </c>
      <c r="I271">
        <f>S271=ROUND(260*0.01,10)</f>
        <v/>
      </c>
      <c r="J271">
        <f>T271=ROUND(260*0.7,10)</f>
        <v/>
      </c>
      <c r="K271">
        <f>U271=ROUND(260*1.1,10)</f>
        <v/>
      </c>
      <c r="L271">
        <f>V271=ROUND(260*0.25,10)</f>
        <v/>
      </c>
      <c r="M271">
        <f>W271=ROUND(260*0.5,10)</f>
        <v/>
      </c>
      <c r="O271">
        <f>O270+0.1</f>
        <v/>
      </c>
      <c r="P271">
        <f>P270+0.2</f>
        <v/>
      </c>
      <c r="Q271">
        <f>Q270+0.3</f>
        <v/>
      </c>
      <c r="R271">
        <f>R270+0.05</f>
        <v/>
      </c>
      <c r="S271">
        <f>S270+0.01</f>
        <v/>
      </c>
      <c r="T271">
        <f>T270+0.7</f>
        <v/>
      </c>
      <c r="U271">
        <f>U270+1.1</f>
        <v/>
      </c>
      <c r="V271">
        <f>V270+0.25</f>
        <v/>
      </c>
      <c r="W271">
        <f>W270+0.5</f>
        <v/>
      </c>
    </row>
    <row r="272">
      <c r="E272">
        <f>O272=ROUND(261*0.1,10)</f>
        <v/>
      </c>
      <c r="F272">
        <f>P272=ROUND(261*0.2,10)</f>
        <v/>
      </c>
      <c r="G272">
        <f>Q272=ROUND(261*0.3,10)</f>
        <v/>
      </c>
      <c r="H272">
        <f>R272=ROUND(261*0.05,10)</f>
        <v/>
      </c>
      <c r="I272">
        <f>S272=ROUND(261*0.01,10)</f>
        <v/>
      </c>
      <c r="J272">
        <f>T272=ROUND(261*0.7,10)</f>
        <v/>
      </c>
      <c r="K272">
        <f>U272=ROUND(261*1.1,10)</f>
        <v/>
      </c>
      <c r="L272">
        <f>V272=ROUND(261*0.25,10)</f>
        <v/>
      </c>
      <c r="M272">
        <f>W272=ROUND(261*0.5,10)</f>
        <v/>
      </c>
      <c r="O272">
        <f>O271+0.1</f>
        <v/>
      </c>
      <c r="P272">
        <f>P271+0.2</f>
        <v/>
      </c>
      <c r="Q272">
        <f>Q271+0.3</f>
        <v/>
      </c>
      <c r="R272">
        <f>R271+0.05</f>
        <v/>
      </c>
      <c r="S272">
        <f>S271+0.01</f>
        <v/>
      </c>
      <c r="T272">
        <f>T271+0.7</f>
        <v/>
      </c>
      <c r="U272">
        <f>U271+1.1</f>
        <v/>
      </c>
      <c r="V272">
        <f>V271+0.25</f>
        <v/>
      </c>
      <c r="W272">
        <f>W271+0.5</f>
        <v/>
      </c>
    </row>
    <row r="273">
      <c r="E273">
        <f>O273=ROUND(262*0.1,10)</f>
        <v/>
      </c>
      <c r="F273">
        <f>P273=ROUND(262*0.2,10)</f>
        <v/>
      </c>
      <c r="G273">
        <f>Q273=ROUND(262*0.3,10)</f>
        <v/>
      </c>
      <c r="H273">
        <f>R273=ROUND(262*0.05,10)</f>
        <v/>
      </c>
      <c r="I273">
        <f>S273=ROUND(262*0.01,10)</f>
        <v/>
      </c>
      <c r="J273">
        <f>T273=ROUND(262*0.7,10)</f>
        <v/>
      </c>
      <c r="K273">
        <f>U273=ROUND(262*1.1,10)</f>
        <v/>
      </c>
      <c r="L273">
        <f>V273=ROUND(262*0.25,10)</f>
        <v/>
      </c>
      <c r="M273">
        <f>W273=ROUND(262*0.5,10)</f>
        <v/>
      </c>
      <c r="O273">
        <f>O272+0.1</f>
        <v/>
      </c>
      <c r="P273">
        <f>P272+0.2</f>
        <v/>
      </c>
      <c r="Q273">
        <f>Q272+0.3</f>
        <v/>
      </c>
      <c r="R273">
        <f>R272+0.05</f>
        <v/>
      </c>
      <c r="S273">
        <f>S272+0.01</f>
        <v/>
      </c>
      <c r="T273">
        <f>T272+0.7</f>
        <v/>
      </c>
      <c r="U273">
        <f>U272+1.1</f>
        <v/>
      </c>
      <c r="V273">
        <f>V272+0.25</f>
        <v/>
      </c>
      <c r="W273">
        <f>W272+0.5</f>
        <v/>
      </c>
    </row>
    <row r="274">
      <c r="E274">
        <f>O274=ROUND(263*0.1,10)</f>
        <v/>
      </c>
      <c r="F274">
        <f>P274=ROUND(263*0.2,10)</f>
        <v/>
      </c>
      <c r="G274">
        <f>Q274=ROUND(263*0.3,10)</f>
        <v/>
      </c>
      <c r="H274">
        <f>R274=ROUND(263*0.05,10)</f>
        <v/>
      </c>
      <c r="I274">
        <f>S274=ROUND(263*0.01,10)</f>
        <v/>
      </c>
      <c r="J274">
        <f>T274=ROUND(263*0.7,10)</f>
        <v/>
      </c>
      <c r="K274">
        <f>U274=ROUND(263*1.1,10)</f>
        <v/>
      </c>
      <c r="L274">
        <f>V274=ROUND(263*0.25,10)</f>
        <v/>
      </c>
      <c r="M274">
        <f>W274=ROUND(263*0.5,10)</f>
        <v/>
      </c>
      <c r="O274">
        <f>O273+0.1</f>
        <v/>
      </c>
      <c r="P274">
        <f>P273+0.2</f>
        <v/>
      </c>
      <c r="Q274">
        <f>Q273+0.3</f>
        <v/>
      </c>
      <c r="R274">
        <f>R273+0.05</f>
        <v/>
      </c>
      <c r="S274">
        <f>S273+0.01</f>
        <v/>
      </c>
      <c r="T274">
        <f>T273+0.7</f>
        <v/>
      </c>
      <c r="U274">
        <f>U273+1.1</f>
        <v/>
      </c>
      <c r="V274">
        <f>V273+0.25</f>
        <v/>
      </c>
      <c r="W274">
        <f>W273+0.5</f>
        <v/>
      </c>
    </row>
    <row r="275">
      <c r="E275">
        <f>O275=ROUND(264*0.1,10)</f>
        <v/>
      </c>
      <c r="F275">
        <f>P275=ROUND(264*0.2,10)</f>
        <v/>
      </c>
      <c r="G275">
        <f>Q275=ROUND(264*0.3,10)</f>
        <v/>
      </c>
      <c r="H275">
        <f>R275=ROUND(264*0.05,10)</f>
        <v/>
      </c>
      <c r="I275">
        <f>S275=ROUND(264*0.01,10)</f>
        <v/>
      </c>
      <c r="J275">
        <f>T275=ROUND(264*0.7,10)</f>
        <v/>
      </c>
      <c r="K275">
        <f>U275=ROUND(264*1.1,10)</f>
        <v/>
      </c>
      <c r="L275">
        <f>V275=ROUND(264*0.25,10)</f>
        <v/>
      </c>
      <c r="M275">
        <f>W275=ROUND(264*0.5,10)</f>
        <v/>
      </c>
      <c r="O275">
        <f>O274+0.1</f>
        <v/>
      </c>
      <c r="P275">
        <f>P274+0.2</f>
        <v/>
      </c>
      <c r="Q275">
        <f>Q274+0.3</f>
        <v/>
      </c>
      <c r="R275">
        <f>R274+0.05</f>
        <v/>
      </c>
      <c r="S275">
        <f>S274+0.01</f>
        <v/>
      </c>
      <c r="T275">
        <f>T274+0.7</f>
        <v/>
      </c>
      <c r="U275">
        <f>U274+1.1</f>
        <v/>
      </c>
      <c r="V275">
        <f>V274+0.25</f>
        <v/>
      </c>
      <c r="W275">
        <f>W274+0.5</f>
        <v/>
      </c>
    </row>
    <row r="276">
      <c r="E276">
        <f>O276=ROUND(265*0.1,10)</f>
        <v/>
      </c>
      <c r="F276">
        <f>P276=ROUND(265*0.2,10)</f>
        <v/>
      </c>
      <c r="G276">
        <f>Q276=ROUND(265*0.3,10)</f>
        <v/>
      </c>
      <c r="H276">
        <f>R276=ROUND(265*0.05,10)</f>
        <v/>
      </c>
      <c r="I276">
        <f>S276=ROUND(265*0.01,10)</f>
        <v/>
      </c>
      <c r="J276">
        <f>T276=ROUND(265*0.7,10)</f>
        <v/>
      </c>
      <c r="K276">
        <f>U276=ROUND(265*1.1,10)</f>
        <v/>
      </c>
      <c r="L276">
        <f>V276=ROUND(265*0.25,10)</f>
        <v/>
      </c>
      <c r="M276">
        <f>W276=ROUND(265*0.5,10)</f>
        <v/>
      </c>
      <c r="O276">
        <f>O275+0.1</f>
        <v/>
      </c>
      <c r="P276">
        <f>P275+0.2</f>
        <v/>
      </c>
      <c r="Q276">
        <f>Q275+0.3</f>
        <v/>
      </c>
      <c r="R276">
        <f>R275+0.05</f>
        <v/>
      </c>
      <c r="S276">
        <f>S275+0.01</f>
        <v/>
      </c>
      <c r="T276">
        <f>T275+0.7</f>
        <v/>
      </c>
      <c r="U276">
        <f>U275+1.1</f>
        <v/>
      </c>
      <c r="V276">
        <f>V275+0.25</f>
        <v/>
      </c>
      <c r="W276">
        <f>W275+0.5</f>
        <v/>
      </c>
    </row>
    <row r="277">
      <c r="E277">
        <f>O277=ROUND(266*0.1,10)</f>
        <v/>
      </c>
      <c r="F277">
        <f>P277=ROUND(266*0.2,10)</f>
        <v/>
      </c>
      <c r="G277">
        <f>Q277=ROUND(266*0.3,10)</f>
        <v/>
      </c>
      <c r="H277">
        <f>R277=ROUND(266*0.05,10)</f>
        <v/>
      </c>
      <c r="I277">
        <f>S277=ROUND(266*0.01,10)</f>
        <v/>
      </c>
      <c r="J277">
        <f>T277=ROUND(266*0.7,10)</f>
        <v/>
      </c>
      <c r="K277">
        <f>U277=ROUND(266*1.1,10)</f>
        <v/>
      </c>
      <c r="L277">
        <f>V277=ROUND(266*0.25,10)</f>
        <v/>
      </c>
      <c r="M277">
        <f>W277=ROUND(266*0.5,10)</f>
        <v/>
      </c>
      <c r="O277">
        <f>O276+0.1</f>
        <v/>
      </c>
      <c r="P277">
        <f>P276+0.2</f>
        <v/>
      </c>
      <c r="Q277">
        <f>Q276+0.3</f>
        <v/>
      </c>
      <c r="R277">
        <f>R276+0.05</f>
        <v/>
      </c>
      <c r="S277">
        <f>S276+0.01</f>
        <v/>
      </c>
      <c r="T277">
        <f>T276+0.7</f>
        <v/>
      </c>
      <c r="U277">
        <f>U276+1.1</f>
        <v/>
      </c>
      <c r="V277">
        <f>V276+0.25</f>
        <v/>
      </c>
      <c r="W277">
        <f>W276+0.5</f>
        <v/>
      </c>
    </row>
    <row r="278">
      <c r="E278">
        <f>O278=ROUND(267*0.1,10)</f>
        <v/>
      </c>
      <c r="F278">
        <f>P278=ROUND(267*0.2,10)</f>
        <v/>
      </c>
      <c r="G278">
        <f>Q278=ROUND(267*0.3,10)</f>
        <v/>
      </c>
      <c r="H278">
        <f>R278=ROUND(267*0.05,10)</f>
        <v/>
      </c>
      <c r="I278">
        <f>S278=ROUND(267*0.01,10)</f>
        <v/>
      </c>
      <c r="J278">
        <f>T278=ROUND(267*0.7,10)</f>
        <v/>
      </c>
      <c r="K278">
        <f>U278=ROUND(267*1.1,10)</f>
        <v/>
      </c>
      <c r="L278">
        <f>V278=ROUND(267*0.25,10)</f>
        <v/>
      </c>
      <c r="M278">
        <f>W278=ROUND(267*0.5,10)</f>
        <v/>
      </c>
      <c r="O278">
        <f>O277+0.1</f>
        <v/>
      </c>
      <c r="P278">
        <f>P277+0.2</f>
        <v/>
      </c>
      <c r="Q278">
        <f>Q277+0.3</f>
        <v/>
      </c>
      <c r="R278">
        <f>R277+0.05</f>
        <v/>
      </c>
      <c r="S278">
        <f>S277+0.01</f>
        <v/>
      </c>
      <c r="T278">
        <f>T277+0.7</f>
        <v/>
      </c>
      <c r="U278">
        <f>U277+1.1</f>
        <v/>
      </c>
      <c r="V278">
        <f>V277+0.25</f>
        <v/>
      </c>
      <c r="W278">
        <f>W277+0.5</f>
        <v/>
      </c>
    </row>
    <row r="279">
      <c r="E279">
        <f>O279=ROUND(268*0.1,10)</f>
        <v/>
      </c>
      <c r="F279">
        <f>P279=ROUND(268*0.2,10)</f>
        <v/>
      </c>
      <c r="G279">
        <f>Q279=ROUND(268*0.3,10)</f>
        <v/>
      </c>
      <c r="H279">
        <f>R279=ROUND(268*0.05,10)</f>
        <v/>
      </c>
      <c r="I279">
        <f>S279=ROUND(268*0.01,10)</f>
        <v/>
      </c>
      <c r="J279">
        <f>T279=ROUND(268*0.7,10)</f>
        <v/>
      </c>
      <c r="K279">
        <f>U279=ROUND(268*1.1,10)</f>
        <v/>
      </c>
      <c r="L279">
        <f>V279=ROUND(268*0.25,10)</f>
        <v/>
      </c>
      <c r="M279">
        <f>W279=ROUND(268*0.5,10)</f>
        <v/>
      </c>
      <c r="O279">
        <f>O278+0.1</f>
        <v/>
      </c>
      <c r="P279">
        <f>P278+0.2</f>
        <v/>
      </c>
      <c r="Q279">
        <f>Q278+0.3</f>
        <v/>
      </c>
      <c r="R279">
        <f>R278+0.05</f>
        <v/>
      </c>
      <c r="S279">
        <f>S278+0.01</f>
        <v/>
      </c>
      <c r="T279">
        <f>T278+0.7</f>
        <v/>
      </c>
      <c r="U279">
        <f>U278+1.1</f>
        <v/>
      </c>
      <c r="V279">
        <f>V278+0.25</f>
        <v/>
      </c>
      <c r="W279">
        <f>W278+0.5</f>
        <v/>
      </c>
    </row>
    <row r="280">
      <c r="E280">
        <f>O280=ROUND(269*0.1,10)</f>
        <v/>
      </c>
      <c r="F280">
        <f>P280=ROUND(269*0.2,10)</f>
        <v/>
      </c>
      <c r="G280">
        <f>Q280=ROUND(269*0.3,10)</f>
        <v/>
      </c>
      <c r="H280">
        <f>R280=ROUND(269*0.05,10)</f>
        <v/>
      </c>
      <c r="I280">
        <f>S280=ROUND(269*0.01,10)</f>
        <v/>
      </c>
      <c r="J280">
        <f>T280=ROUND(269*0.7,10)</f>
        <v/>
      </c>
      <c r="K280">
        <f>U280=ROUND(269*1.1,10)</f>
        <v/>
      </c>
      <c r="L280">
        <f>V280=ROUND(269*0.25,10)</f>
        <v/>
      </c>
      <c r="M280">
        <f>W280=ROUND(269*0.5,10)</f>
        <v/>
      </c>
      <c r="O280">
        <f>O279+0.1</f>
        <v/>
      </c>
      <c r="P280">
        <f>P279+0.2</f>
        <v/>
      </c>
      <c r="Q280">
        <f>Q279+0.3</f>
        <v/>
      </c>
      <c r="R280">
        <f>R279+0.05</f>
        <v/>
      </c>
      <c r="S280">
        <f>S279+0.01</f>
        <v/>
      </c>
      <c r="T280">
        <f>T279+0.7</f>
        <v/>
      </c>
      <c r="U280">
        <f>U279+1.1</f>
        <v/>
      </c>
      <c r="V280">
        <f>V279+0.25</f>
        <v/>
      </c>
      <c r="W280">
        <f>W279+0.5</f>
        <v/>
      </c>
    </row>
    <row r="281">
      <c r="E281">
        <f>O281=ROUND(270*0.1,10)</f>
        <v/>
      </c>
      <c r="F281">
        <f>P281=ROUND(270*0.2,10)</f>
        <v/>
      </c>
      <c r="G281">
        <f>Q281=ROUND(270*0.3,10)</f>
        <v/>
      </c>
      <c r="H281">
        <f>R281=ROUND(270*0.05,10)</f>
        <v/>
      </c>
      <c r="I281">
        <f>S281=ROUND(270*0.01,10)</f>
        <v/>
      </c>
      <c r="J281">
        <f>T281=ROUND(270*0.7,10)</f>
        <v/>
      </c>
      <c r="K281">
        <f>U281=ROUND(270*1.1,10)</f>
        <v/>
      </c>
      <c r="L281">
        <f>V281=ROUND(270*0.25,10)</f>
        <v/>
      </c>
      <c r="M281">
        <f>W281=ROUND(270*0.5,10)</f>
        <v/>
      </c>
      <c r="O281">
        <f>O280+0.1</f>
        <v/>
      </c>
      <c r="P281">
        <f>P280+0.2</f>
        <v/>
      </c>
      <c r="Q281">
        <f>Q280+0.3</f>
        <v/>
      </c>
      <c r="R281">
        <f>R280+0.05</f>
        <v/>
      </c>
      <c r="S281">
        <f>S280+0.01</f>
        <v/>
      </c>
      <c r="T281">
        <f>T280+0.7</f>
        <v/>
      </c>
      <c r="U281">
        <f>U280+1.1</f>
        <v/>
      </c>
      <c r="V281">
        <f>V280+0.25</f>
        <v/>
      </c>
      <c r="W281">
        <f>W280+0.5</f>
        <v/>
      </c>
    </row>
    <row r="282">
      <c r="E282">
        <f>O282=ROUND(271*0.1,10)</f>
        <v/>
      </c>
      <c r="F282">
        <f>P282=ROUND(271*0.2,10)</f>
        <v/>
      </c>
      <c r="G282">
        <f>Q282=ROUND(271*0.3,10)</f>
        <v/>
      </c>
      <c r="H282">
        <f>R282=ROUND(271*0.05,10)</f>
        <v/>
      </c>
      <c r="I282">
        <f>S282=ROUND(271*0.01,10)</f>
        <v/>
      </c>
      <c r="J282">
        <f>T282=ROUND(271*0.7,10)</f>
        <v/>
      </c>
      <c r="K282">
        <f>U282=ROUND(271*1.1,10)</f>
        <v/>
      </c>
      <c r="L282">
        <f>V282=ROUND(271*0.25,10)</f>
        <v/>
      </c>
      <c r="M282">
        <f>W282=ROUND(271*0.5,10)</f>
        <v/>
      </c>
      <c r="O282">
        <f>O281+0.1</f>
        <v/>
      </c>
      <c r="P282">
        <f>P281+0.2</f>
        <v/>
      </c>
      <c r="Q282">
        <f>Q281+0.3</f>
        <v/>
      </c>
      <c r="R282">
        <f>R281+0.05</f>
        <v/>
      </c>
      <c r="S282">
        <f>S281+0.01</f>
        <v/>
      </c>
      <c r="T282">
        <f>T281+0.7</f>
        <v/>
      </c>
      <c r="U282">
        <f>U281+1.1</f>
        <v/>
      </c>
      <c r="V282">
        <f>V281+0.25</f>
        <v/>
      </c>
      <c r="W282">
        <f>W281+0.5</f>
        <v/>
      </c>
    </row>
    <row r="283">
      <c r="E283">
        <f>O283=ROUND(272*0.1,10)</f>
        <v/>
      </c>
      <c r="F283">
        <f>P283=ROUND(272*0.2,10)</f>
        <v/>
      </c>
      <c r="G283">
        <f>Q283=ROUND(272*0.3,10)</f>
        <v/>
      </c>
      <c r="H283">
        <f>R283=ROUND(272*0.05,10)</f>
        <v/>
      </c>
      <c r="I283">
        <f>S283=ROUND(272*0.01,10)</f>
        <v/>
      </c>
      <c r="J283">
        <f>T283=ROUND(272*0.7,10)</f>
        <v/>
      </c>
      <c r="K283">
        <f>U283=ROUND(272*1.1,10)</f>
        <v/>
      </c>
      <c r="L283">
        <f>V283=ROUND(272*0.25,10)</f>
        <v/>
      </c>
      <c r="M283">
        <f>W283=ROUND(272*0.5,10)</f>
        <v/>
      </c>
      <c r="O283">
        <f>O282+0.1</f>
        <v/>
      </c>
      <c r="P283">
        <f>P282+0.2</f>
        <v/>
      </c>
      <c r="Q283">
        <f>Q282+0.3</f>
        <v/>
      </c>
      <c r="R283">
        <f>R282+0.05</f>
        <v/>
      </c>
      <c r="S283">
        <f>S282+0.01</f>
        <v/>
      </c>
      <c r="T283">
        <f>T282+0.7</f>
        <v/>
      </c>
      <c r="U283">
        <f>U282+1.1</f>
        <v/>
      </c>
      <c r="V283">
        <f>V282+0.25</f>
        <v/>
      </c>
      <c r="W283">
        <f>W282+0.5</f>
        <v/>
      </c>
    </row>
    <row r="284">
      <c r="E284">
        <f>O284=ROUND(273*0.1,10)</f>
        <v/>
      </c>
      <c r="F284">
        <f>P284=ROUND(273*0.2,10)</f>
        <v/>
      </c>
      <c r="G284">
        <f>Q284=ROUND(273*0.3,10)</f>
        <v/>
      </c>
      <c r="H284">
        <f>R284=ROUND(273*0.05,10)</f>
        <v/>
      </c>
      <c r="I284">
        <f>S284=ROUND(273*0.01,10)</f>
        <v/>
      </c>
      <c r="J284">
        <f>T284=ROUND(273*0.7,10)</f>
        <v/>
      </c>
      <c r="K284">
        <f>U284=ROUND(273*1.1,10)</f>
        <v/>
      </c>
      <c r="L284">
        <f>V284=ROUND(273*0.25,10)</f>
        <v/>
      </c>
      <c r="M284">
        <f>W284=ROUND(273*0.5,10)</f>
        <v/>
      </c>
      <c r="O284">
        <f>O283+0.1</f>
        <v/>
      </c>
      <c r="P284">
        <f>P283+0.2</f>
        <v/>
      </c>
      <c r="Q284">
        <f>Q283+0.3</f>
        <v/>
      </c>
      <c r="R284">
        <f>R283+0.05</f>
        <v/>
      </c>
      <c r="S284">
        <f>S283+0.01</f>
        <v/>
      </c>
      <c r="T284">
        <f>T283+0.7</f>
        <v/>
      </c>
      <c r="U284">
        <f>U283+1.1</f>
        <v/>
      </c>
      <c r="V284">
        <f>V283+0.25</f>
        <v/>
      </c>
      <c r="W284">
        <f>W283+0.5</f>
        <v/>
      </c>
    </row>
    <row r="285">
      <c r="E285">
        <f>O285=ROUND(274*0.1,10)</f>
        <v/>
      </c>
      <c r="F285">
        <f>P285=ROUND(274*0.2,10)</f>
        <v/>
      </c>
      <c r="G285">
        <f>Q285=ROUND(274*0.3,10)</f>
        <v/>
      </c>
      <c r="H285">
        <f>R285=ROUND(274*0.05,10)</f>
        <v/>
      </c>
      <c r="I285">
        <f>S285=ROUND(274*0.01,10)</f>
        <v/>
      </c>
      <c r="J285">
        <f>T285=ROUND(274*0.7,10)</f>
        <v/>
      </c>
      <c r="K285">
        <f>U285=ROUND(274*1.1,10)</f>
        <v/>
      </c>
      <c r="L285">
        <f>V285=ROUND(274*0.25,10)</f>
        <v/>
      </c>
      <c r="M285">
        <f>W285=ROUND(274*0.5,10)</f>
        <v/>
      </c>
      <c r="O285">
        <f>O284+0.1</f>
        <v/>
      </c>
      <c r="P285">
        <f>P284+0.2</f>
        <v/>
      </c>
      <c r="Q285">
        <f>Q284+0.3</f>
        <v/>
      </c>
      <c r="R285">
        <f>R284+0.05</f>
        <v/>
      </c>
      <c r="S285">
        <f>S284+0.01</f>
        <v/>
      </c>
      <c r="T285">
        <f>T284+0.7</f>
        <v/>
      </c>
      <c r="U285">
        <f>U284+1.1</f>
        <v/>
      </c>
      <c r="V285">
        <f>V284+0.25</f>
        <v/>
      </c>
      <c r="W285">
        <f>W284+0.5</f>
        <v/>
      </c>
    </row>
    <row r="286">
      <c r="E286">
        <f>O286=ROUND(275*0.1,10)</f>
        <v/>
      </c>
      <c r="F286">
        <f>P286=ROUND(275*0.2,10)</f>
        <v/>
      </c>
      <c r="G286">
        <f>Q286=ROUND(275*0.3,10)</f>
        <v/>
      </c>
      <c r="H286">
        <f>R286=ROUND(275*0.05,10)</f>
        <v/>
      </c>
      <c r="I286">
        <f>S286=ROUND(275*0.01,10)</f>
        <v/>
      </c>
      <c r="J286">
        <f>T286=ROUND(275*0.7,10)</f>
        <v/>
      </c>
      <c r="K286">
        <f>U286=ROUND(275*1.1,10)</f>
        <v/>
      </c>
      <c r="L286">
        <f>V286=ROUND(275*0.25,10)</f>
        <v/>
      </c>
      <c r="M286">
        <f>W286=ROUND(275*0.5,10)</f>
        <v/>
      </c>
      <c r="O286">
        <f>O285+0.1</f>
        <v/>
      </c>
      <c r="P286">
        <f>P285+0.2</f>
        <v/>
      </c>
      <c r="Q286">
        <f>Q285+0.3</f>
        <v/>
      </c>
      <c r="R286">
        <f>R285+0.05</f>
        <v/>
      </c>
      <c r="S286">
        <f>S285+0.01</f>
        <v/>
      </c>
      <c r="T286">
        <f>T285+0.7</f>
        <v/>
      </c>
      <c r="U286">
        <f>U285+1.1</f>
        <v/>
      </c>
      <c r="V286">
        <f>V285+0.25</f>
        <v/>
      </c>
      <c r="W286">
        <f>W285+0.5</f>
        <v/>
      </c>
    </row>
    <row r="287">
      <c r="E287">
        <f>O287=ROUND(276*0.1,10)</f>
        <v/>
      </c>
      <c r="F287">
        <f>P287=ROUND(276*0.2,10)</f>
        <v/>
      </c>
      <c r="G287">
        <f>Q287=ROUND(276*0.3,10)</f>
        <v/>
      </c>
      <c r="H287">
        <f>R287=ROUND(276*0.05,10)</f>
        <v/>
      </c>
      <c r="I287">
        <f>S287=ROUND(276*0.01,10)</f>
        <v/>
      </c>
      <c r="J287">
        <f>T287=ROUND(276*0.7,10)</f>
        <v/>
      </c>
      <c r="K287">
        <f>U287=ROUND(276*1.1,10)</f>
        <v/>
      </c>
      <c r="L287">
        <f>V287=ROUND(276*0.25,10)</f>
        <v/>
      </c>
      <c r="M287">
        <f>W287=ROUND(276*0.5,10)</f>
        <v/>
      </c>
      <c r="O287">
        <f>O286+0.1</f>
        <v/>
      </c>
      <c r="P287">
        <f>P286+0.2</f>
        <v/>
      </c>
      <c r="Q287">
        <f>Q286+0.3</f>
        <v/>
      </c>
      <c r="R287">
        <f>R286+0.05</f>
        <v/>
      </c>
      <c r="S287">
        <f>S286+0.01</f>
        <v/>
      </c>
      <c r="T287">
        <f>T286+0.7</f>
        <v/>
      </c>
      <c r="U287">
        <f>U286+1.1</f>
        <v/>
      </c>
      <c r="V287">
        <f>V286+0.25</f>
        <v/>
      </c>
      <c r="W287">
        <f>W286+0.5</f>
        <v/>
      </c>
    </row>
    <row r="288">
      <c r="E288">
        <f>O288=ROUND(277*0.1,10)</f>
        <v/>
      </c>
      <c r="F288">
        <f>P288=ROUND(277*0.2,10)</f>
        <v/>
      </c>
      <c r="G288">
        <f>Q288=ROUND(277*0.3,10)</f>
        <v/>
      </c>
      <c r="H288">
        <f>R288=ROUND(277*0.05,10)</f>
        <v/>
      </c>
      <c r="I288">
        <f>S288=ROUND(277*0.01,10)</f>
        <v/>
      </c>
      <c r="J288">
        <f>T288=ROUND(277*0.7,10)</f>
        <v/>
      </c>
      <c r="K288">
        <f>U288=ROUND(277*1.1,10)</f>
        <v/>
      </c>
      <c r="L288">
        <f>V288=ROUND(277*0.25,10)</f>
        <v/>
      </c>
      <c r="M288">
        <f>W288=ROUND(277*0.5,10)</f>
        <v/>
      </c>
      <c r="O288">
        <f>O287+0.1</f>
        <v/>
      </c>
      <c r="P288">
        <f>P287+0.2</f>
        <v/>
      </c>
      <c r="Q288">
        <f>Q287+0.3</f>
        <v/>
      </c>
      <c r="R288">
        <f>R287+0.05</f>
        <v/>
      </c>
      <c r="S288">
        <f>S287+0.01</f>
        <v/>
      </c>
      <c r="T288">
        <f>T287+0.7</f>
        <v/>
      </c>
      <c r="U288">
        <f>U287+1.1</f>
        <v/>
      </c>
      <c r="V288">
        <f>V287+0.25</f>
        <v/>
      </c>
      <c r="W288">
        <f>W287+0.5</f>
        <v/>
      </c>
    </row>
    <row r="289">
      <c r="E289">
        <f>O289=ROUND(278*0.1,10)</f>
        <v/>
      </c>
      <c r="F289">
        <f>P289=ROUND(278*0.2,10)</f>
        <v/>
      </c>
      <c r="G289">
        <f>Q289=ROUND(278*0.3,10)</f>
        <v/>
      </c>
      <c r="H289">
        <f>R289=ROUND(278*0.05,10)</f>
        <v/>
      </c>
      <c r="I289">
        <f>S289=ROUND(278*0.01,10)</f>
        <v/>
      </c>
      <c r="J289">
        <f>T289=ROUND(278*0.7,10)</f>
        <v/>
      </c>
      <c r="K289">
        <f>U289=ROUND(278*1.1,10)</f>
        <v/>
      </c>
      <c r="L289">
        <f>V289=ROUND(278*0.25,10)</f>
        <v/>
      </c>
      <c r="M289">
        <f>W289=ROUND(278*0.5,10)</f>
        <v/>
      </c>
      <c r="O289">
        <f>O288+0.1</f>
        <v/>
      </c>
      <c r="P289">
        <f>P288+0.2</f>
        <v/>
      </c>
      <c r="Q289">
        <f>Q288+0.3</f>
        <v/>
      </c>
      <c r="R289">
        <f>R288+0.05</f>
        <v/>
      </c>
      <c r="S289">
        <f>S288+0.01</f>
        <v/>
      </c>
      <c r="T289">
        <f>T288+0.7</f>
        <v/>
      </c>
      <c r="U289">
        <f>U288+1.1</f>
        <v/>
      </c>
      <c r="V289">
        <f>V288+0.25</f>
        <v/>
      </c>
      <c r="W289">
        <f>W288+0.5</f>
        <v/>
      </c>
    </row>
    <row r="290">
      <c r="E290">
        <f>O290=ROUND(279*0.1,10)</f>
        <v/>
      </c>
      <c r="F290">
        <f>P290=ROUND(279*0.2,10)</f>
        <v/>
      </c>
      <c r="G290">
        <f>Q290=ROUND(279*0.3,10)</f>
        <v/>
      </c>
      <c r="H290">
        <f>R290=ROUND(279*0.05,10)</f>
        <v/>
      </c>
      <c r="I290">
        <f>S290=ROUND(279*0.01,10)</f>
        <v/>
      </c>
      <c r="J290">
        <f>T290=ROUND(279*0.7,10)</f>
        <v/>
      </c>
      <c r="K290">
        <f>U290=ROUND(279*1.1,10)</f>
        <v/>
      </c>
      <c r="L290">
        <f>V290=ROUND(279*0.25,10)</f>
        <v/>
      </c>
      <c r="M290">
        <f>W290=ROUND(279*0.5,10)</f>
        <v/>
      </c>
      <c r="O290">
        <f>O289+0.1</f>
        <v/>
      </c>
      <c r="P290">
        <f>P289+0.2</f>
        <v/>
      </c>
      <c r="Q290">
        <f>Q289+0.3</f>
        <v/>
      </c>
      <c r="R290">
        <f>R289+0.05</f>
        <v/>
      </c>
      <c r="S290">
        <f>S289+0.01</f>
        <v/>
      </c>
      <c r="T290">
        <f>T289+0.7</f>
        <v/>
      </c>
      <c r="U290">
        <f>U289+1.1</f>
        <v/>
      </c>
      <c r="V290">
        <f>V289+0.25</f>
        <v/>
      </c>
      <c r="W290">
        <f>W289+0.5</f>
        <v/>
      </c>
    </row>
    <row r="291">
      <c r="E291">
        <f>O291=ROUND(280*0.1,10)</f>
        <v/>
      </c>
      <c r="F291">
        <f>P291=ROUND(280*0.2,10)</f>
        <v/>
      </c>
      <c r="G291">
        <f>Q291=ROUND(280*0.3,10)</f>
        <v/>
      </c>
      <c r="H291">
        <f>R291=ROUND(280*0.05,10)</f>
        <v/>
      </c>
      <c r="I291">
        <f>S291=ROUND(280*0.01,10)</f>
        <v/>
      </c>
      <c r="J291">
        <f>T291=ROUND(280*0.7,10)</f>
        <v/>
      </c>
      <c r="K291">
        <f>U291=ROUND(280*1.1,10)</f>
        <v/>
      </c>
      <c r="L291">
        <f>V291=ROUND(280*0.25,10)</f>
        <v/>
      </c>
      <c r="M291">
        <f>W291=ROUND(280*0.5,10)</f>
        <v/>
      </c>
      <c r="O291">
        <f>O290+0.1</f>
        <v/>
      </c>
      <c r="P291">
        <f>P290+0.2</f>
        <v/>
      </c>
      <c r="Q291">
        <f>Q290+0.3</f>
        <v/>
      </c>
      <c r="R291">
        <f>R290+0.05</f>
        <v/>
      </c>
      <c r="S291">
        <f>S290+0.01</f>
        <v/>
      </c>
      <c r="T291">
        <f>T290+0.7</f>
        <v/>
      </c>
      <c r="U291">
        <f>U290+1.1</f>
        <v/>
      </c>
      <c r="V291">
        <f>V290+0.25</f>
        <v/>
      </c>
      <c r="W291">
        <f>W290+0.5</f>
        <v/>
      </c>
    </row>
    <row r="292">
      <c r="E292">
        <f>O292=ROUND(281*0.1,10)</f>
        <v/>
      </c>
      <c r="F292">
        <f>P292=ROUND(281*0.2,10)</f>
        <v/>
      </c>
      <c r="G292">
        <f>Q292=ROUND(281*0.3,10)</f>
        <v/>
      </c>
      <c r="H292">
        <f>R292=ROUND(281*0.05,10)</f>
        <v/>
      </c>
      <c r="I292">
        <f>S292=ROUND(281*0.01,10)</f>
        <v/>
      </c>
      <c r="J292">
        <f>T292=ROUND(281*0.7,10)</f>
        <v/>
      </c>
      <c r="K292">
        <f>U292=ROUND(281*1.1,10)</f>
        <v/>
      </c>
      <c r="L292">
        <f>V292=ROUND(281*0.25,10)</f>
        <v/>
      </c>
      <c r="M292">
        <f>W292=ROUND(281*0.5,10)</f>
        <v/>
      </c>
      <c r="O292">
        <f>O291+0.1</f>
        <v/>
      </c>
      <c r="P292">
        <f>P291+0.2</f>
        <v/>
      </c>
      <c r="Q292">
        <f>Q291+0.3</f>
        <v/>
      </c>
      <c r="R292">
        <f>R291+0.05</f>
        <v/>
      </c>
      <c r="S292">
        <f>S291+0.01</f>
        <v/>
      </c>
      <c r="T292">
        <f>T291+0.7</f>
        <v/>
      </c>
      <c r="U292">
        <f>U291+1.1</f>
        <v/>
      </c>
      <c r="V292">
        <f>V291+0.25</f>
        <v/>
      </c>
      <c r="W292">
        <f>W291+0.5</f>
        <v/>
      </c>
    </row>
    <row r="293">
      <c r="E293">
        <f>O293=ROUND(282*0.1,10)</f>
        <v/>
      </c>
      <c r="F293">
        <f>P293=ROUND(282*0.2,10)</f>
        <v/>
      </c>
      <c r="G293">
        <f>Q293=ROUND(282*0.3,10)</f>
        <v/>
      </c>
      <c r="H293">
        <f>R293=ROUND(282*0.05,10)</f>
        <v/>
      </c>
      <c r="I293">
        <f>S293=ROUND(282*0.01,10)</f>
        <v/>
      </c>
      <c r="J293">
        <f>T293=ROUND(282*0.7,10)</f>
        <v/>
      </c>
      <c r="K293">
        <f>U293=ROUND(282*1.1,10)</f>
        <v/>
      </c>
      <c r="L293">
        <f>V293=ROUND(282*0.25,10)</f>
        <v/>
      </c>
      <c r="M293">
        <f>W293=ROUND(282*0.5,10)</f>
        <v/>
      </c>
      <c r="O293">
        <f>O292+0.1</f>
        <v/>
      </c>
      <c r="P293">
        <f>P292+0.2</f>
        <v/>
      </c>
      <c r="Q293">
        <f>Q292+0.3</f>
        <v/>
      </c>
      <c r="R293">
        <f>R292+0.05</f>
        <v/>
      </c>
      <c r="S293">
        <f>S292+0.01</f>
        <v/>
      </c>
      <c r="T293">
        <f>T292+0.7</f>
        <v/>
      </c>
      <c r="U293">
        <f>U292+1.1</f>
        <v/>
      </c>
      <c r="V293">
        <f>V292+0.25</f>
        <v/>
      </c>
      <c r="W293">
        <f>W292+0.5</f>
        <v/>
      </c>
    </row>
    <row r="294">
      <c r="E294">
        <f>O294=ROUND(283*0.1,10)</f>
        <v/>
      </c>
      <c r="F294">
        <f>P294=ROUND(283*0.2,10)</f>
        <v/>
      </c>
      <c r="G294">
        <f>Q294=ROUND(283*0.3,10)</f>
        <v/>
      </c>
      <c r="H294">
        <f>R294=ROUND(283*0.05,10)</f>
        <v/>
      </c>
      <c r="I294">
        <f>S294=ROUND(283*0.01,10)</f>
        <v/>
      </c>
      <c r="J294">
        <f>T294=ROUND(283*0.7,10)</f>
        <v/>
      </c>
      <c r="K294">
        <f>U294=ROUND(283*1.1,10)</f>
        <v/>
      </c>
      <c r="L294">
        <f>V294=ROUND(283*0.25,10)</f>
        <v/>
      </c>
      <c r="M294">
        <f>W294=ROUND(283*0.5,10)</f>
        <v/>
      </c>
      <c r="O294">
        <f>O293+0.1</f>
        <v/>
      </c>
      <c r="P294">
        <f>P293+0.2</f>
        <v/>
      </c>
      <c r="Q294">
        <f>Q293+0.3</f>
        <v/>
      </c>
      <c r="R294">
        <f>R293+0.05</f>
        <v/>
      </c>
      <c r="S294">
        <f>S293+0.01</f>
        <v/>
      </c>
      <c r="T294">
        <f>T293+0.7</f>
        <v/>
      </c>
      <c r="U294">
        <f>U293+1.1</f>
        <v/>
      </c>
      <c r="V294">
        <f>V293+0.25</f>
        <v/>
      </c>
      <c r="W294">
        <f>W293+0.5</f>
        <v/>
      </c>
    </row>
    <row r="295">
      <c r="E295">
        <f>O295=ROUND(284*0.1,10)</f>
        <v/>
      </c>
      <c r="F295">
        <f>P295=ROUND(284*0.2,10)</f>
        <v/>
      </c>
      <c r="G295">
        <f>Q295=ROUND(284*0.3,10)</f>
        <v/>
      </c>
      <c r="H295">
        <f>R295=ROUND(284*0.05,10)</f>
        <v/>
      </c>
      <c r="I295">
        <f>S295=ROUND(284*0.01,10)</f>
        <v/>
      </c>
      <c r="J295">
        <f>T295=ROUND(284*0.7,10)</f>
        <v/>
      </c>
      <c r="K295">
        <f>U295=ROUND(284*1.1,10)</f>
        <v/>
      </c>
      <c r="L295">
        <f>V295=ROUND(284*0.25,10)</f>
        <v/>
      </c>
      <c r="M295">
        <f>W295=ROUND(284*0.5,10)</f>
        <v/>
      </c>
      <c r="O295">
        <f>O294+0.1</f>
        <v/>
      </c>
      <c r="P295">
        <f>P294+0.2</f>
        <v/>
      </c>
      <c r="Q295">
        <f>Q294+0.3</f>
        <v/>
      </c>
      <c r="R295">
        <f>R294+0.05</f>
        <v/>
      </c>
      <c r="S295">
        <f>S294+0.01</f>
        <v/>
      </c>
      <c r="T295">
        <f>T294+0.7</f>
        <v/>
      </c>
      <c r="U295">
        <f>U294+1.1</f>
        <v/>
      </c>
      <c r="V295">
        <f>V294+0.25</f>
        <v/>
      </c>
      <c r="W295">
        <f>W294+0.5</f>
        <v/>
      </c>
    </row>
    <row r="296">
      <c r="E296">
        <f>O296=ROUND(285*0.1,10)</f>
        <v/>
      </c>
      <c r="F296">
        <f>P296=ROUND(285*0.2,10)</f>
        <v/>
      </c>
      <c r="G296">
        <f>Q296=ROUND(285*0.3,10)</f>
        <v/>
      </c>
      <c r="H296">
        <f>R296=ROUND(285*0.05,10)</f>
        <v/>
      </c>
      <c r="I296">
        <f>S296=ROUND(285*0.01,10)</f>
        <v/>
      </c>
      <c r="J296">
        <f>T296=ROUND(285*0.7,10)</f>
        <v/>
      </c>
      <c r="K296">
        <f>U296=ROUND(285*1.1,10)</f>
        <v/>
      </c>
      <c r="L296">
        <f>V296=ROUND(285*0.25,10)</f>
        <v/>
      </c>
      <c r="M296">
        <f>W296=ROUND(285*0.5,10)</f>
        <v/>
      </c>
      <c r="O296">
        <f>O295+0.1</f>
        <v/>
      </c>
      <c r="P296">
        <f>P295+0.2</f>
        <v/>
      </c>
      <c r="Q296">
        <f>Q295+0.3</f>
        <v/>
      </c>
      <c r="R296">
        <f>R295+0.05</f>
        <v/>
      </c>
      <c r="S296">
        <f>S295+0.01</f>
        <v/>
      </c>
      <c r="T296">
        <f>T295+0.7</f>
        <v/>
      </c>
      <c r="U296">
        <f>U295+1.1</f>
        <v/>
      </c>
      <c r="V296">
        <f>V295+0.25</f>
        <v/>
      </c>
      <c r="W296">
        <f>W295+0.5</f>
        <v/>
      </c>
    </row>
    <row r="297">
      <c r="E297">
        <f>O297=ROUND(286*0.1,10)</f>
        <v/>
      </c>
      <c r="F297">
        <f>P297=ROUND(286*0.2,10)</f>
        <v/>
      </c>
      <c r="G297">
        <f>Q297=ROUND(286*0.3,10)</f>
        <v/>
      </c>
      <c r="H297">
        <f>R297=ROUND(286*0.05,10)</f>
        <v/>
      </c>
      <c r="I297">
        <f>S297=ROUND(286*0.01,10)</f>
        <v/>
      </c>
      <c r="J297">
        <f>T297=ROUND(286*0.7,10)</f>
        <v/>
      </c>
      <c r="K297">
        <f>U297=ROUND(286*1.1,10)</f>
        <v/>
      </c>
      <c r="L297">
        <f>V297=ROUND(286*0.25,10)</f>
        <v/>
      </c>
      <c r="M297">
        <f>W297=ROUND(286*0.5,10)</f>
        <v/>
      </c>
      <c r="O297">
        <f>O296+0.1</f>
        <v/>
      </c>
      <c r="P297">
        <f>P296+0.2</f>
        <v/>
      </c>
      <c r="Q297">
        <f>Q296+0.3</f>
        <v/>
      </c>
      <c r="R297">
        <f>R296+0.05</f>
        <v/>
      </c>
      <c r="S297">
        <f>S296+0.01</f>
        <v/>
      </c>
      <c r="T297">
        <f>T296+0.7</f>
        <v/>
      </c>
      <c r="U297">
        <f>U296+1.1</f>
        <v/>
      </c>
      <c r="V297">
        <f>V296+0.25</f>
        <v/>
      </c>
      <c r="W297">
        <f>W296+0.5</f>
        <v/>
      </c>
    </row>
    <row r="298">
      <c r="E298">
        <f>O298=ROUND(287*0.1,10)</f>
        <v/>
      </c>
      <c r="F298">
        <f>P298=ROUND(287*0.2,10)</f>
        <v/>
      </c>
      <c r="G298">
        <f>Q298=ROUND(287*0.3,10)</f>
        <v/>
      </c>
      <c r="H298">
        <f>R298=ROUND(287*0.05,10)</f>
        <v/>
      </c>
      <c r="I298">
        <f>S298=ROUND(287*0.01,10)</f>
        <v/>
      </c>
      <c r="J298">
        <f>T298=ROUND(287*0.7,10)</f>
        <v/>
      </c>
      <c r="K298">
        <f>U298=ROUND(287*1.1,10)</f>
        <v/>
      </c>
      <c r="L298">
        <f>V298=ROUND(287*0.25,10)</f>
        <v/>
      </c>
      <c r="M298">
        <f>W298=ROUND(287*0.5,10)</f>
        <v/>
      </c>
      <c r="O298">
        <f>O297+0.1</f>
        <v/>
      </c>
      <c r="P298">
        <f>P297+0.2</f>
        <v/>
      </c>
      <c r="Q298">
        <f>Q297+0.3</f>
        <v/>
      </c>
      <c r="R298">
        <f>R297+0.05</f>
        <v/>
      </c>
      <c r="S298">
        <f>S297+0.01</f>
        <v/>
      </c>
      <c r="T298">
        <f>T297+0.7</f>
        <v/>
      </c>
      <c r="U298">
        <f>U297+1.1</f>
        <v/>
      </c>
      <c r="V298">
        <f>V297+0.25</f>
        <v/>
      </c>
      <c r="W298">
        <f>W297+0.5</f>
        <v/>
      </c>
    </row>
    <row r="299">
      <c r="E299">
        <f>O299=ROUND(288*0.1,10)</f>
        <v/>
      </c>
      <c r="F299">
        <f>P299=ROUND(288*0.2,10)</f>
        <v/>
      </c>
      <c r="G299">
        <f>Q299=ROUND(288*0.3,10)</f>
        <v/>
      </c>
      <c r="H299">
        <f>R299=ROUND(288*0.05,10)</f>
        <v/>
      </c>
      <c r="I299">
        <f>S299=ROUND(288*0.01,10)</f>
        <v/>
      </c>
      <c r="J299">
        <f>T299=ROUND(288*0.7,10)</f>
        <v/>
      </c>
      <c r="K299">
        <f>U299=ROUND(288*1.1,10)</f>
        <v/>
      </c>
      <c r="L299">
        <f>V299=ROUND(288*0.25,10)</f>
        <v/>
      </c>
      <c r="M299">
        <f>W299=ROUND(288*0.5,10)</f>
        <v/>
      </c>
      <c r="O299">
        <f>O298+0.1</f>
        <v/>
      </c>
      <c r="P299">
        <f>P298+0.2</f>
        <v/>
      </c>
      <c r="Q299">
        <f>Q298+0.3</f>
        <v/>
      </c>
      <c r="R299">
        <f>R298+0.05</f>
        <v/>
      </c>
      <c r="S299">
        <f>S298+0.01</f>
        <v/>
      </c>
      <c r="T299">
        <f>T298+0.7</f>
        <v/>
      </c>
      <c r="U299">
        <f>U298+1.1</f>
        <v/>
      </c>
      <c r="V299">
        <f>V298+0.25</f>
        <v/>
      </c>
      <c r="W299">
        <f>W298+0.5</f>
        <v/>
      </c>
    </row>
    <row r="300">
      <c r="E300">
        <f>O300=ROUND(289*0.1,10)</f>
        <v/>
      </c>
      <c r="F300">
        <f>P300=ROUND(289*0.2,10)</f>
        <v/>
      </c>
      <c r="G300">
        <f>Q300=ROUND(289*0.3,10)</f>
        <v/>
      </c>
      <c r="H300">
        <f>R300=ROUND(289*0.05,10)</f>
        <v/>
      </c>
      <c r="I300">
        <f>S300=ROUND(289*0.01,10)</f>
        <v/>
      </c>
      <c r="J300">
        <f>T300=ROUND(289*0.7,10)</f>
        <v/>
      </c>
      <c r="K300">
        <f>U300=ROUND(289*1.1,10)</f>
        <v/>
      </c>
      <c r="L300">
        <f>V300=ROUND(289*0.25,10)</f>
        <v/>
      </c>
      <c r="M300">
        <f>W300=ROUND(289*0.5,10)</f>
        <v/>
      </c>
      <c r="O300">
        <f>O299+0.1</f>
        <v/>
      </c>
      <c r="P300">
        <f>P299+0.2</f>
        <v/>
      </c>
      <c r="Q300">
        <f>Q299+0.3</f>
        <v/>
      </c>
      <c r="R300">
        <f>R299+0.05</f>
        <v/>
      </c>
      <c r="S300">
        <f>S299+0.01</f>
        <v/>
      </c>
      <c r="T300">
        <f>T299+0.7</f>
        <v/>
      </c>
      <c r="U300">
        <f>U299+1.1</f>
        <v/>
      </c>
      <c r="V300">
        <f>V299+0.25</f>
        <v/>
      </c>
      <c r="W300">
        <f>W299+0.5</f>
        <v/>
      </c>
    </row>
    <row r="301">
      <c r="E301">
        <f>O301=ROUND(290*0.1,10)</f>
        <v/>
      </c>
      <c r="F301">
        <f>P301=ROUND(290*0.2,10)</f>
        <v/>
      </c>
      <c r="G301">
        <f>Q301=ROUND(290*0.3,10)</f>
        <v/>
      </c>
      <c r="H301">
        <f>R301=ROUND(290*0.05,10)</f>
        <v/>
      </c>
      <c r="I301">
        <f>S301=ROUND(290*0.01,10)</f>
        <v/>
      </c>
      <c r="J301">
        <f>T301=ROUND(290*0.7,10)</f>
        <v/>
      </c>
      <c r="K301">
        <f>U301=ROUND(290*1.1,10)</f>
        <v/>
      </c>
      <c r="L301">
        <f>V301=ROUND(290*0.25,10)</f>
        <v/>
      </c>
      <c r="M301">
        <f>W301=ROUND(290*0.5,10)</f>
        <v/>
      </c>
      <c r="O301">
        <f>O300+0.1</f>
        <v/>
      </c>
      <c r="P301">
        <f>P300+0.2</f>
        <v/>
      </c>
      <c r="Q301">
        <f>Q300+0.3</f>
        <v/>
      </c>
      <c r="R301">
        <f>R300+0.05</f>
        <v/>
      </c>
      <c r="S301">
        <f>S300+0.01</f>
        <v/>
      </c>
      <c r="T301">
        <f>T300+0.7</f>
        <v/>
      </c>
      <c r="U301">
        <f>U300+1.1</f>
        <v/>
      </c>
      <c r="V301">
        <f>V300+0.25</f>
        <v/>
      </c>
      <c r="W301">
        <f>W300+0.5</f>
        <v/>
      </c>
    </row>
    <row r="302">
      <c r="E302">
        <f>O302=ROUND(291*0.1,10)</f>
        <v/>
      </c>
      <c r="F302">
        <f>P302=ROUND(291*0.2,10)</f>
        <v/>
      </c>
      <c r="G302">
        <f>Q302=ROUND(291*0.3,10)</f>
        <v/>
      </c>
      <c r="H302">
        <f>R302=ROUND(291*0.05,10)</f>
        <v/>
      </c>
      <c r="I302">
        <f>S302=ROUND(291*0.01,10)</f>
        <v/>
      </c>
      <c r="J302">
        <f>T302=ROUND(291*0.7,10)</f>
        <v/>
      </c>
      <c r="K302">
        <f>U302=ROUND(291*1.1,10)</f>
        <v/>
      </c>
      <c r="L302">
        <f>V302=ROUND(291*0.25,10)</f>
        <v/>
      </c>
      <c r="M302">
        <f>W302=ROUND(291*0.5,10)</f>
        <v/>
      </c>
      <c r="O302">
        <f>O301+0.1</f>
        <v/>
      </c>
      <c r="P302">
        <f>P301+0.2</f>
        <v/>
      </c>
      <c r="Q302">
        <f>Q301+0.3</f>
        <v/>
      </c>
      <c r="R302">
        <f>R301+0.05</f>
        <v/>
      </c>
      <c r="S302">
        <f>S301+0.01</f>
        <v/>
      </c>
      <c r="T302">
        <f>T301+0.7</f>
        <v/>
      </c>
      <c r="U302">
        <f>U301+1.1</f>
        <v/>
      </c>
      <c r="V302">
        <f>V301+0.25</f>
        <v/>
      </c>
      <c r="W302">
        <f>W301+0.5</f>
        <v/>
      </c>
    </row>
    <row r="303">
      <c r="E303">
        <f>O303=ROUND(292*0.1,10)</f>
        <v/>
      </c>
      <c r="F303">
        <f>P303=ROUND(292*0.2,10)</f>
        <v/>
      </c>
      <c r="G303">
        <f>Q303=ROUND(292*0.3,10)</f>
        <v/>
      </c>
      <c r="H303">
        <f>R303=ROUND(292*0.05,10)</f>
        <v/>
      </c>
      <c r="I303">
        <f>S303=ROUND(292*0.01,10)</f>
        <v/>
      </c>
      <c r="J303">
        <f>T303=ROUND(292*0.7,10)</f>
        <v/>
      </c>
      <c r="K303">
        <f>U303=ROUND(292*1.1,10)</f>
        <v/>
      </c>
      <c r="L303">
        <f>V303=ROUND(292*0.25,10)</f>
        <v/>
      </c>
      <c r="M303">
        <f>W303=ROUND(292*0.5,10)</f>
        <v/>
      </c>
      <c r="O303">
        <f>O302+0.1</f>
        <v/>
      </c>
      <c r="P303">
        <f>P302+0.2</f>
        <v/>
      </c>
      <c r="Q303">
        <f>Q302+0.3</f>
        <v/>
      </c>
      <c r="R303">
        <f>R302+0.05</f>
        <v/>
      </c>
      <c r="S303">
        <f>S302+0.01</f>
        <v/>
      </c>
      <c r="T303">
        <f>T302+0.7</f>
        <v/>
      </c>
      <c r="U303">
        <f>U302+1.1</f>
        <v/>
      </c>
      <c r="V303">
        <f>V302+0.25</f>
        <v/>
      </c>
      <c r="W303">
        <f>W302+0.5</f>
        <v/>
      </c>
    </row>
    <row r="304">
      <c r="E304">
        <f>O304=ROUND(293*0.1,10)</f>
        <v/>
      </c>
      <c r="F304">
        <f>P304=ROUND(293*0.2,10)</f>
        <v/>
      </c>
      <c r="G304">
        <f>Q304=ROUND(293*0.3,10)</f>
        <v/>
      </c>
      <c r="H304">
        <f>R304=ROUND(293*0.05,10)</f>
        <v/>
      </c>
      <c r="I304">
        <f>S304=ROUND(293*0.01,10)</f>
        <v/>
      </c>
      <c r="J304">
        <f>T304=ROUND(293*0.7,10)</f>
        <v/>
      </c>
      <c r="K304">
        <f>U304=ROUND(293*1.1,10)</f>
        <v/>
      </c>
      <c r="L304">
        <f>V304=ROUND(293*0.25,10)</f>
        <v/>
      </c>
      <c r="M304">
        <f>W304=ROUND(293*0.5,10)</f>
        <v/>
      </c>
      <c r="O304">
        <f>O303+0.1</f>
        <v/>
      </c>
      <c r="P304">
        <f>P303+0.2</f>
        <v/>
      </c>
      <c r="Q304">
        <f>Q303+0.3</f>
        <v/>
      </c>
      <c r="R304">
        <f>R303+0.05</f>
        <v/>
      </c>
      <c r="S304">
        <f>S303+0.01</f>
        <v/>
      </c>
      <c r="T304">
        <f>T303+0.7</f>
        <v/>
      </c>
      <c r="U304">
        <f>U303+1.1</f>
        <v/>
      </c>
      <c r="V304">
        <f>V303+0.25</f>
        <v/>
      </c>
      <c r="W304">
        <f>W303+0.5</f>
        <v/>
      </c>
    </row>
    <row r="305">
      <c r="E305">
        <f>O305=ROUND(294*0.1,10)</f>
        <v/>
      </c>
      <c r="F305">
        <f>P305=ROUND(294*0.2,10)</f>
        <v/>
      </c>
      <c r="G305">
        <f>Q305=ROUND(294*0.3,10)</f>
        <v/>
      </c>
      <c r="H305">
        <f>R305=ROUND(294*0.05,10)</f>
        <v/>
      </c>
      <c r="I305">
        <f>S305=ROUND(294*0.01,10)</f>
        <v/>
      </c>
      <c r="J305">
        <f>T305=ROUND(294*0.7,10)</f>
        <v/>
      </c>
      <c r="K305">
        <f>U305=ROUND(294*1.1,10)</f>
        <v/>
      </c>
      <c r="L305">
        <f>V305=ROUND(294*0.25,10)</f>
        <v/>
      </c>
      <c r="M305">
        <f>W305=ROUND(294*0.5,10)</f>
        <v/>
      </c>
      <c r="O305">
        <f>O304+0.1</f>
        <v/>
      </c>
      <c r="P305">
        <f>P304+0.2</f>
        <v/>
      </c>
      <c r="Q305">
        <f>Q304+0.3</f>
        <v/>
      </c>
      <c r="R305">
        <f>R304+0.05</f>
        <v/>
      </c>
      <c r="S305">
        <f>S304+0.01</f>
        <v/>
      </c>
      <c r="T305">
        <f>T304+0.7</f>
        <v/>
      </c>
      <c r="U305">
        <f>U304+1.1</f>
        <v/>
      </c>
      <c r="V305">
        <f>V304+0.25</f>
        <v/>
      </c>
      <c r="W305">
        <f>W304+0.5</f>
        <v/>
      </c>
    </row>
    <row r="306">
      <c r="E306">
        <f>O306=ROUND(295*0.1,10)</f>
        <v/>
      </c>
      <c r="F306">
        <f>P306=ROUND(295*0.2,10)</f>
        <v/>
      </c>
      <c r="G306">
        <f>Q306=ROUND(295*0.3,10)</f>
        <v/>
      </c>
      <c r="H306">
        <f>R306=ROUND(295*0.05,10)</f>
        <v/>
      </c>
      <c r="I306">
        <f>S306=ROUND(295*0.01,10)</f>
        <v/>
      </c>
      <c r="J306">
        <f>T306=ROUND(295*0.7,10)</f>
        <v/>
      </c>
      <c r="K306">
        <f>U306=ROUND(295*1.1,10)</f>
        <v/>
      </c>
      <c r="L306">
        <f>V306=ROUND(295*0.25,10)</f>
        <v/>
      </c>
      <c r="M306">
        <f>W306=ROUND(295*0.5,10)</f>
        <v/>
      </c>
      <c r="O306">
        <f>O305+0.1</f>
        <v/>
      </c>
      <c r="P306">
        <f>P305+0.2</f>
        <v/>
      </c>
      <c r="Q306">
        <f>Q305+0.3</f>
        <v/>
      </c>
      <c r="R306">
        <f>R305+0.05</f>
        <v/>
      </c>
      <c r="S306">
        <f>S305+0.01</f>
        <v/>
      </c>
      <c r="T306">
        <f>T305+0.7</f>
        <v/>
      </c>
      <c r="U306">
        <f>U305+1.1</f>
        <v/>
      </c>
      <c r="V306">
        <f>V305+0.25</f>
        <v/>
      </c>
      <c r="W306">
        <f>W305+0.5</f>
        <v/>
      </c>
    </row>
    <row r="307">
      <c r="E307">
        <f>O307=ROUND(296*0.1,10)</f>
        <v/>
      </c>
      <c r="F307">
        <f>P307=ROUND(296*0.2,10)</f>
        <v/>
      </c>
      <c r="G307">
        <f>Q307=ROUND(296*0.3,10)</f>
        <v/>
      </c>
      <c r="H307">
        <f>R307=ROUND(296*0.05,10)</f>
        <v/>
      </c>
      <c r="I307">
        <f>S307=ROUND(296*0.01,10)</f>
        <v/>
      </c>
      <c r="J307">
        <f>T307=ROUND(296*0.7,10)</f>
        <v/>
      </c>
      <c r="K307">
        <f>U307=ROUND(296*1.1,10)</f>
        <v/>
      </c>
      <c r="L307">
        <f>V307=ROUND(296*0.25,10)</f>
        <v/>
      </c>
      <c r="M307">
        <f>W307=ROUND(296*0.5,10)</f>
        <v/>
      </c>
      <c r="O307">
        <f>O306+0.1</f>
        <v/>
      </c>
      <c r="P307">
        <f>P306+0.2</f>
        <v/>
      </c>
      <c r="Q307">
        <f>Q306+0.3</f>
        <v/>
      </c>
      <c r="R307">
        <f>R306+0.05</f>
        <v/>
      </c>
      <c r="S307">
        <f>S306+0.01</f>
        <v/>
      </c>
      <c r="T307">
        <f>T306+0.7</f>
        <v/>
      </c>
      <c r="U307">
        <f>U306+1.1</f>
        <v/>
      </c>
      <c r="V307">
        <f>V306+0.25</f>
        <v/>
      </c>
      <c r="W307">
        <f>W306+0.5</f>
        <v/>
      </c>
    </row>
    <row r="308">
      <c r="E308">
        <f>O308=ROUND(297*0.1,10)</f>
        <v/>
      </c>
      <c r="F308">
        <f>P308=ROUND(297*0.2,10)</f>
        <v/>
      </c>
      <c r="G308">
        <f>Q308=ROUND(297*0.3,10)</f>
        <v/>
      </c>
      <c r="H308">
        <f>R308=ROUND(297*0.05,10)</f>
        <v/>
      </c>
      <c r="I308">
        <f>S308=ROUND(297*0.01,10)</f>
        <v/>
      </c>
      <c r="J308">
        <f>T308=ROUND(297*0.7,10)</f>
        <v/>
      </c>
      <c r="K308">
        <f>U308=ROUND(297*1.1,10)</f>
        <v/>
      </c>
      <c r="L308">
        <f>V308=ROUND(297*0.25,10)</f>
        <v/>
      </c>
      <c r="M308">
        <f>W308=ROUND(297*0.5,10)</f>
        <v/>
      </c>
      <c r="O308">
        <f>O307+0.1</f>
        <v/>
      </c>
      <c r="P308">
        <f>P307+0.2</f>
        <v/>
      </c>
      <c r="Q308">
        <f>Q307+0.3</f>
        <v/>
      </c>
      <c r="R308">
        <f>R307+0.05</f>
        <v/>
      </c>
      <c r="S308">
        <f>S307+0.01</f>
        <v/>
      </c>
      <c r="T308">
        <f>T307+0.7</f>
        <v/>
      </c>
      <c r="U308">
        <f>U307+1.1</f>
        <v/>
      </c>
      <c r="V308">
        <f>V307+0.25</f>
        <v/>
      </c>
      <c r="W308">
        <f>W307+0.5</f>
        <v/>
      </c>
    </row>
    <row r="309">
      <c r="E309">
        <f>O309=ROUND(298*0.1,10)</f>
        <v/>
      </c>
      <c r="F309">
        <f>P309=ROUND(298*0.2,10)</f>
        <v/>
      </c>
      <c r="G309">
        <f>Q309=ROUND(298*0.3,10)</f>
        <v/>
      </c>
      <c r="H309">
        <f>R309=ROUND(298*0.05,10)</f>
        <v/>
      </c>
      <c r="I309">
        <f>S309=ROUND(298*0.01,10)</f>
        <v/>
      </c>
      <c r="J309">
        <f>T309=ROUND(298*0.7,10)</f>
        <v/>
      </c>
      <c r="K309">
        <f>U309=ROUND(298*1.1,10)</f>
        <v/>
      </c>
      <c r="L309">
        <f>V309=ROUND(298*0.25,10)</f>
        <v/>
      </c>
      <c r="M309">
        <f>W309=ROUND(298*0.5,10)</f>
        <v/>
      </c>
      <c r="O309">
        <f>O308+0.1</f>
        <v/>
      </c>
      <c r="P309">
        <f>P308+0.2</f>
        <v/>
      </c>
      <c r="Q309">
        <f>Q308+0.3</f>
        <v/>
      </c>
      <c r="R309">
        <f>R308+0.05</f>
        <v/>
      </c>
      <c r="S309">
        <f>S308+0.01</f>
        <v/>
      </c>
      <c r="T309">
        <f>T308+0.7</f>
        <v/>
      </c>
      <c r="U309">
        <f>U308+1.1</f>
        <v/>
      </c>
      <c r="V309">
        <f>V308+0.25</f>
        <v/>
      </c>
      <c r="W309">
        <f>W308+0.5</f>
        <v/>
      </c>
    </row>
    <row r="310">
      <c r="E310">
        <f>O310=ROUND(299*0.1,10)</f>
        <v/>
      </c>
      <c r="F310">
        <f>P310=ROUND(299*0.2,10)</f>
        <v/>
      </c>
      <c r="G310">
        <f>Q310=ROUND(299*0.3,10)</f>
        <v/>
      </c>
      <c r="H310">
        <f>R310=ROUND(299*0.05,10)</f>
        <v/>
      </c>
      <c r="I310">
        <f>S310=ROUND(299*0.01,10)</f>
        <v/>
      </c>
      <c r="J310">
        <f>T310=ROUND(299*0.7,10)</f>
        <v/>
      </c>
      <c r="K310">
        <f>U310=ROUND(299*1.1,10)</f>
        <v/>
      </c>
      <c r="L310">
        <f>V310=ROUND(299*0.25,10)</f>
        <v/>
      </c>
      <c r="M310">
        <f>W310=ROUND(299*0.5,10)</f>
        <v/>
      </c>
      <c r="O310">
        <f>O309+0.1</f>
        <v/>
      </c>
      <c r="P310">
        <f>P309+0.2</f>
        <v/>
      </c>
      <c r="Q310">
        <f>Q309+0.3</f>
        <v/>
      </c>
      <c r="R310">
        <f>R309+0.05</f>
        <v/>
      </c>
      <c r="S310">
        <f>S309+0.01</f>
        <v/>
      </c>
      <c r="T310">
        <f>T309+0.7</f>
        <v/>
      </c>
      <c r="U310">
        <f>U309+1.1</f>
        <v/>
      </c>
      <c r="V310">
        <f>V309+0.25</f>
        <v/>
      </c>
      <c r="W310">
        <f>W309+0.5</f>
        <v/>
      </c>
    </row>
    <row r="311">
      <c r="E311">
        <f>O311=ROUND(300*0.1,10)</f>
        <v/>
      </c>
      <c r="F311">
        <f>P311=ROUND(300*0.2,10)</f>
        <v/>
      </c>
      <c r="G311">
        <f>Q311=ROUND(300*0.3,10)</f>
        <v/>
      </c>
      <c r="H311">
        <f>R311=ROUND(300*0.05,10)</f>
        <v/>
      </c>
      <c r="I311">
        <f>S311=ROUND(300*0.01,10)</f>
        <v/>
      </c>
      <c r="J311">
        <f>T311=ROUND(300*0.7,10)</f>
        <v/>
      </c>
      <c r="K311">
        <f>U311=ROUND(300*1.1,10)</f>
        <v/>
      </c>
      <c r="L311">
        <f>V311=ROUND(300*0.25,10)</f>
        <v/>
      </c>
      <c r="M311">
        <f>W311=ROUND(300*0.5,10)</f>
        <v/>
      </c>
      <c r="O311">
        <f>O310+0.1</f>
        <v/>
      </c>
      <c r="P311">
        <f>P310+0.2</f>
        <v/>
      </c>
      <c r="Q311">
        <f>Q310+0.3</f>
        <v/>
      </c>
      <c r="R311">
        <f>R310+0.05</f>
        <v/>
      </c>
      <c r="S311">
        <f>S310+0.01</f>
        <v/>
      </c>
      <c r="T311">
        <f>T310+0.7</f>
        <v/>
      </c>
      <c r="U311">
        <f>U310+1.1</f>
        <v/>
      </c>
      <c r="V311">
        <f>V310+0.25</f>
        <v/>
      </c>
      <c r="W311">
        <f>W310+0.5</f>
        <v/>
      </c>
    </row>
    <row r="312">
      <c r="E312">
        <f>O312=ROUND(301*0.1,10)</f>
        <v/>
      </c>
      <c r="F312">
        <f>P312=ROUND(301*0.2,10)</f>
        <v/>
      </c>
      <c r="G312">
        <f>Q312=ROUND(301*0.3,10)</f>
        <v/>
      </c>
      <c r="H312">
        <f>R312=ROUND(301*0.05,10)</f>
        <v/>
      </c>
      <c r="I312">
        <f>S312=ROUND(301*0.01,10)</f>
        <v/>
      </c>
      <c r="J312">
        <f>T312=ROUND(301*0.7,10)</f>
        <v/>
      </c>
      <c r="K312">
        <f>U312=ROUND(301*1.1,10)</f>
        <v/>
      </c>
      <c r="L312">
        <f>V312=ROUND(301*0.25,10)</f>
        <v/>
      </c>
      <c r="M312">
        <f>W312=ROUND(301*0.5,10)</f>
        <v/>
      </c>
      <c r="O312">
        <f>O311+0.1</f>
        <v/>
      </c>
      <c r="P312">
        <f>P311+0.2</f>
        <v/>
      </c>
      <c r="Q312">
        <f>Q311+0.3</f>
        <v/>
      </c>
      <c r="R312">
        <f>R311+0.05</f>
        <v/>
      </c>
      <c r="S312">
        <f>S311+0.01</f>
        <v/>
      </c>
      <c r="T312">
        <f>T311+0.7</f>
        <v/>
      </c>
      <c r="U312">
        <f>U311+1.1</f>
        <v/>
      </c>
      <c r="V312">
        <f>V311+0.25</f>
        <v/>
      </c>
      <c r="W312">
        <f>W311+0.5</f>
        <v/>
      </c>
    </row>
    <row r="313">
      <c r="E313">
        <f>O313=ROUND(302*0.1,10)</f>
        <v/>
      </c>
      <c r="F313">
        <f>P313=ROUND(302*0.2,10)</f>
        <v/>
      </c>
      <c r="G313">
        <f>Q313=ROUND(302*0.3,10)</f>
        <v/>
      </c>
      <c r="H313">
        <f>R313=ROUND(302*0.05,10)</f>
        <v/>
      </c>
      <c r="I313">
        <f>S313=ROUND(302*0.01,10)</f>
        <v/>
      </c>
      <c r="J313">
        <f>T313=ROUND(302*0.7,10)</f>
        <v/>
      </c>
      <c r="K313">
        <f>U313=ROUND(302*1.1,10)</f>
        <v/>
      </c>
      <c r="L313">
        <f>V313=ROUND(302*0.25,10)</f>
        <v/>
      </c>
      <c r="M313">
        <f>W313=ROUND(302*0.5,10)</f>
        <v/>
      </c>
      <c r="O313">
        <f>O312+0.1</f>
        <v/>
      </c>
      <c r="P313">
        <f>P312+0.2</f>
        <v/>
      </c>
      <c r="Q313">
        <f>Q312+0.3</f>
        <v/>
      </c>
      <c r="R313">
        <f>R312+0.05</f>
        <v/>
      </c>
      <c r="S313">
        <f>S312+0.01</f>
        <v/>
      </c>
      <c r="T313">
        <f>T312+0.7</f>
        <v/>
      </c>
      <c r="U313">
        <f>U312+1.1</f>
        <v/>
      </c>
      <c r="V313">
        <f>V312+0.25</f>
        <v/>
      </c>
      <c r="W313">
        <f>W312+0.5</f>
        <v/>
      </c>
    </row>
    <row r="314">
      <c r="E314">
        <f>O314=ROUND(303*0.1,10)</f>
        <v/>
      </c>
      <c r="F314">
        <f>P314=ROUND(303*0.2,10)</f>
        <v/>
      </c>
      <c r="G314">
        <f>Q314=ROUND(303*0.3,10)</f>
        <v/>
      </c>
      <c r="H314">
        <f>R314=ROUND(303*0.05,10)</f>
        <v/>
      </c>
      <c r="I314">
        <f>S314=ROUND(303*0.01,10)</f>
        <v/>
      </c>
      <c r="J314">
        <f>T314=ROUND(303*0.7,10)</f>
        <v/>
      </c>
      <c r="K314">
        <f>U314=ROUND(303*1.1,10)</f>
        <v/>
      </c>
      <c r="L314">
        <f>V314=ROUND(303*0.25,10)</f>
        <v/>
      </c>
      <c r="M314">
        <f>W314=ROUND(303*0.5,10)</f>
        <v/>
      </c>
      <c r="O314">
        <f>O313+0.1</f>
        <v/>
      </c>
      <c r="P314">
        <f>P313+0.2</f>
        <v/>
      </c>
      <c r="Q314">
        <f>Q313+0.3</f>
        <v/>
      </c>
      <c r="R314">
        <f>R313+0.05</f>
        <v/>
      </c>
      <c r="S314">
        <f>S313+0.01</f>
        <v/>
      </c>
      <c r="T314">
        <f>T313+0.7</f>
        <v/>
      </c>
      <c r="U314">
        <f>U313+1.1</f>
        <v/>
      </c>
      <c r="V314">
        <f>V313+0.25</f>
        <v/>
      </c>
      <c r="W314">
        <f>W313+0.5</f>
        <v/>
      </c>
    </row>
    <row r="315">
      <c r="E315">
        <f>O315=ROUND(304*0.1,10)</f>
        <v/>
      </c>
      <c r="F315">
        <f>P315=ROUND(304*0.2,10)</f>
        <v/>
      </c>
      <c r="G315">
        <f>Q315=ROUND(304*0.3,10)</f>
        <v/>
      </c>
      <c r="H315">
        <f>R315=ROUND(304*0.05,10)</f>
        <v/>
      </c>
      <c r="I315">
        <f>S315=ROUND(304*0.01,10)</f>
        <v/>
      </c>
      <c r="J315">
        <f>T315=ROUND(304*0.7,10)</f>
        <v/>
      </c>
      <c r="K315">
        <f>U315=ROUND(304*1.1,10)</f>
        <v/>
      </c>
      <c r="L315">
        <f>V315=ROUND(304*0.25,10)</f>
        <v/>
      </c>
      <c r="M315">
        <f>W315=ROUND(304*0.5,10)</f>
        <v/>
      </c>
      <c r="O315">
        <f>O314+0.1</f>
        <v/>
      </c>
      <c r="P315">
        <f>P314+0.2</f>
        <v/>
      </c>
      <c r="Q315">
        <f>Q314+0.3</f>
        <v/>
      </c>
      <c r="R315">
        <f>R314+0.05</f>
        <v/>
      </c>
      <c r="S315">
        <f>S314+0.01</f>
        <v/>
      </c>
      <c r="T315">
        <f>T314+0.7</f>
        <v/>
      </c>
      <c r="U315">
        <f>U314+1.1</f>
        <v/>
      </c>
      <c r="V315">
        <f>V314+0.25</f>
        <v/>
      </c>
      <c r="W315">
        <f>W314+0.5</f>
        <v/>
      </c>
    </row>
    <row r="316">
      <c r="E316">
        <f>O316=ROUND(305*0.1,10)</f>
        <v/>
      </c>
      <c r="F316">
        <f>P316=ROUND(305*0.2,10)</f>
        <v/>
      </c>
      <c r="G316">
        <f>Q316=ROUND(305*0.3,10)</f>
        <v/>
      </c>
      <c r="H316">
        <f>R316=ROUND(305*0.05,10)</f>
        <v/>
      </c>
      <c r="I316">
        <f>S316=ROUND(305*0.01,10)</f>
        <v/>
      </c>
      <c r="J316">
        <f>T316=ROUND(305*0.7,10)</f>
        <v/>
      </c>
      <c r="K316">
        <f>U316=ROUND(305*1.1,10)</f>
        <v/>
      </c>
      <c r="L316">
        <f>V316=ROUND(305*0.25,10)</f>
        <v/>
      </c>
      <c r="M316">
        <f>W316=ROUND(305*0.5,10)</f>
        <v/>
      </c>
      <c r="O316">
        <f>O315+0.1</f>
        <v/>
      </c>
      <c r="P316">
        <f>P315+0.2</f>
        <v/>
      </c>
      <c r="Q316">
        <f>Q315+0.3</f>
        <v/>
      </c>
      <c r="R316">
        <f>R315+0.05</f>
        <v/>
      </c>
      <c r="S316">
        <f>S315+0.01</f>
        <v/>
      </c>
      <c r="T316">
        <f>T315+0.7</f>
        <v/>
      </c>
      <c r="U316">
        <f>U315+1.1</f>
        <v/>
      </c>
      <c r="V316">
        <f>V315+0.25</f>
        <v/>
      </c>
      <c r="W316">
        <f>W315+0.5</f>
        <v/>
      </c>
    </row>
    <row r="317">
      <c r="E317">
        <f>O317=ROUND(306*0.1,10)</f>
        <v/>
      </c>
      <c r="F317">
        <f>P317=ROUND(306*0.2,10)</f>
        <v/>
      </c>
      <c r="G317">
        <f>Q317=ROUND(306*0.3,10)</f>
        <v/>
      </c>
      <c r="H317">
        <f>R317=ROUND(306*0.05,10)</f>
        <v/>
      </c>
      <c r="I317">
        <f>S317=ROUND(306*0.01,10)</f>
        <v/>
      </c>
      <c r="J317">
        <f>T317=ROUND(306*0.7,10)</f>
        <v/>
      </c>
      <c r="K317">
        <f>U317=ROUND(306*1.1,10)</f>
        <v/>
      </c>
      <c r="L317">
        <f>V317=ROUND(306*0.25,10)</f>
        <v/>
      </c>
      <c r="M317">
        <f>W317=ROUND(306*0.5,10)</f>
        <v/>
      </c>
      <c r="O317">
        <f>O316+0.1</f>
        <v/>
      </c>
      <c r="P317">
        <f>P316+0.2</f>
        <v/>
      </c>
      <c r="Q317">
        <f>Q316+0.3</f>
        <v/>
      </c>
      <c r="R317">
        <f>R316+0.05</f>
        <v/>
      </c>
      <c r="S317">
        <f>S316+0.01</f>
        <v/>
      </c>
      <c r="T317">
        <f>T316+0.7</f>
        <v/>
      </c>
      <c r="U317">
        <f>U316+1.1</f>
        <v/>
      </c>
      <c r="V317">
        <f>V316+0.25</f>
        <v/>
      </c>
      <c r="W317">
        <f>W316+0.5</f>
        <v/>
      </c>
    </row>
    <row r="318">
      <c r="E318">
        <f>O318=ROUND(307*0.1,10)</f>
        <v/>
      </c>
      <c r="F318">
        <f>P318=ROUND(307*0.2,10)</f>
        <v/>
      </c>
      <c r="G318">
        <f>Q318=ROUND(307*0.3,10)</f>
        <v/>
      </c>
      <c r="H318">
        <f>R318=ROUND(307*0.05,10)</f>
        <v/>
      </c>
      <c r="I318">
        <f>S318=ROUND(307*0.01,10)</f>
        <v/>
      </c>
      <c r="J318">
        <f>T318=ROUND(307*0.7,10)</f>
        <v/>
      </c>
      <c r="K318">
        <f>U318=ROUND(307*1.1,10)</f>
        <v/>
      </c>
      <c r="L318">
        <f>V318=ROUND(307*0.25,10)</f>
        <v/>
      </c>
      <c r="M318">
        <f>W318=ROUND(307*0.5,10)</f>
        <v/>
      </c>
      <c r="O318">
        <f>O317+0.1</f>
        <v/>
      </c>
      <c r="P318">
        <f>P317+0.2</f>
        <v/>
      </c>
      <c r="Q318">
        <f>Q317+0.3</f>
        <v/>
      </c>
      <c r="R318">
        <f>R317+0.05</f>
        <v/>
      </c>
      <c r="S318">
        <f>S317+0.01</f>
        <v/>
      </c>
      <c r="T318">
        <f>T317+0.7</f>
        <v/>
      </c>
      <c r="U318">
        <f>U317+1.1</f>
        <v/>
      </c>
      <c r="V318">
        <f>V317+0.25</f>
        <v/>
      </c>
      <c r="W318">
        <f>W317+0.5</f>
        <v/>
      </c>
    </row>
    <row r="319">
      <c r="E319">
        <f>O319=ROUND(308*0.1,10)</f>
        <v/>
      </c>
      <c r="F319">
        <f>P319=ROUND(308*0.2,10)</f>
        <v/>
      </c>
      <c r="G319">
        <f>Q319=ROUND(308*0.3,10)</f>
        <v/>
      </c>
      <c r="H319">
        <f>R319=ROUND(308*0.05,10)</f>
        <v/>
      </c>
      <c r="I319">
        <f>S319=ROUND(308*0.01,10)</f>
        <v/>
      </c>
      <c r="J319">
        <f>T319=ROUND(308*0.7,10)</f>
        <v/>
      </c>
      <c r="K319">
        <f>U319=ROUND(308*1.1,10)</f>
        <v/>
      </c>
      <c r="L319">
        <f>V319=ROUND(308*0.25,10)</f>
        <v/>
      </c>
      <c r="M319">
        <f>W319=ROUND(308*0.5,10)</f>
        <v/>
      </c>
      <c r="O319">
        <f>O318+0.1</f>
        <v/>
      </c>
      <c r="P319">
        <f>P318+0.2</f>
        <v/>
      </c>
      <c r="Q319">
        <f>Q318+0.3</f>
        <v/>
      </c>
      <c r="R319">
        <f>R318+0.05</f>
        <v/>
      </c>
      <c r="S319">
        <f>S318+0.01</f>
        <v/>
      </c>
      <c r="T319">
        <f>T318+0.7</f>
        <v/>
      </c>
      <c r="U319">
        <f>U318+1.1</f>
        <v/>
      </c>
      <c r="V319">
        <f>V318+0.25</f>
        <v/>
      </c>
      <c r="W319">
        <f>W318+0.5</f>
        <v/>
      </c>
    </row>
    <row r="320">
      <c r="E320">
        <f>O320=ROUND(309*0.1,10)</f>
        <v/>
      </c>
      <c r="F320">
        <f>P320=ROUND(309*0.2,10)</f>
        <v/>
      </c>
      <c r="G320">
        <f>Q320=ROUND(309*0.3,10)</f>
        <v/>
      </c>
      <c r="H320">
        <f>R320=ROUND(309*0.05,10)</f>
        <v/>
      </c>
      <c r="I320">
        <f>S320=ROUND(309*0.01,10)</f>
        <v/>
      </c>
      <c r="J320">
        <f>T320=ROUND(309*0.7,10)</f>
        <v/>
      </c>
      <c r="K320">
        <f>U320=ROUND(309*1.1,10)</f>
        <v/>
      </c>
      <c r="L320">
        <f>V320=ROUND(309*0.25,10)</f>
        <v/>
      </c>
      <c r="M320">
        <f>W320=ROUND(309*0.5,10)</f>
        <v/>
      </c>
      <c r="O320">
        <f>O319+0.1</f>
        <v/>
      </c>
      <c r="P320">
        <f>P319+0.2</f>
        <v/>
      </c>
      <c r="Q320">
        <f>Q319+0.3</f>
        <v/>
      </c>
      <c r="R320">
        <f>R319+0.05</f>
        <v/>
      </c>
      <c r="S320">
        <f>S319+0.01</f>
        <v/>
      </c>
      <c r="T320">
        <f>T319+0.7</f>
        <v/>
      </c>
      <c r="U320">
        <f>U319+1.1</f>
        <v/>
      </c>
      <c r="V320">
        <f>V319+0.25</f>
        <v/>
      </c>
      <c r="W320">
        <f>W319+0.5</f>
        <v/>
      </c>
    </row>
    <row r="321">
      <c r="E321">
        <f>O321=ROUND(310*0.1,10)</f>
        <v/>
      </c>
      <c r="F321">
        <f>P321=ROUND(310*0.2,10)</f>
        <v/>
      </c>
      <c r="G321">
        <f>Q321=ROUND(310*0.3,10)</f>
        <v/>
      </c>
      <c r="H321">
        <f>R321=ROUND(310*0.05,10)</f>
        <v/>
      </c>
      <c r="I321">
        <f>S321=ROUND(310*0.01,10)</f>
        <v/>
      </c>
      <c r="J321">
        <f>T321=ROUND(310*0.7,10)</f>
        <v/>
      </c>
      <c r="K321">
        <f>U321=ROUND(310*1.1,10)</f>
        <v/>
      </c>
      <c r="L321">
        <f>V321=ROUND(310*0.25,10)</f>
        <v/>
      </c>
      <c r="M321">
        <f>W321=ROUND(310*0.5,10)</f>
        <v/>
      </c>
      <c r="O321">
        <f>O320+0.1</f>
        <v/>
      </c>
      <c r="P321">
        <f>P320+0.2</f>
        <v/>
      </c>
      <c r="Q321">
        <f>Q320+0.3</f>
        <v/>
      </c>
      <c r="R321">
        <f>R320+0.05</f>
        <v/>
      </c>
      <c r="S321">
        <f>S320+0.01</f>
        <v/>
      </c>
      <c r="T321">
        <f>T320+0.7</f>
        <v/>
      </c>
      <c r="U321">
        <f>U320+1.1</f>
        <v/>
      </c>
      <c r="V321">
        <f>V320+0.25</f>
        <v/>
      </c>
      <c r="W321">
        <f>W320+0.5</f>
        <v/>
      </c>
    </row>
    <row r="322">
      <c r="E322">
        <f>O322=ROUND(311*0.1,10)</f>
        <v/>
      </c>
      <c r="F322">
        <f>P322=ROUND(311*0.2,10)</f>
        <v/>
      </c>
      <c r="G322">
        <f>Q322=ROUND(311*0.3,10)</f>
        <v/>
      </c>
      <c r="H322">
        <f>R322=ROUND(311*0.05,10)</f>
        <v/>
      </c>
      <c r="I322">
        <f>S322=ROUND(311*0.01,10)</f>
        <v/>
      </c>
      <c r="J322">
        <f>T322=ROUND(311*0.7,10)</f>
        <v/>
      </c>
      <c r="K322">
        <f>U322=ROUND(311*1.1,10)</f>
        <v/>
      </c>
      <c r="L322">
        <f>V322=ROUND(311*0.25,10)</f>
        <v/>
      </c>
      <c r="M322">
        <f>W322=ROUND(311*0.5,10)</f>
        <v/>
      </c>
      <c r="O322">
        <f>O321+0.1</f>
        <v/>
      </c>
      <c r="P322">
        <f>P321+0.2</f>
        <v/>
      </c>
      <c r="Q322">
        <f>Q321+0.3</f>
        <v/>
      </c>
      <c r="R322">
        <f>R321+0.05</f>
        <v/>
      </c>
      <c r="S322">
        <f>S321+0.01</f>
        <v/>
      </c>
      <c r="T322">
        <f>T321+0.7</f>
        <v/>
      </c>
      <c r="U322">
        <f>U321+1.1</f>
        <v/>
      </c>
      <c r="V322">
        <f>V321+0.25</f>
        <v/>
      </c>
      <c r="W322">
        <f>W321+0.5</f>
        <v/>
      </c>
    </row>
    <row r="323">
      <c r="E323">
        <f>O323=ROUND(312*0.1,10)</f>
        <v/>
      </c>
      <c r="F323">
        <f>P323=ROUND(312*0.2,10)</f>
        <v/>
      </c>
      <c r="G323">
        <f>Q323=ROUND(312*0.3,10)</f>
        <v/>
      </c>
      <c r="H323">
        <f>R323=ROUND(312*0.05,10)</f>
        <v/>
      </c>
      <c r="I323">
        <f>S323=ROUND(312*0.01,10)</f>
        <v/>
      </c>
      <c r="J323">
        <f>T323=ROUND(312*0.7,10)</f>
        <v/>
      </c>
      <c r="K323">
        <f>U323=ROUND(312*1.1,10)</f>
        <v/>
      </c>
      <c r="L323">
        <f>V323=ROUND(312*0.25,10)</f>
        <v/>
      </c>
      <c r="M323">
        <f>W323=ROUND(312*0.5,10)</f>
        <v/>
      </c>
      <c r="O323">
        <f>O322+0.1</f>
        <v/>
      </c>
      <c r="P323">
        <f>P322+0.2</f>
        <v/>
      </c>
      <c r="Q323">
        <f>Q322+0.3</f>
        <v/>
      </c>
      <c r="R323">
        <f>R322+0.05</f>
        <v/>
      </c>
      <c r="S323">
        <f>S322+0.01</f>
        <v/>
      </c>
      <c r="T323">
        <f>T322+0.7</f>
        <v/>
      </c>
      <c r="U323">
        <f>U322+1.1</f>
        <v/>
      </c>
      <c r="V323">
        <f>V322+0.25</f>
        <v/>
      </c>
      <c r="W323">
        <f>W322+0.5</f>
        <v/>
      </c>
    </row>
    <row r="324">
      <c r="E324">
        <f>O324=ROUND(313*0.1,10)</f>
        <v/>
      </c>
      <c r="F324">
        <f>P324=ROUND(313*0.2,10)</f>
        <v/>
      </c>
      <c r="G324">
        <f>Q324=ROUND(313*0.3,10)</f>
        <v/>
      </c>
      <c r="H324">
        <f>R324=ROUND(313*0.05,10)</f>
        <v/>
      </c>
      <c r="I324">
        <f>S324=ROUND(313*0.01,10)</f>
        <v/>
      </c>
      <c r="J324">
        <f>T324=ROUND(313*0.7,10)</f>
        <v/>
      </c>
      <c r="K324">
        <f>U324=ROUND(313*1.1,10)</f>
        <v/>
      </c>
      <c r="L324">
        <f>V324=ROUND(313*0.25,10)</f>
        <v/>
      </c>
      <c r="M324">
        <f>W324=ROUND(313*0.5,10)</f>
        <v/>
      </c>
      <c r="O324">
        <f>O323+0.1</f>
        <v/>
      </c>
      <c r="P324">
        <f>P323+0.2</f>
        <v/>
      </c>
      <c r="Q324">
        <f>Q323+0.3</f>
        <v/>
      </c>
      <c r="R324">
        <f>R323+0.05</f>
        <v/>
      </c>
      <c r="S324">
        <f>S323+0.01</f>
        <v/>
      </c>
      <c r="T324">
        <f>T323+0.7</f>
        <v/>
      </c>
      <c r="U324">
        <f>U323+1.1</f>
        <v/>
      </c>
      <c r="V324">
        <f>V323+0.25</f>
        <v/>
      </c>
      <c r="W324">
        <f>W323+0.5</f>
        <v/>
      </c>
    </row>
    <row r="325">
      <c r="E325">
        <f>O325=ROUND(314*0.1,10)</f>
        <v/>
      </c>
      <c r="F325">
        <f>P325=ROUND(314*0.2,10)</f>
        <v/>
      </c>
      <c r="G325">
        <f>Q325=ROUND(314*0.3,10)</f>
        <v/>
      </c>
      <c r="H325">
        <f>R325=ROUND(314*0.05,10)</f>
        <v/>
      </c>
      <c r="I325">
        <f>S325=ROUND(314*0.01,10)</f>
        <v/>
      </c>
      <c r="J325">
        <f>T325=ROUND(314*0.7,10)</f>
        <v/>
      </c>
      <c r="K325">
        <f>U325=ROUND(314*1.1,10)</f>
        <v/>
      </c>
      <c r="L325">
        <f>V325=ROUND(314*0.25,10)</f>
        <v/>
      </c>
      <c r="M325">
        <f>W325=ROUND(314*0.5,10)</f>
        <v/>
      </c>
      <c r="O325">
        <f>O324+0.1</f>
        <v/>
      </c>
      <c r="P325">
        <f>P324+0.2</f>
        <v/>
      </c>
      <c r="Q325">
        <f>Q324+0.3</f>
        <v/>
      </c>
      <c r="R325">
        <f>R324+0.05</f>
        <v/>
      </c>
      <c r="S325">
        <f>S324+0.01</f>
        <v/>
      </c>
      <c r="T325">
        <f>T324+0.7</f>
        <v/>
      </c>
      <c r="U325">
        <f>U324+1.1</f>
        <v/>
      </c>
      <c r="V325">
        <f>V324+0.25</f>
        <v/>
      </c>
      <c r="W325">
        <f>W324+0.5</f>
        <v/>
      </c>
    </row>
    <row r="326">
      <c r="E326">
        <f>O326=ROUND(315*0.1,10)</f>
        <v/>
      </c>
      <c r="F326">
        <f>P326=ROUND(315*0.2,10)</f>
        <v/>
      </c>
      <c r="G326">
        <f>Q326=ROUND(315*0.3,10)</f>
        <v/>
      </c>
      <c r="H326">
        <f>R326=ROUND(315*0.05,10)</f>
        <v/>
      </c>
      <c r="I326">
        <f>S326=ROUND(315*0.01,10)</f>
        <v/>
      </c>
      <c r="J326">
        <f>T326=ROUND(315*0.7,10)</f>
        <v/>
      </c>
      <c r="K326">
        <f>U326=ROUND(315*1.1,10)</f>
        <v/>
      </c>
      <c r="L326">
        <f>V326=ROUND(315*0.25,10)</f>
        <v/>
      </c>
      <c r="M326">
        <f>W326=ROUND(315*0.5,10)</f>
        <v/>
      </c>
      <c r="O326">
        <f>O325+0.1</f>
        <v/>
      </c>
      <c r="P326">
        <f>P325+0.2</f>
        <v/>
      </c>
      <c r="Q326">
        <f>Q325+0.3</f>
        <v/>
      </c>
      <c r="R326">
        <f>R325+0.05</f>
        <v/>
      </c>
      <c r="S326">
        <f>S325+0.01</f>
        <v/>
      </c>
      <c r="T326">
        <f>T325+0.7</f>
        <v/>
      </c>
      <c r="U326">
        <f>U325+1.1</f>
        <v/>
      </c>
      <c r="V326">
        <f>V325+0.25</f>
        <v/>
      </c>
      <c r="W326">
        <f>W325+0.5</f>
        <v/>
      </c>
    </row>
    <row r="327">
      <c r="E327">
        <f>O327=ROUND(316*0.1,10)</f>
        <v/>
      </c>
      <c r="F327">
        <f>P327=ROUND(316*0.2,10)</f>
        <v/>
      </c>
      <c r="G327">
        <f>Q327=ROUND(316*0.3,10)</f>
        <v/>
      </c>
      <c r="H327">
        <f>R327=ROUND(316*0.05,10)</f>
        <v/>
      </c>
      <c r="I327">
        <f>S327=ROUND(316*0.01,10)</f>
        <v/>
      </c>
      <c r="J327">
        <f>T327=ROUND(316*0.7,10)</f>
        <v/>
      </c>
      <c r="K327">
        <f>U327=ROUND(316*1.1,10)</f>
        <v/>
      </c>
      <c r="L327">
        <f>V327=ROUND(316*0.25,10)</f>
        <v/>
      </c>
      <c r="M327">
        <f>W327=ROUND(316*0.5,10)</f>
        <v/>
      </c>
      <c r="O327">
        <f>O326+0.1</f>
        <v/>
      </c>
      <c r="P327">
        <f>P326+0.2</f>
        <v/>
      </c>
      <c r="Q327">
        <f>Q326+0.3</f>
        <v/>
      </c>
      <c r="R327">
        <f>R326+0.05</f>
        <v/>
      </c>
      <c r="S327">
        <f>S326+0.01</f>
        <v/>
      </c>
      <c r="T327">
        <f>T326+0.7</f>
        <v/>
      </c>
      <c r="U327">
        <f>U326+1.1</f>
        <v/>
      </c>
      <c r="V327">
        <f>V326+0.25</f>
        <v/>
      </c>
      <c r="W327">
        <f>W326+0.5</f>
        <v/>
      </c>
    </row>
    <row r="328">
      <c r="E328">
        <f>O328=ROUND(317*0.1,10)</f>
        <v/>
      </c>
      <c r="F328">
        <f>P328=ROUND(317*0.2,10)</f>
        <v/>
      </c>
      <c r="G328">
        <f>Q328=ROUND(317*0.3,10)</f>
        <v/>
      </c>
      <c r="H328">
        <f>R328=ROUND(317*0.05,10)</f>
        <v/>
      </c>
      <c r="I328">
        <f>S328=ROUND(317*0.01,10)</f>
        <v/>
      </c>
      <c r="J328">
        <f>T328=ROUND(317*0.7,10)</f>
        <v/>
      </c>
      <c r="K328">
        <f>U328=ROUND(317*1.1,10)</f>
        <v/>
      </c>
      <c r="L328">
        <f>V328=ROUND(317*0.25,10)</f>
        <v/>
      </c>
      <c r="M328">
        <f>W328=ROUND(317*0.5,10)</f>
        <v/>
      </c>
      <c r="O328">
        <f>O327+0.1</f>
        <v/>
      </c>
      <c r="P328">
        <f>P327+0.2</f>
        <v/>
      </c>
      <c r="Q328">
        <f>Q327+0.3</f>
        <v/>
      </c>
      <c r="R328">
        <f>R327+0.05</f>
        <v/>
      </c>
      <c r="S328">
        <f>S327+0.01</f>
        <v/>
      </c>
      <c r="T328">
        <f>T327+0.7</f>
        <v/>
      </c>
      <c r="U328">
        <f>U327+1.1</f>
        <v/>
      </c>
      <c r="V328">
        <f>V327+0.25</f>
        <v/>
      </c>
      <c r="W328">
        <f>W327+0.5</f>
        <v/>
      </c>
    </row>
    <row r="329">
      <c r="E329">
        <f>O329=ROUND(318*0.1,10)</f>
        <v/>
      </c>
      <c r="F329">
        <f>P329=ROUND(318*0.2,10)</f>
        <v/>
      </c>
      <c r="G329">
        <f>Q329=ROUND(318*0.3,10)</f>
        <v/>
      </c>
      <c r="H329">
        <f>R329=ROUND(318*0.05,10)</f>
        <v/>
      </c>
      <c r="I329">
        <f>S329=ROUND(318*0.01,10)</f>
        <v/>
      </c>
      <c r="J329">
        <f>T329=ROUND(318*0.7,10)</f>
        <v/>
      </c>
      <c r="K329">
        <f>U329=ROUND(318*1.1,10)</f>
        <v/>
      </c>
      <c r="L329">
        <f>V329=ROUND(318*0.25,10)</f>
        <v/>
      </c>
      <c r="M329">
        <f>W329=ROUND(318*0.5,10)</f>
        <v/>
      </c>
      <c r="O329">
        <f>O328+0.1</f>
        <v/>
      </c>
      <c r="P329">
        <f>P328+0.2</f>
        <v/>
      </c>
      <c r="Q329">
        <f>Q328+0.3</f>
        <v/>
      </c>
      <c r="R329">
        <f>R328+0.05</f>
        <v/>
      </c>
      <c r="S329">
        <f>S328+0.01</f>
        <v/>
      </c>
      <c r="T329">
        <f>T328+0.7</f>
        <v/>
      </c>
      <c r="U329">
        <f>U328+1.1</f>
        <v/>
      </c>
      <c r="V329">
        <f>V328+0.25</f>
        <v/>
      </c>
      <c r="W329">
        <f>W328+0.5</f>
        <v/>
      </c>
    </row>
    <row r="330">
      <c r="E330">
        <f>O330=ROUND(319*0.1,10)</f>
        <v/>
      </c>
      <c r="F330">
        <f>P330=ROUND(319*0.2,10)</f>
        <v/>
      </c>
      <c r="G330">
        <f>Q330=ROUND(319*0.3,10)</f>
        <v/>
      </c>
      <c r="H330">
        <f>R330=ROUND(319*0.05,10)</f>
        <v/>
      </c>
      <c r="I330">
        <f>S330=ROUND(319*0.01,10)</f>
        <v/>
      </c>
      <c r="J330">
        <f>T330=ROUND(319*0.7,10)</f>
        <v/>
      </c>
      <c r="K330">
        <f>U330=ROUND(319*1.1,10)</f>
        <v/>
      </c>
      <c r="L330">
        <f>V330=ROUND(319*0.25,10)</f>
        <v/>
      </c>
      <c r="M330">
        <f>W330=ROUND(319*0.5,10)</f>
        <v/>
      </c>
      <c r="O330">
        <f>O329+0.1</f>
        <v/>
      </c>
      <c r="P330">
        <f>P329+0.2</f>
        <v/>
      </c>
      <c r="Q330">
        <f>Q329+0.3</f>
        <v/>
      </c>
      <c r="R330">
        <f>R329+0.05</f>
        <v/>
      </c>
      <c r="S330">
        <f>S329+0.01</f>
        <v/>
      </c>
      <c r="T330">
        <f>T329+0.7</f>
        <v/>
      </c>
      <c r="U330">
        <f>U329+1.1</f>
        <v/>
      </c>
      <c r="V330">
        <f>V329+0.25</f>
        <v/>
      </c>
      <c r="W330">
        <f>W329+0.5</f>
        <v/>
      </c>
    </row>
    <row r="331">
      <c r="E331">
        <f>O331=ROUND(320*0.1,10)</f>
        <v/>
      </c>
      <c r="F331">
        <f>P331=ROUND(320*0.2,10)</f>
        <v/>
      </c>
      <c r="G331">
        <f>Q331=ROUND(320*0.3,10)</f>
        <v/>
      </c>
      <c r="H331">
        <f>R331=ROUND(320*0.05,10)</f>
        <v/>
      </c>
      <c r="I331">
        <f>S331=ROUND(320*0.01,10)</f>
        <v/>
      </c>
      <c r="J331">
        <f>T331=ROUND(320*0.7,10)</f>
        <v/>
      </c>
      <c r="K331">
        <f>U331=ROUND(320*1.1,10)</f>
        <v/>
      </c>
      <c r="L331">
        <f>V331=ROUND(320*0.25,10)</f>
        <v/>
      </c>
      <c r="M331">
        <f>W331=ROUND(320*0.5,10)</f>
        <v/>
      </c>
      <c r="O331">
        <f>O330+0.1</f>
        <v/>
      </c>
      <c r="P331">
        <f>P330+0.2</f>
        <v/>
      </c>
      <c r="Q331">
        <f>Q330+0.3</f>
        <v/>
      </c>
      <c r="R331">
        <f>R330+0.05</f>
        <v/>
      </c>
      <c r="S331">
        <f>S330+0.01</f>
        <v/>
      </c>
      <c r="T331">
        <f>T330+0.7</f>
        <v/>
      </c>
      <c r="U331">
        <f>U330+1.1</f>
        <v/>
      </c>
      <c r="V331">
        <f>V330+0.25</f>
        <v/>
      </c>
      <c r="W331">
        <f>W330+0.5</f>
        <v/>
      </c>
    </row>
    <row r="332">
      <c r="E332">
        <f>O332=ROUND(321*0.1,10)</f>
        <v/>
      </c>
      <c r="F332">
        <f>P332=ROUND(321*0.2,10)</f>
        <v/>
      </c>
      <c r="G332">
        <f>Q332=ROUND(321*0.3,10)</f>
        <v/>
      </c>
      <c r="H332">
        <f>R332=ROUND(321*0.05,10)</f>
        <v/>
      </c>
      <c r="I332">
        <f>S332=ROUND(321*0.01,10)</f>
        <v/>
      </c>
      <c r="J332">
        <f>T332=ROUND(321*0.7,10)</f>
        <v/>
      </c>
      <c r="K332">
        <f>U332=ROUND(321*1.1,10)</f>
        <v/>
      </c>
      <c r="L332">
        <f>V332=ROUND(321*0.25,10)</f>
        <v/>
      </c>
      <c r="M332">
        <f>W332=ROUND(321*0.5,10)</f>
        <v/>
      </c>
      <c r="O332">
        <f>O331+0.1</f>
        <v/>
      </c>
      <c r="P332">
        <f>P331+0.2</f>
        <v/>
      </c>
      <c r="Q332">
        <f>Q331+0.3</f>
        <v/>
      </c>
      <c r="R332">
        <f>R331+0.05</f>
        <v/>
      </c>
      <c r="S332">
        <f>S331+0.01</f>
        <v/>
      </c>
      <c r="T332">
        <f>T331+0.7</f>
        <v/>
      </c>
      <c r="U332">
        <f>U331+1.1</f>
        <v/>
      </c>
      <c r="V332">
        <f>V331+0.25</f>
        <v/>
      </c>
      <c r="W332">
        <f>W331+0.5</f>
        <v/>
      </c>
    </row>
    <row r="333">
      <c r="E333">
        <f>O333=ROUND(322*0.1,10)</f>
        <v/>
      </c>
      <c r="F333">
        <f>P333=ROUND(322*0.2,10)</f>
        <v/>
      </c>
      <c r="G333">
        <f>Q333=ROUND(322*0.3,10)</f>
        <v/>
      </c>
      <c r="H333">
        <f>R333=ROUND(322*0.05,10)</f>
        <v/>
      </c>
      <c r="I333">
        <f>S333=ROUND(322*0.01,10)</f>
        <v/>
      </c>
      <c r="J333">
        <f>T333=ROUND(322*0.7,10)</f>
        <v/>
      </c>
      <c r="K333">
        <f>U333=ROUND(322*1.1,10)</f>
        <v/>
      </c>
      <c r="L333">
        <f>V333=ROUND(322*0.25,10)</f>
        <v/>
      </c>
      <c r="M333">
        <f>W333=ROUND(322*0.5,10)</f>
        <v/>
      </c>
      <c r="O333">
        <f>O332+0.1</f>
        <v/>
      </c>
      <c r="P333">
        <f>P332+0.2</f>
        <v/>
      </c>
      <c r="Q333">
        <f>Q332+0.3</f>
        <v/>
      </c>
      <c r="R333">
        <f>R332+0.05</f>
        <v/>
      </c>
      <c r="S333">
        <f>S332+0.01</f>
        <v/>
      </c>
      <c r="T333">
        <f>T332+0.7</f>
        <v/>
      </c>
      <c r="U333">
        <f>U332+1.1</f>
        <v/>
      </c>
      <c r="V333">
        <f>V332+0.25</f>
        <v/>
      </c>
      <c r="W333">
        <f>W332+0.5</f>
        <v/>
      </c>
    </row>
    <row r="334">
      <c r="E334">
        <f>O334=ROUND(323*0.1,10)</f>
        <v/>
      </c>
      <c r="F334">
        <f>P334=ROUND(323*0.2,10)</f>
        <v/>
      </c>
      <c r="G334">
        <f>Q334=ROUND(323*0.3,10)</f>
        <v/>
      </c>
      <c r="H334">
        <f>R334=ROUND(323*0.05,10)</f>
        <v/>
      </c>
      <c r="I334">
        <f>S334=ROUND(323*0.01,10)</f>
        <v/>
      </c>
      <c r="J334">
        <f>T334=ROUND(323*0.7,10)</f>
        <v/>
      </c>
      <c r="K334">
        <f>U334=ROUND(323*1.1,10)</f>
        <v/>
      </c>
      <c r="L334">
        <f>V334=ROUND(323*0.25,10)</f>
        <v/>
      </c>
      <c r="M334">
        <f>W334=ROUND(323*0.5,10)</f>
        <v/>
      </c>
      <c r="O334">
        <f>O333+0.1</f>
        <v/>
      </c>
      <c r="P334">
        <f>P333+0.2</f>
        <v/>
      </c>
      <c r="Q334">
        <f>Q333+0.3</f>
        <v/>
      </c>
      <c r="R334">
        <f>R333+0.05</f>
        <v/>
      </c>
      <c r="S334">
        <f>S333+0.01</f>
        <v/>
      </c>
      <c r="T334">
        <f>T333+0.7</f>
        <v/>
      </c>
      <c r="U334">
        <f>U333+1.1</f>
        <v/>
      </c>
      <c r="V334">
        <f>V333+0.25</f>
        <v/>
      </c>
      <c r="W334">
        <f>W333+0.5</f>
        <v/>
      </c>
    </row>
    <row r="335">
      <c r="E335">
        <f>O335=ROUND(324*0.1,10)</f>
        <v/>
      </c>
      <c r="F335">
        <f>P335=ROUND(324*0.2,10)</f>
        <v/>
      </c>
      <c r="G335">
        <f>Q335=ROUND(324*0.3,10)</f>
        <v/>
      </c>
      <c r="H335">
        <f>R335=ROUND(324*0.05,10)</f>
        <v/>
      </c>
      <c r="I335">
        <f>S335=ROUND(324*0.01,10)</f>
        <v/>
      </c>
      <c r="J335">
        <f>T335=ROUND(324*0.7,10)</f>
        <v/>
      </c>
      <c r="K335">
        <f>U335=ROUND(324*1.1,10)</f>
        <v/>
      </c>
      <c r="L335">
        <f>V335=ROUND(324*0.25,10)</f>
        <v/>
      </c>
      <c r="M335">
        <f>W335=ROUND(324*0.5,10)</f>
        <v/>
      </c>
      <c r="O335">
        <f>O334+0.1</f>
        <v/>
      </c>
      <c r="P335">
        <f>P334+0.2</f>
        <v/>
      </c>
      <c r="Q335">
        <f>Q334+0.3</f>
        <v/>
      </c>
      <c r="R335">
        <f>R334+0.05</f>
        <v/>
      </c>
      <c r="S335">
        <f>S334+0.01</f>
        <v/>
      </c>
      <c r="T335">
        <f>T334+0.7</f>
        <v/>
      </c>
      <c r="U335">
        <f>U334+1.1</f>
        <v/>
      </c>
      <c r="V335">
        <f>V334+0.25</f>
        <v/>
      </c>
      <c r="W335">
        <f>W334+0.5</f>
        <v/>
      </c>
    </row>
    <row r="336">
      <c r="E336">
        <f>O336=ROUND(325*0.1,10)</f>
        <v/>
      </c>
      <c r="F336">
        <f>P336=ROUND(325*0.2,10)</f>
        <v/>
      </c>
      <c r="G336">
        <f>Q336=ROUND(325*0.3,10)</f>
        <v/>
      </c>
      <c r="H336">
        <f>R336=ROUND(325*0.05,10)</f>
        <v/>
      </c>
      <c r="I336">
        <f>S336=ROUND(325*0.01,10)</f>
        <v/>
      </c>
      <c r="J336">
        <f>T336=ROUND(325*0.7,10)</f>
        <v/>
      </c>
      <c r="K336">
        <f>U336=ROUND(325*1.1,10)</f>
        <v/>
      </c>
      <c r="L336">
        <f>V336=ROUND(325*0.25,10)</f>
        <v/>
      </c>
      <c r="M336">
        <f>W336=ROUND(325*0.5,10)</f>
        <v/>
      </c>
      <c r="O336">
        <f>O335+0.1</f>
        <v/>
      </c>
      <c r="P336">
        <f>P335+0.2</f>
        <v/>
      </c>
      <c r="Q336">
        <f>Q335+0.3</f>
        <v/>
      </c>
      <c r="R336">
        <f>R335+0.05</f>
        <v/>
      </c>
      <c r="S336">
        <f>S335+0.01</f>
        <v/>
      </c>
      <c r="T336">
        <f>T335+0.7</f>
        <v/>
      </c>
      <c r="U336">
        <f>U335+1.1</f>
        <v/>
      </c>
      <c r="V336">
        <f>V335+0.25</f>
        <v/>
      </c>
      <c r="W336">
        <f>W335+0.5</f>
        <v/>
      </c>
    </row>
    <row r="337">
      <c r="E337">
        <f>O337=ROUND(326*0.1,10)</f>
        <v/>
      </c>
      <c r="F337">
        <f>P337=ROUND(326*0.2,10)</f>
        <v/>
      </c>
      <c r="G337">
        <f>Q337=ROUND(326*0.3,10)</f>
        <v/>
      </c>
      <c r="H337">
        <f>R337=ROUND(326*0.05,10)</f>
        <v/>
      </c>
      <c r="I337">
        <f>S337=ROUND(326*0.01,10)</f>
        <v/>
      </c>
      <c r="J337">
        <f>T337=ROUND(326*0.7,10)</f>
        <v/>
      </c>
      <c r="K337">
        <f>U337=ROUND(326*1.1,10)</f>
        <v/>
      </c>
      <c r="L337">
        <f>V337=ROUND(326*0.25,10)</f>
        <v/>
      </c>
      <c r="M337">
        <f>W337=ROUND(326*0.5,10)</f>
        <v/>
      </c>
      <c r="O337">
        <f>O336+0.1</f>
        <v/>
      </c>
      <c r="P337">
        <f>P336+0.2</f>
        <v/>
      </c>
      <c r="Q337">
        <f>Q336+0.3</f>
        <v/>
      </c>
      <c r="R337">
        <f>R336+0.05</f>
        <v/>
      </c>
      <c r="S337">
        <f>S336+0.01</f>
        <v/>
      </c>
      <c r="T337">
        <f>T336+0.7</f>
        <v/>
      </c>
      <c r="U337">
        <f>U336+1.1</f>
        <v/>
      </c>
      <c r="V337">
        <f>V336+0.25</f>
        <v/>
      </c>
      <c r="W337">
        <f>W336+0.5</f>
        <v/>
      </c>
    </row>
    <row r="338">
      <c r="E338">
        <f>O338=ROUND(327*0.1,10)</f>
        <v/>
      </c>
      <c r="F338">
        <f>P338=ROUND(327*0.2,10)</f>
        <v/>
      </c>
      <c r="G338">
        <f>Q338=ROUND(327*0.3,10)</f>
        <v/>
      </c>
      <c r="H338">
        <f>R338=ROUND(327*0.05,10)</f>
        <v/>
      </c>
      <c r="I338">
        <f>S338=ROUND(327*0.01,10)</f>
        <v/>
      </c>
      <c r="J338">
        <f>T338=ROUND(327*0.7,10)</f>
        <v/>
      </c>
      <c r="K338">
        <f>U338=ROUND(327*1.1,10)</f>
        <v/>
      </c>
      <c r="L338">
        <f>V338=ROUND(327*0.25,10)</f>
        <v/>
      </c>
      <c r="M338">
        <f>W338=ROUND(327*0.5,10)</f>
        <v/>
      </c>
      <c r="O338">
        <f>O337+0.1</f>
        <v/>
      </c>
      <c r="P338">
        <f>P337+0.2</f>
        <v/>
      </c>
      <c r="Q338">
        <f>Q337+0.3</f>
        <v/>
      </c>
      <c r="R338">
        <f>R337+0.05</f>
        <v/>
      </c>
      <c r="S338">
        <f>S337+0.01</f>
        <v/>
      </c>
      <c r="T338">
        <f>T337+0.7</f>
        <v/>
      </c>
      <c r="U338">
        <f>U337+1.1</f>
        <v/>
      </c>
      <c r="V338">
        <f>V337+0.25</f>
        <v/>
      </c>
      <c r="W338">
        <f>W337+0.5</f>
        <v/>
      </c>
    </row>
    <row r="339">
      <c r="E339">
        <f>O339=ROUND(328*0.1,10)</f>
        <v/>
      </c>
      <c r="F339">
        <f>P339=ROUND(328*0.2,10)</f>
        <v/>
      </c>
      <c r="G339">
        <f>Q339=ROUND(328*0.3,10)</f>
        <v/>
      </c>
      <c r="H339">
        <f>R339=ROUND(328*0.05,10)</f>
        <v/>
      </c>
      <c r="I339">
        <f>S339=ROUND(328*0.01,10)</f>
        <v/>
      </c>
      <c r="J339">
        <f>T339=ROUND(328*0.7,10)</f>
        <v/>
      </c>
      <c r="K339">
        <f>U339=ROUND(328*1.1,10)</f>
        <v/>
      </c>
      <c r="L339">
        <f>V339=ROUND(328*0.25,10)</f>
        <v/>
      </c>
      <c r="M339">
        <f>W339=ROUND(328*0.5,10)</f>
        <v/>
      </c>
      <c r="O339">
        <f>O338+0.1</f>
        <v/>
      </c>
      <c r="P339">
        <f>P338+0.2</f>
        <v/>
      </c>
      <c r="Q339">
        <f>Q338+0.3</f>
        <v/>
      </c>
      <c r="R339">
        <f>R338+0.05</f>
        <v/>
      </c>
      <c r="S339">
        <f>S338+0.01</f>
        <v/>
      </c>
      <c r="T339">
        <f>T338+0.7</f>
        <v/>
      </c>
      <c r="U339">
        <f>U338+1.1</f>
        <v/>
      </c>
      <c r="V339">
        <f>V338+0.25</f>
        <v/>
      </c>
      <c r="W339">
        <f>W338+0.5</f>
        <v/>
      </c>
    </row>
    <row r="340">
      <c r="E340">
        <f>O340=ROUND(329*0.1,10)</f>
        <v/>
      </c>
      <c r="F340">
        <f>P340=ROUND(329*0.2,10)</f>
        <v/>
      </c>
      <c r="G340">
        <f>Q340=ROUND(329*0.3,10)</f>
        <v/>
      </c>
      <c r="H340">
        <f>R340=ROUND(329*0.05,10)</f>
        <v/>
      </c>
      <c r="I340">
        <f>S340=ROUND(329*0.01,10)</f>
        <v/>
      </c>
      <c r="J340">
        <f>T340=ROUND(329*0.7,10)</f>
        <v/>
      </c>
      <c r="K340">
        <f>U340=ROUND(329*1.1,10)</f>
        <v/>
      </c>
      <c r="L340">
        <f>V340=ROUND(329*0.25,10)</f>
        <v/>
      </c>
      <c r="M340">
        <f>W340=ROUND(329*0.5,10)</f>
        <v/>
      </c>
      <c r="O340">
        <f>O339+0.1</f>
        <v/>
      </c>
      <c r="P340">
        <f>P339+0.2</f>
        <v/>
      </c>
      <c r="Q340">
        <f>Q339+0.3</f>
        <v/>
      </c>
      <c r="R340">
        <f>R339+0.05</f>
        <v/>
      </c>
      <c r="S340">
        <f>S339+0.01</f>
        <v/>
      </c>
      <c r="T340">
        <f>T339+0.7</f>
        <v/>
      </c>
      <c r="U340">
        <f>U339+1.1</f>
        <v/>
      </c>
      <c r="V340">
        <f>V339+0.25</f>
        <v/>
      </c>
      <c r="W340">
        <f>W339+0.5</f>
        <v/>
      </c>
    </row>
    <row r="341">
      <c r="E341">
        <f>O341=ROUND(330*0.1,10)</f>
        <v/>
      </c>
      <c r="F341">
        <f>P341=ROUND(330*0.2,10)</f>
        <v/>
      </c>
      <c r="G341">
        <f>Q341=ROUND(330*0.3,10)</f>
        <v/>
      </c>
      <c r="H341">
        <f>R341=ROUND(330*0.05,10)</f>
        <v/>
      </c>
      <c r="I341">
        <f>S341=ROUND(330*0.01,10)</f>
        <v/>
      </c>
      <c r="J341">
        <f>T341=ROUND(330*0.7,10)</f>
        <v/>
      </c>
      <c r="K341">
        <f>U341=ROUND(330*1.1,10)</f>
        <v/>
      </c>
      <c r="L341">
        <f>V341=ROUND(330*0.25,10)</f>
        <v/>
      </c>
      <c r="M341">
        <f>W341=ROUND(330*0.5,10)</f>
        <v/>
      </c>
      <c r="O341">
        <f>O340+0.1</f>
        <v/>
      </c>
      <c r="P341">
        <f>P340+0.2</f>
        <v/>
      </c>
      <c r="Q341">
        <f>Q340+0.3</f>
        <v/>
      </c>
      <c r="R341">
        <f>R340+0.05</f>
        <v/>
      </c>
      <c r="S341">
        <f>S340+0.01</f>
        <v/>
      </c>
      <c r="T341">
        <f>T340+0.7</f>
        <v/>
      </c>
      <c r="U341">
        <f>U340+1.1</f>
        <v/>
      </c>
      <c r="V341">
        <f>V340+0.25</f>
        <v/>
      </c>
      <c r="W341">
        <f>W340+0.5</f>
        <v/>
      </c>
    </row>
    <row r="342">
      <c r="E342">
        <f>O342=ROUND(331*0.1,10)</f>
        <v/>
      </c>
      <c r="F342">
        <f>P342=ROUND(331*0.2,10)</f>
        <v/>
      </c>
      <c r="G342">
        <f>Q342=ROUND(331*0.3,10)</f>
        <v/>
      </c>
      <c r="H342">
        <f>R342=ROUND(331*0.05,10)</f>
        <v/>
      </c>
      <c r="I342">
        <f>S342=ROUND(331*0.01,10)</f>
        <v/>
      </c>
      <c r="J342">
        <f>T342=ROUND(331*0.7,10)</f>
        <v/>
      </c>
      <c r="K342">
        <f>U342=ROUND(331*1.1,10)</f>
        <v/>
      </c>
      <c r="L342">
        <f>V342=ROUND(331*0.25,10)</f>
        <v/>
      </c>
      <c r="M342">
        <f>W342=ROUND(331*0.5,10)</f>
        <v/>
      </c>
      <c r="O342">
        <f>O341+0.1</f>
        <v/>
      </c>
      <c r="P342">
        <f>P341+0.2</f>
        <v/>
      </c>
      <c r="Q342">
        <f>Q341+0.3</f>
        <v/>
      </c>
      <c r="R342">
        <f>R341+0.05</f>
        <v/>
      </c>
      <c r="S342">
        <f>S341+0.01</f>
        <v/>
      </c>
      <c r="T342">
        <f>T341+0.7</f>
        <v/>
      </c>
      <c r="U342">
        <f>U341+1.1</f>
        <v/>
      </c>
      <c r="V342">
        <f>V341+0.25</f>
        <v/>
      </c>
      <c r="W342">
        <f>W341+0.5</f>
        <v/>
      </c>
    </row>
    <row r="343">
      <c r="E343">
        <f>O343=ROUND(332*0.1,10)</f>
        <v/>
      </c>
      <c r="F343">
        <f>P343=ROUND(332*0.2,10)</f>
        <v/>
      </c>
      <c r="G343">
        <f>Q343=ROUND(332*0.3,10)</f>
        <v/>
      </c>
      <c r="H343">
        <f>R343=ROUND(332*0.05,10)</f>
        <v/>
      </c>
      <c r="I343">
        <f>S343=ROUND(332*0.01,10)</f>
        <v/>
      </c>
      <c r="J343">
        <f>T343=ROUND(332*0.7,10)</f>
        <v/>
      </c>
      <c r="K343">
        <f>U343=ROUND(332*1.1,10)</f>
        <v/>
      </c>
      <c r="L343">
        <f>V343=ROUND(332*0.25,10)</f>
        <v/>
      </c>
      <c r="M343">
        <f>W343=ROUND(332*0.5,10)</f>
        <v/>
      </c>
      <c r="O343">
        <f>O342+0.1</f>
        <v/>
      </c>
      <c r="P343">
        <f>P342+0.2</f>
        <v/>
      </c>
      <c r="Q343">
        <f>Q342+0.3</f>
        <v/>
      </c>
      <c r="R343">
        <f>R342+0.05</f>
        <v/>
      </c>
      <c r="S343">
        <f>S342+0.01</f>
        <v/>
      </c>
      <c r="T343">
        <f>T342+0.7</f>
        <v/>
      </c>
      <c r="U343">
        <f>U342+1.1</f>
        <v/>
      </c>
      <c r="V343">
        <f>V342+0.25</f>
        <v/>
      </c>
      <c r="W343">
        <f>W342+0.5</f>
        <v/>
      </c>
    </row>
    <row r="344">
      <c r="E344">
        <f>O344=ROUND(333*0.1,10)</f>
        <v/>
      </c>
      <c r="F344">
        <f>P344=ROUND(333*0.2,10)</f>
        <v/>
      </c>
      <c r="G344">
        <f>Q344=ROUND(333*0.3,10)</f>
        <v/>
      </c>
      <c r="H344">
        <f>R344=ROUND(333*0.05,10)</f>
        <v/>
      </c>
      <c r="I344">
        <f>S344=ROUND(333*0.01,10)</f>
        <v/>
      </c>
      <c r="J344">
        <f>T344=ROUND(333*0.7,10)</f>
        <v/>
      </c>
      <c r="K344">
        <f>U344=ROUND(333*1.1,10)</f>
        <v/>
      </c>
      <c r="L344">
        <f>V344=ROUND(333*0.25,10)</f>
        <v/>
      </c>
      <c r="M344">
        <f>W344=ROUND(333*0.5,10)</f>
        <v/>
      </c>
      <c r="O344">
        <f>O343+0.1</f>
        <v/>
      </c>
      <c r="P344">
        <f>P343+0.2</f>
        <v/>
      </c>
      <c r="Q344">
        <f>Q343+0.3</f>
        <v/>
      </c>
      <c r="R344">
        <f>R343+0.05</f>
        <v/>
      </c>
      <c r="S344">
        <f>S343+0.01</f>
        <v/>
      </c>
      <c r="T344">
        <f>T343+0.7</f>
        <v/>
      </c>
      <c r="U344">
        <f>U343+1.1</f>
        <v/>
      </c>
      <c r="V344">
        <f>V343+0.25</f>
        <v/>
      </c>
      <c r="W344">
        <f>W343+0.5</f>
        <v/>
      </c>
    </row>
    <row r="345">
      <c r="E345">
        <f>O345=ROUND(334*0.1,10)</f>
        <v/>
      </c>
      <c r="F345">
        <f>P345=ROUND(334*0.2,10)</f>
        <v/>
      </c>
      <c r="G345">
        <f>Q345=ROUND(334*0.3,10)</f>
        <v/>
      </c>
      <c r="H345">
        <f>R345=ROUND(334*0.05,10)</f>
        <v/>
      </c>
      <c r="I345">
        <f>S345=ROUND(334*0.01,10)</f>
        <v/>
      </c>
      <c r="J345">
        <f>T345=ROUND(334*0.7,10)</f>
        <v/>
      </c>
      <c r="K345">
        <f>U345=ROUND(334*1.1,10)</f>
        <v/>
      </c>
      <c r="L345">
        <f>V345=ROUND(334*0.25,10)</f>
        <v/>
      </c>
      <c r="M345">
        <f>W345=ROUND(334*0.5,10)</f>
        <v/>
      </c>
      <c r="O345">
        <f>O344+0.1</f>
        <v/>
      </c>
      <c r="P345">
        <f>P344+0.2</f>
        <v/>
      </c>
      <c r="Q345">
        <f>Q344+0.3</f>
        <v/>
      </c>
      <c r="R345">
        <f>R344+0.05</f>
        <v/>
      </c>
      <c r="S345">
        <f>S344+0.01</f>
        <v/>
      </c>
      <c r="T345">
        <f>T344+0.7</f>
        <v/>
      </c>
      <c r="U345">
        <f>U344+1.1</f>
        <v/>
      </c>
      <c r="V345">
        <f>V344+0.25</f>
        <v/>
      </c>
      <c r="W345">
        <f>W344+0.5</f>
        <v/>
      </c>
    </row>
    <row r="346">
      <c r="E346">
        <f>O346=ROUND(335*0.1,10)</f>
        <v/>
      </c>
      <c r="F346">
        <f>P346=ROUND(335*0.2,10)</f>
        <v/>
      </c>
      <c r="G346">
        <f>Q346=ROUND(335*0.3,10)</f>
        <v/>
      </c>
      <c r="H346">
        <f>R346=ROUND(335*0.05,10)</f>
        <v/>
      </c>
      <c r="I346">
        <f>S346=ROUND(335*0.01,10)</f>
        <v/>
      </c>
      <c r="J346">
        <f>T346=ROUND(335*0.7,10)</f>
        <v/>
      </c>
      <c r="K346">
        <f>U346=ROUND(335*1.1,10)</f>
        <v/>
      </c>
      <c r="L346">
        <f>V346=ROUND(335*0.25,10)</f>
        <v/>
      </c>
      <c r="M346">
        <f>W346=ROUND(335*0.5,10)</f>
        <v/>
      </c>
      <c r="O346">
        <f>O345+0.1</f>
        <v/>
      </c>
      <c r="P346">
        <f>P345+0.2</f>
        <v/>
      </c>
      <c r="Q346">
        <f>Q345+0.3</f>
        <v/>
      </c>
      <c r="R346">
        <f>R345+0.05</f>
        <v/>
      </c>
      <c r="S346">
        <f>S345+0.01</f>
        <v/>
      </c>
      <c r="T346">
        <f>T345+0.7</f>
        <v/>
      </c>
      <c r="U346">
        <f>U345+1.1</f>
        <v/>
      </c>
      <c r="V346">
        <f>V345+0.25</f>
        <v/>
      </c>
      <c r="W346">
        <f>W345+0.5</f>
        <v/>
      </c>
    </row>
    <row r="347">
      <c r="E347">
        <f>O347=ROUND(336*0.1,10)</f>
        <v/>
      </c>
      <c r="F347">
        <f>P347=ROUND(336*0.2,10)</f>
        <v/>
      </c>
      <c r="G347">
        <f>Q347=ROUND(336*0.3,10)</f>
        <v/>
      </c>
      <c r="H347">
        <f>R347=ROUND(336*0.05,10)</f>
        <v/>
      </c>
      <c r="I347">
        <f>S347=ROUND(336*0.01,10)</f>
        <v/>
      </c>
      <c r="J347">
        <f>T347=ROUND(336*0.7,10)</f>
        <v/>
      </c>
      <c r="K347">
        <f>U347=ROUND(336*1.1,10)</f>
        <v/>
      </c>
      <c r="L347">
        <f>V347=ROUND(336*0.25,10)</f>
        <v/>
      </c>
      <c r="M347">
        <f>W347=ROUND(336*0.5,10)</f>
        <v/>
      </c>
      <c r="O347">
        <f>O346+0.1</f>
        <v/>
      </c>
      <c r="P347">
        <f>P346+0.2</f>
        <v/>
      </c>
      <c r="Q347">
        <f>Q346+0.3</f>
        <v/>
      </c>
      <c r="R347">
        <f>R346+0.05</f>
        <v/>
      </c>
      <c r="S347">
        <f>S346+0.01</f>
        <v/>
      </c>
      <c r="T347">
        <f>T346+0.7</f>
        <v/>
      </c>
      <c r="U347">
        <f>U346+1.1</f>
        <v/>
      </c>
      <c r="V347">
        <f>V346+0.25</f>
        <v/>
      </c>
      <c r="W347">
        <f>W346+0.5</f>
        <v/>
      </c>
    </row>
    <row r="348">
      <c r="E348">
        <f>O348=ROUND(337*0.1,10)</f>
        <v/>
      </c>
      <c r="F348">
        <f>P348=ROUND(337*0.2,10)</f>
        <v/>
      </c>
      <c r="G348">
        <f>Q348=ROUND(337*0.3,10)</f>
        <v/>
      </c>
      <c r="H348">
        <f>R348=ROUND(337*0.05,10)</f>
        <v/>
      </c>
      <c r="I348">
        <f>S348=ROUND(337*0.01,10)</f>
        <v/>
      </c>
      <c r="J348">
        <f>T348=ROUND(337*0.7,10)</f>
        <v/>
      </c>
      <c r="K348">
        <f>U348=ROUND(337*1.1,10)</f>
        <v/>
      </c>
      <c r="L348">
        <f>V348=ROUND(337*0.25,10)</f>
        <v/>
      </c>
      <c r="M348">
        <f>W348=ROUND(337*0.5,10)</f>
        <v/>
      </c>
      <c r="O348">
        <f>O347+0.1</f>
        <v/>
      </c>
      <c r="P348">
        <f>P347+0.2</f>
        <v/>
      </c>
      <c r="Q348">
        <f>Q347+0.3</f>
        <v/>
      </c>
      <c r="R348">
        <f>R347+0.05</f>
        <v/>
      </c>
      <c r="S348">
        <f>S347+0.01</f>
        <v/>
      </c>
      <c r="T348">
        <f>T347+0.7</f>
        <v/>
      </c>
      <c r="U348">
        <f>U347+1.1</f>
        <v/>
      </c>
      <c r="V348">
        <f>V347+0.25</f>
        <v/>
      </c>
      <c r="W348">
        <f>W347+0.5</f>
        <v/>
      </c>
    </row>
    <row r="349">
      <c r="E349">
        <f>O349=ROUND(338*0.1,10)</f>
        <v/>
      </c>
      <c r="F349">
        <f>P349=ROUND(338*0.2,10)</f>
        <v/>
      </c>
      <c r="G349">
        <f>Q349=ROUND(338*0.3,10)</f>
        <v/>
      </c>
      <c r="H349">
        <f>R349=ROUND(338*0.05,10)</f>
        <v/>
      </c>
      <c r="I349">
        <f>S349=ROUND(338*0.01,10)</f>
        <v/>
      </c>
      <c r="J349">
        <f>T349=ROUND(338*0.7,10)</f>
        <v/>
      </c>
      <c r="K349">
        <f>U349=ROUND(338*1.1,10)</f>
        <v/>
      </c>
      <c r="L349">
        <f>V349=ROUND(338*0.25,10)</f>
        <v/>
      </c>
      <c r="M349">
        <f>W349=ROUND(338*0.5,10)</f>
        <v/>
      </c>
      <c r="O349">
        <f>O348+0.1</f>
        <v/>
      </c>
      <c r="P349">
        <f>P348+0.2</f>
        <v/>
      </c>
      <c r="Q349">
        <f>Q348+0.3</f>
        <v/>
      </c>
      <c r="R349">
        <f>R348+0.05</f>
        <v/>
      </c>
      <c r="S349">
        <f>S348+0.01</f>
        <v/>
      </c>
      <c r="T349">
        <f>T348+0.7</f>
        <v/>
      </c>
      <c r="U349">
        <f>U348+1.1</f>
        <v/>
      </c>
      <c r="V349">
        <f>V348+0.25</f>
        <v/>
      </c>
      <c r="W349">
        <f>W348+0.5</f>
        <v/>
      </c>
    </row>
    <row r="350">
      <c r="E350">
        <f>O350=ROUND(339*0.1,10)</f>
        <v/>
      </c>
      <c r="F350">
        <f>P350=ROUND(339*0.2,10)</f>
        <v/>
      </c>
      <c r="G350">
        <f>Q350=ROUND(339*0.3,10)</f>
        <v/>
      </c>
      <c r="H350">
        <f>R350=ROUND(339*0.05,10)</f>
        <v/>
      </c>
      <c r="I350">
        <f>S350=ROUND(339*0.01,10)</f>
        <v/>
      </c>
      <c r="J350">
        <f>T350=ROUND(339*0.7,10)</f>
        <v/>
      </c>
      <c r="K350">
        <f>U350=ROUND(339*1.1,10)</f>
        <v/>
      </c>
      <c r="L350">
        <f>V350=ROUND(339*0.25,10)</f>
        <v/>
      </c>
      <c r="M350">
        <f>W350=ROUND(339*0.5,10)</f>
        <v/>
      </c>
      <c r="O350">
        <f>O349+0.1</f>
        <v/>
      </c>
      <c r="P350">
        <f>P349+0.2</f>
        <v/>
      </c>
      <c r="Q350">
        <f>Q349+0.3</f>
        <v/>
      </c>
      <c r="R350">
        <f>R349+0.05</f>
        <v/>
      </c>
      <c r="S350">
        <f>S349+0.01</f>
        <v/>
      </c>
      <c r="T350">
        <f>T349+0.7</f>
        <v/>
      </c>
      <c r="U350">
        <f>U349+1.1</f>
        <v/>
      </c>
      <c r="V350">
        <f>V349+0.25</f>
        <v/>
      </c>
      <c r="W350">
        <f>W349+0.5</f>
        <v/>
      </c>
    </row>
    <row r="351">
      <c r="E351">
        <f>O351=ROUND(340*0.1,10)</f>
        <v/>
      </c>
      <c r="F351">
        <f>P351=ROUND(340*0.2,10)</f>
        <v/>
      </c>
      <c r="G351">
        <f>Q351=ROUND(340*0.3,10)</f>
        <v/>
      </c>
      <c r="H351">
        <f>R351=ROUND(340*0.05,10)</f>
        <v/>
      </c>
      <c r="I351">
        <f>S351=ROUND(340*0.01,10)</f>
        <v/>
      </c>
      <c r="J351">
        <f>T351=ROUND(340*0.7,10)</f>
        <v/>
      </c>
      <c r="K351">
        <f>U351=ROUND(340*1.1,10)</f>
        <v/>
      </c>
      <c r="L351">
        <f>V351=ROUND(340*0.25,10)</f>
        <v/>
      </c>
      <c r="M351">
        <f>W351=ROUND(340*0.5,10)</f>
        <v/>
      </c>
      <c r="O351">
        <f>O350+0.1</f>
        <v/>
      </c>
      <c r="P351">
        <f>P350+0.2</f>
        <v/>
      </c>
      <c r="Q351">
        <f>Q350+0.3</f>
        <v/>
      </c>
      <c r="R351">
        <f>R350+0.05</f>
        <v/>
      </c>
      <c r="S351">
        <f>S350+0.01</f>
        <v/>
      </c>
      <c r="T351">
        <f>T350+0.7</f>
        <v/>
      </c>
      <c r="U351">
        <f>U350+1.1</f>
        <v/>
      </c>
      <c r="V351">
        <f>V350+0.25</f>
        <v/>
      </c>
      <c r="W351">
        <f>W350+0.5</f>
        <v/>
      </c>
    </row>
    <row r="352">
      <c r="E352">
        <f>O352=ROUND(341*0.1,10)</f>
        <v/>
      </c>
      <c r="F352">
        <f>P352=ROUND(341*0.2,10)</f>
        <v/>
      </c>
      <c r="G352">
        <f>Q352=ROUND(341*0.3,10)</f>
        <v/>
      </c>
      <c r="H352">
        <f>R352=ROUND(341*0.05,10)</f>
        <v/>
      </c>
      <c r="I352">
        <f>S352=ROUND(341*0.01,10)</f>
        <v/>
      </c>
      <c r="J352">
        <f>T352=ROUND(341*0.7,10)</f>
        <v/>
      </c>
      <c r="K352">
        <f>U352=ROUND(341*1.1,10)</f>
        <v/>
      </c>
      <c r="L352">
        <f>V352=ROUND(341*0.25,10)</f>
        <v/>
      </c>
      <c r="M352">
        <f>W352=ROUND(341*0.5,10)</f>
        <v/>
      </c>
      <c r="O352">
        <f>O351+0.1</f>
        <v/>
      </c>
      <c r="P352">
        <f>P351+0.2</f>
        <v/>
      </c>
      <c r="Q352">
        <f>Q351+0.3</f>
        <v/>
      </c>
      <c r="R352">
        <f>R351+0.05</f>
        <v/>
      </c>
      <c r="S352">
        <f>S351+0.01</f>
        <v/>
      </c>
      <c r="T352">
        <f>T351+0.7</f>
        <v/>
      </c>
      <c r="U352">
        <f>U351+1.1</f>
        <v/>
      </c>
      <c r="V352">
        <f>V351+0.25</f>
        <v/>
      </c>
      <c r="W352">
        <f>W351+0.5</f>
        <v/>
      </c>
    </row>
    <row r="353">
      <c r="E353">
        <f>O353=ROUND(342*0.1,10)</f>
        <v/>
      </c>
      <c r="F353">
        <f>P353=ROUND(342*0.2,10)</f>
        <v/>
      </c>
      <c r="G353">
        <f>Q353=ROUND(342*0.3,10)</f>
        <v/>
      </c>
      <c r="H353">
        <f>R353=ROUND(342*0.05,10)</f>
        <v/>
      </c>
      <c r="I353">
        <f>S353=ROUND(342*0.01,10)</f>
        <v/>
      </c>
      <c r="J353">
        <f>T353=ROUND(342*0.7,10)</f>
        <v/>
      </c>
      <c r="K353">
        <f>U353=ROUND(342*1.1,10)</f>
        <v/>
      </c>
      <c r="L353">
        <f>V353=ROUND(342*0.25,10)</f>
        <v/>
      </c>
      <c r="M353">
        <f>W353=ROUND(342*0.5,10)</f>
        <v/>
      </c>
      <c r="O353">
        <f>O352+0.1</f>
        <v/>
      </c>
      <c r="P353">
        <f>P352+0.2</f>
        <v/>
      </c>
      <c r="Q353">
        <f>Q352+0.3</f>
        <v/>
      </c>
      <c r="R353">
        <f>R352+0.05</f>
        <v/>
      </c>
      <c r="S353">
        <f>S352+0.01</f>
        <v/>
      </c>
      <c r="T353">
        <f>T352+0.7</f>
        <v/>
      </c>
      <c r="U353">
        <f>U352+1.1</f>
        <v/>
      </c>
      <c r="V353">
        <f>V352+0.25</f>
        <v/>
      </c>
      <c r="W353">
        <f>W352+0.5</f>
        <v/>
      </c>
    </row>
    <row r="354">
      <c r="E354">
        <f>O354=ROUND(343*0.1,10)</f>
        <v/>
      </c>
      <c r="F354">
        <f>P354=ROUND(343*0.2,10)</f>
        <v/>
      </c>
      <c r="G354">
        <f>Q354=ROUND(343*0.3,10)</f>
        <v/>
      </c>
      <c r="H354">
        <f>R354=ROUND(343*0.05,10)</f>
        <v/>
      </c>
      <c r="I354">
        <f>S354=ROUND(343*0.01,10)</f>
        <v/>
      </c>
      <c r="J354">
        <f>T354=ROUND(343*0.7,10)</f>
        <v/>
      </c>
      <c r="K354">
        <f>U354=ROUND(343*1.1,10)</f>
        <v/>
      </c>
      <c r="L354">
        <f>V354=ROUND(343*0.25,10)</f>
        <v/>
      </c>
      <c r="M354">
        <f>W354=ROUND(343*0.5,10)</f>
        <v/>
      </c>
      <c r="O354">
        <f>O353+0.1</f>
        <v/>
      </c>
      <c r="P354">
        <f>P353+0.2</f>
        <v/>
      </c>
      <c r="Q354">
        <f>Q353+0.3</f>
        <v/>
      </c>
      <c r="R354">
        <f>R353+0.05</f>
        <v/>
      </c>
      <c r="S354">
        <f>S353+0.01</f>
        <v/>
      </c>
      <c r="T354">
        <f>T353+0.7</f>
        <v/>
      </c>
      <c r="U354">
        <f>U353+1.1</f>
        <v/>
      </c>
      <c r="V354">
        <f>V353+0.25</f>
        <v/>
      </c>
      <c r="W354">
        <f>W353+0.5</f>
        <v/>
      </c>
    </row>
    <row r="355">
      <c r="E355">
        <f>O355=ROUND(344*0.1,10)</f>
        <v/>
      </c>
      <c r="F355">
        <f>P355=ROUND(344*0.2,10)</f>
        <v/>
      </c>
      <c r="G355">
        <f>Q355=ROUND(344*0.3,10)</f>
        <v/>
      </c>
      <c r="H355">
        <f>R355=ROUND(344*0.05,10)</f>
        <v/>
      </c>
      <c r="I355">
        <f>S355=ROUND(344*0.01,10)</f>
        <v/>
      </c>
      <c r="J355">
        <f>T355=ROUND(344*0.7,10)</f>
        <v/>
      </c>
      <c r="K355">
        <f>U355=ROUND(344*1.1,10)</f>
        <v/>
      </c>
      <c r="L355">
        <f>V355=ROUND(344*0.25,10)</f>
        <v/>
      </c>
      <c r="M355">
        <f>W355=ROUND(344*0.5,10)</f>
        <v/>
      </c>
      <c r="O355">
        <f>O354+0.1</f>
        <v/>
      </c>
      <c r="P355">
        <f>P354+0.2</f>
        <v/>
      </c>
      <c r="Q355">
        <f>Q354+0.3</f>
        <v/>
      </c>
      <c r="R355">
        <f>R354+0.05</f>
        <v/>
      </c>
      <c r="S355">
        <f>S354+0.01</f>
        <v/>
      </c>
      <c r="T355">
        <f>T354+0.7</f>
        <v/>
      </c>
      <c r="U355">
        <f>U354+1.1</f>
        <v/>
      </c>
      <c r="V355">
        <f>V354+0.25</f>
        <v/>
      </c>
      <c r="W355">
        <f>W354+0.5</f>
        <v/>
      </c>
    </row>
    <row r="356">
      <c r="E356">
        <f>O356=ROUND(345*0.1,10)</f>
        <v/>
      </c>
      <c r="F356">
        <f>P356=ROUND(345*0.2,10)</f>
        <v/>
      </c>
      <c r="G356">
        <f>Q356=ROUND(345*0.3,10)</f>
        <v/>
      </c>
      <c r="H356">
        <f>R356=ROUND(345*0.05,10)</f>
        <v/>
      </c>
      <c r="I356">
        <f>S356=ROUND(345*0.01,10)</f>
        <v/>
      </c>
      <c r="J356">
        <f>T356=ROUND(345*0.7,10)</f>
        <v/>
      </c>
      <c r="K356">
        <f>U356=ROUND(345*1.1,10)</f>
        <v/>
      </c>
      <c r="L356">
        <f>V356=ROUND(345*0.25,10)</f>
        <v/>
      </c>
      <c r="M356">
        <f>W356=ROUND(345*0.5,10)</f>
        <v/>
      </c>
      <c r="O356">
        <f>O355+0.1</f>
        <v/>
      </c>
      <c r="P356">
        <f>P355+0.2</f>
        <v/>
      </c>
      <c r="Q356">
        <f>Q355+0.3</f>
        <v/>
      </c>
      <c r="R356">
        <f>R355+0.05</f>
        <v/>
      </c>
      <c r="S356">
        <f>S355+0.01</f>
        <v/>
      </c>
      <c r="T356">
        <f>T355+0.7</f>
        <v/>
      </c>
      <c r="U356">
        <f>U355+1.1</f>
        <v/>
      </c>
      <c r="V356">
        <f>V355+0.25</f>
        <v/>
      </c>
      <c r="W356">
        <f>W355+0.5</f>
        <v/>
      </c>
    </row>
    <row r="357">
      <c r="E357">
        <f>O357=ROUND(346*0.1,10)</f>
        <v/>
      </c>
      <c r="F357">
        <f>P357=ROUND(346*0.2,10)</f>
        <v/>
      </c>
      <c r="G357">
        <f>Q357=ROUND(346*0.3,10)</f>
        <v/>
      </c>
      <c r="H357">
        <f>R357=ROUND(346*0.05,10)</f>
        <v/>
      </c>
      <c r="I357">
        <f>S357=ROUND(346*0.01,10)</f>
        <v/>
      </c>
      <c r="J357">
        <f>T357=ROUND(346*0.7,10)</f>
        <v/>
      </c>
      <c r="K357">
        <f>U357=ROUND(346*1.1,10)</f>
        <v/>
      </c>
      <c r="L357">
        <f>V357=ROUND(346*0.25,10)</f>
        <v/>
      </c>
      <c r="M357">
        <f>W357=ROUND(346*0.5,10)</f>
        <v/>
      </c>
      <c r="O357">
        <f>O356+0.1</f>
        <v/>
      </c>
      <c r="P357">
        <f>P356+0.2</f>
        <v/>
      </c>
      <c r="Q357">
        <f>Q356+0.3</f>
        <v/>
      </c>
      <c r="R357">
        <f>R356+0.05</f>
        <v/>
      </c>
      <c r="S357">
        <f>S356+0.01</f>
        <v/>
      </c>
      <c r="T357">
        <f>T356+0.7</f>
        <v/>
      </c>
      <c r="U357">
        <f>U356+1.1</f>
        <v/>
      </c>
      <c r="V357">
        <f>V356+0.25</f>
        <v/>
      </c>
      <c r="W357">
        <f>W356+0.5</f>
        <v/>
      </c>
    </row>
    <row r="358">
      <c r="E358">
        <f>O358=ROUND(347*0.1,10)</f>
        <v/>
      </c>
      <c r="F358">
        <f>P358=ROUND(347*0.2,10)</f>
        <v/>
      </c>
      <c r="G358">
        <f>Q358=ROUND(347*0.3,10)</f>
        <v/>
      </c>
      <c r="H358">
        <f>R358=ROUND(347*0.05,10)</f>
        <v/>
      </c>
      <c r="I358">
        <f>S358=ROUND(347*0.01,10)</f>
        <v/>
      </c>
      <c r="J358">
        <f>T358=ROUND(347*0.7,10)</f>
        <v/>
      </c>
      <c r="K358">
        <f>U358=ROUND(347*1.1,10)</f>
        <v/>
      </c>
      <c r="L358">
        <f>V358=ROUND(347*0.25,10)</f>
        <v/>
      </c>
      <c r="M358">
        <f>W358=ROUND(347*0.5,10)</f>
        <v/>
      </c>
      <c r="O358">
        <f>O357+0.1</f>
        <v/>
      </c>
      <c r="P358">
        <f>P357+0.2</f>
        <v/>
      </c>
      <c r="Q358">
        <f>Q357+0.3</f>
        <v/>
      </c>
      <c r="R358">
        <f>R357+0.05</f>
        <v/>
      </c>
      <c r="S358">
        <f>S357+0.01</f>
        <v/>
      </c>
      <c r="T358">
        <f>T357+0.7</f>
        <v/>
      </c>
      <c r="U358">
        <f>U357+1.1</f>
        <v/>
      </c>
      <c r="V358">
        <f>V357+0.25</f>
        <v/>
      </c>
      <c r="W358">
        <f>W357+0.5</f>
        <v/>
      </c>
    </row>
    <row r="359">
      <c r="E359">
        <f>O359=ROUND(348*0.1,10)</f>
        <v/>
      </c>
      <c r="F359">
        <f>P359=ROUND(348*0.2,10)</f>
        <v/>
      </c>
      <c r="G359">
        <f>Q359=ROUND(348*0.3,10)</f>
        <v/>
      </c>
      <c r="H359">
        <f>R359=ROUND(348*0.05,10)</f>
        <v/>
      </c>
      <c r="I359">
        <f>S359=ROUND(348*0.01,10)</f>
        <v/>
      </c>
      <c r="J359">
        <f>T359=ROUND(348*0.7,10)</f>
        <v/>
      </c>
      <c r="K359">
        <f>U359=ROUND(348*1.1,10)</f>
        <v/>
      </c>
      <c r="L359">
        <f>V359=ROUND(348*0.25,10)</f>
        <v/>
      </c>
      <c r="M359">
        <f>W359=ROUND(348*0.5,10)</f>
        <v/>
      </c>
      <c r="O359">
        <f>O358+0.1</f>
        <v/>
      </c>
      <c r="P359">
        <f>P358+0.2</f>
        <v/>
      </c>
      <c r="Q359">
        <f>Q358+0.3</f>
        <v/>
      </c>
      <c r="R359">
        <f>R358+0.05</f>
        <v/>
      </c>
      <c r="S359">
        <f>S358+0.01</f>
        <v/>
      </c>
      <c r="T359">
        <f>T358+0.7</f>
        <v/>
      </c>
      <c r="U359">
        <f>U358+1.1</f>
        <v/>
      </c>
      <c r="V359">
        <f>V358+0.25</f>
        <v/>
      </c>
      <c r="W359">
        <f>W358+0.5</f>
        <v/>
      </c>
    </row>
    <row r="360">
      <c r="E360">
        <f>O360=ROUND(349*0.1,10)</f>
        <v/>
      </c>
      <c r="F360">
        <f>P360=ROUND(349*0.2,10)</f>
        <v/>
      </c>
      <c r="G360">
        <f>Q360=ROUND(349*0.3,10)</f>
        <v/>
      </c>
      <c r="H360">
        <f>R360=ROUND(349*0.05,10)</f>
        <v/>
      </c>
      <c r="I360">
        <f>S360=ROUND(349*0.01,10)</f>
        <v/>
      </c>
      <c r="J360">
        <f>T360=ROUND(349*0.7,10)</f>
        <v/>
      </c>
      <c r="K360">
        <f>U360=ROUND(349*1.1,10)</f>
        <v/>
      </c>
      <c r="L360">
        <f>V360=ROUND(349*0.25,10)</f>
        <v/>
      </c>
      <c r="M360">
        <f>W360=ROUND(349*0.5,10)</f>
        <v/>
      </c>
      <c r="O360">
        <f>O359+0.1</f>
        <v/>
      </c>
      <c r="P360">
        <f>P359+0.2</f>
        <v/>
      </c>
      <c r="Q360">
        <f>Q359+0.3</f>
        <v/>
      </c>
      <c r="R360">
        <f>R359+0.05</f>
        <v/>
      </c>
      <c r="S360">
        <f>S359+0.01</f>
        <v/>
      </c>
      <c r="T360">
        <f>T359+0.7</f>
        <v/>
      </c>
      <c r="U360">
        <f>U359+1.1</f>
        <v/>
      </c>
      <c r="V360">
        <f>V359+0.25</f>
        <v/>
      </c>
      <c r="W360">
        <f>W359+0.5</f>
        <v/>
      </c>
    </row>
    <row r="361">
      <c r="E361">
        <f>O361=ROUND(350*0.1,10)</f>
        <v/>
      </c>
      <c r="F361">
        <f>P361=ROUND(350*0.2,10)</f>
        <v/>
      </c>
      <c r="G361">
        <f>Q361=ROUND(350*0.3,10)</f>
        <v/>
      </c>
      <c r="H361">
        <f>R361=ROUND(350*0.05,10)</f>
        <v/>
      </c>
      <c r="I361">
        <f>S361=ROUND(350*0.01,10)</f>
        <v/>
      </c>
      <c r="J361">
        <f>T361=ROUND(350*0.7,10)</f>
        <v/>
      </c>
      <c r="K361">
        <f>U361=ROUND(350*1.1,10)</f>
        <v/>
      </c>
      <c r="L361">
        <f>V361=ROUND(350*0.25,10)</f>
        <v/>
      </c>
      <c r="M361">
        <f>W361=ROUND(350*0.5,10)</f>
        <v/>
      </c>
      <c r="O361">
        <f>O360+0.1</f>
        <v/>
      </c>
      <c r="P361">
        <f>P360+0.2</f>
        <v/>
      </c>
      <c r="Q361">
        <f>Q360+0.3</f>
        <v/>
      </c>
      <c r="R361">
        <f>R360+0.05</f>
        <v/>
      </c>
      <c r="S361">
        <f>S360+0.01</f>
        <v/>
      </c>
      <c r="T361">
        <f>T360+0.7</f>
        <v/>
      </c>
      <c r="U361">
        <f>U360+1.1</f>
        <v/>
      </c>
      <c r="V361">
        <f>V360+0.25</f>
        <v/>
      </c>
      <c r="W361">
        <f>W360+0.5</f>
        <v/>
      </c>
    </row>
    <row r="362">
      <c r="E362">
        <f>O362=ROUND(351*0.1,10)</f>
        <v/>
      </c>
      <c r="F362">
        <f>P362=ROUND(351*0.2,10)</f>
        <v/>
      </c>
      <c r="G362">
        <f>Q362=ROUND(351*0.3,10)</f>
        <v/>
      </c>
      <c r="H362">
        <f>R362=ROUND(351*0.05,10)</f>
        <v/>
      </c>
      <c r="I362">
        <f>S362=ROUND(351*0.01,10)</f>
        <v/>
      </c>
      <c r="J362">
        <f>T362=ROUND(351*0.7,10)</f>
        <v/>
      </c>
      <c r="K362">
        <f>U362=ROUND(351*1.1,10)</f>
        <v/>
      </c>
      <c r="L362">
        <f>V362=ROUND(351*0.25,10)</f>
        <v/>
      </c>
      <c r="M362">
        <f>W362=ROUND(351*0.5,10)</f>
        <v/>
      </c>
      <c r="O362">
        <f>O361+0.1</f>
        <v/>
      </c>
      <c r="P362">
        <f>P361+0.2</f>
        <v/>
      </c>
      <c r="Q362">
        <f>Q361+0.3</f>
        <v/>
      </c>
      <c r="R362">
        <f>R361+0.05</f>
        <v/>
      </c>
      <c r="S362">
        <f>S361+0.01</f>
        <v/>
      </c>
      <c r="T362">
        <f>T361+0.7</f>
        <v/>
      </c>
      <c r="U362">
        <f>U361+1.1</f>
        <v/>
      </c>
      <c r="V362">
        <f>V361+0.25</f>
        <v/>
      </c>
      <c r="W362">
        <f>W361+0.5</f>
        <v/>
      </c>
    </row>
    <row r="363">
      <c r="E363">
        <f>O363=ROUND(352*0.1,10)</f>
        <v/>
      </c>
      <c r="F363">
        <f>P363=ROUND(352*0.2,10)</f>
        <v/>
      </c>
      <c r="G363">
        <f>Q363=ROUND(352*0.3,10)</f>
        <v/>
      </c>
      <c r="H363">
        <f>R363=ROUND(352*0.05,10)</f>
        <v/>
      </c>
      <c r="I363">
        <f>S363=ROUND(352*0.01,10)</f>
        <v/>
      </c>
      <c r="J363">
        <f>T363=ROUND(352*0.7,10)</f>
        <v/>
      </c>
      <c r="K363">
        <f>U363=ROUND(352*1.1,10)</f>
        <v/>
      </c>
      <c r="L363">
        <f>V363=ROUND(352*0.25,10)</f>
        <v/>
      </c>
      <c r="M363">
        <f>W363=ROUND(352*0.5,10)</f>
        <v/>
      </c>
      <c r="O363">
        <f>O362+0.1</f>
        <v/>
      </c>
      <c r="P363">
        <f>P362+0.2</f>
        <v/>
      </c>
      <c r="Q363">
        <f>Q362+0.3</f>
        <v/>
      </c>
      <c r="R363">
        <f>R362+0.05</f>
        <v/>
      </c>
      <c r="S363">
        <f>S362+0.01</f>
        <v/>
      </c>
      <c r="T363">
        <f>T362+0.7</f>
        <v/>
      </c>
      <c r="U363">
        <f>U362+1.1</f>
        <v/>
      </c>
      <c r="V363">
        <f>V362+0.25</f>
        <v/>
      </c>
      <c r="W363">
        <f>W362+0.5</f>
        <v/>
      </c>
    </row>
    <row r="364">
      <c r="E364">
        <f>O364=ROUND(353*0.1,10)</f>
        <v/>
      </c>
      <c r="F364">
        <f>P364=ROUND(353*0.2,10)</f>
        <v/>
      </c>
      <c r="G364">
        <f>Q364=ROUND(353*0.3,10)</f>
        <v/>
      </c>
      <c r="H364">
        <f>R364=ROUND(353*0.05,10)</f>
        <v/>
      </c>
      <c r="I364">
        <f>S364=ROUND(353*0.01,10)</f>
        <v/>
      </c>
      <c r="J364">
        <f>T364=ROUND(353*0.7,10)</f>
        <v/>
      </c>
      <c r="K364">
        <f>U364=ROUND(353*1.1,10)</f>
        <v/>
      </c>
      <c r="L364">
        <f>V364=ROUND(353*0.25,10)</f>
        <v/>
      </c>
      <c r="M364">
        <f>W364=ROUND(353*0.5,10)</f>
        <v/>
      </c>
      <c r="O364">
        <f>O363+0.1</f>
        <v/>
      </c>
      <c r="P364">
        <f>P363+0.2</f>
        <v/>
      </c>
      <c r="Q364">
        <f>Q363+0.3</f>
        <v/>
      </c>
      <c r="R364">
        <f>R363+0.05</f>
        <v/>
      </c>
      <c r="S364">
        <f>S363+0.01</f>
        <v/>
      </c>
      <c r="T364">
        <f>T363+0.7</f>
        <v/>
      </c>
      <c r="U364">
        <f>U363+1.1</f>
        <v/>
      </c>
      <c r="V364">
        <f>V363+0.25</f>
        <v/>
      </c>
      <c r="W364">
        <f>W363+0.5</f>
        <v/>
      </c>
    </row>
    <row r="365">
      <c r="E365">
        <f>O365=ROUND(354*0.1,10)</f>
        <v/>
      </c>
      <c r="F365">
        <f>P365=ROUND(354*0.2,10)</f>
        <v/>
      </c>
      <c r="G365">
        <f>Q365=ROUND(354*0.3,10)</f>
        <v/>
      </c>
      <c r="H365">
        <f>R365=ROUND(354*0.05,10)</f>
        <v/>
      </c>
      <c r="I365">
        <f>S365=ROUND(354*0.01,10)</f>
        <v/>
      </c>
      <c r="J365">
        <f>T365=ROUND(354*0.7,10)</f>
        <v/>
      </c>
      <c r="K365">
        <f>U365=ROUND(354*1.1,10)</f>
        <v/>
      </c>
      <c r="L365">
        <f>V365=ROUND(354*0.25,10)</f>
        <v/>
      </c>
      <c r="M365">
        <f>W365=ROUND(354*0.5,10)</f>
        <v/>
      </c>
      <c r="O365">
        <f>O364+0.1</f>
        <v/>
      </c>
      <c r="P365">
        <f>P364+0.2</f>
        <v/>
      </c>
      <c r="Q365">
        <f>Q364+0.3</f>
        <v/>
      </c>
      <c r="R365">
        <f>R364+0.05</f>
        <v/>
      </c>
      <c r="S365">
        <f>S364+0.01</f>
        <v/>
      </c>
      <c r="T365">
        <f>T364+0.7</f>
        <v/>
      </c>
      <c r="U365">
        <f>U364+1.1</f>
        <v/>
      </c>
      <c r="V365">
        <f>V364+0.25</f>
        <v/>
      </c>
      <c r="W365">
        <f>W364+0.5</f>
        <v/>
      </c>
    </row>
    <row r="366">
      <c r="E366">
        <f>O366=ROUND(355*0.1,10)</f>
        <v/>
      </c>
      <c r="F366">
        <f>P366=ROUND(355*0.2,10)</f>
        <v/>
      </c>
      <c r="G366">
        <f>Q366=ROUND(355*0.3,10)</f>
        <v/>
      </c>
      <c r="H366">
        <f>R366=ROUND(355*0.05,10)</f>
        <v/>
      </c>
      <c r="I366">
        <f>S366=ROUND(355*0.01,10)</f>
        <v/>
      </c>
      <c r="J366">
        <f>T366=ROUND(355*0.7,10)</f>
        <v/>
      </c>
      <c r="K366">
        <f>U366=ROUND(355*1.1,10)</f>
        <v/>
      </c>
      <c r="L366">
        <f>V366=ROUND(355*0.25,10)</f>
        <v/>
      </c>
      <c r="M366">
        <f>W366=ROUND(355*0.5,10)</f>
        <v/>
      </c>
      <c r="O366">
        <f>O365+0.1</f>
        <v/>
      </c>
      <c r="P366">
        <f>P365+0.2</f>
        <v/>
      </c>
      <c r="Q366">
        <f>Q365+0.3</f>
        <v/>
      </c>
      <c r="R366">
        <f>R365+0.05</f>
        <v/>
      </c>
      <c r="S366">
        <f>S365+0.01</f>
        <v/>
      </c>
      <c r="T366">
        <f>T365+0.7</f>
        <v/>
      </c>
      <c r="U366">
        <f>U365+1.1</f>
        <v/>
      </c>
      <c r="V366">
        <f>V365+0.25</f>
        <v/>
      </c>
      <c r="W366">
        <f>W365+0.5</f>
        <v/>
      </c>
    </row>
    <row r="367">
      <c r="E367">
        <f>O367=ROUND(356*0.1,10)</f>
        <v/>
      </c>
      <c r="F367">
        <f>P367=ROUND(356*0.2,10)</f>
        <v/>
      </c>
      <c r="G367">
        <f>Q367=ROUND(356*0.3,10)</f>
        <v/>
      </c>
      <c r="H367">
        <f>R367=ROUND(356*0.05,10)</f>
        <v/>
      </c>
      <c r="I367">
        <f>S367=ROUND(356*0.01,10)</f>
        <v/>
      </c>
      <c r="J367">
        <f>T367=ROUND(356*0.7,10)</f>
        <v/>
      </c>
      <c r="K367">
        <f>U367=ROUND(356*1.1,10)</f>
        <v/>
      </c>
      <c r="L367">
        <f>V367=ROUND(356*0.25,10)</f>
        <v/>
      </c>
      <c r="M367">
        <f>W367=ROUND(356*0.5,10)</f>
        <v/>
      </c>
      <c r="O367">
        <f>O366+0.1</f>
        <v/>
      </c>
      <c r="P367">
        <f>P366+0.2</f>
        <v/>
      </c>
      <c r="Q367">
        <f>Q366+0.3</f>
        <v/>
      </c>
      <c r="R367">
        <f>R366+0.05</f>
        <v/>
      </c>
      <c r="S367">
        <f>S366+0.01</f>
        <v/>
      </c>
      <c r="T367">
        <f>T366+0.7</f>
        <v/>
      </c>
      <c r="U367">
        <f>U366+1.1</f>
        <v/>
      </c>
      <c r="V367">
        <f>V366+0.25</f>
        <v/>
      </c>
      <c r="W367">
        <f>W366+0.5</f>
        <v/>
      </c>
    </row>
    <row r="368">
      <c r="E368">
        <f>O368=ROUND(357*0.1,10)</f>
        <v/>
      </c>
      <c r="F368">
        <f>P368=ROUND(357*0.2,10)</f>
        <v/>
      </c>
      <c r="G368">
        <f>Q368=ROUND(357*0.3,10)</f>
        <v/>
      </c>
      <c r="H368">
        <f>R368=ROUND(357*0.05,10)</f>
        <v/>
      </c>
      <c r="I368">
        <f>S368=ROUND(357*0.01,10)</f>
        <v/>
      </c>
      <c r="J368">
        <f>T368=ROUND(357*0.7,10)</f>
        <v/>
      </c>
      <c r="K368">
        <f>U368=ROUND(357*1.1,10)</f>
        <v/>
      </c>
      <c r="L368">
        <f>V368=ROUND(357*0.25,10)</f>
        <v/>
      </c>
      <c r="M368">
        <f>W368=ROUND(357*0.5,10)</f>
        <v/>
      </c>
      <c r="O368">
        <f>O367+0.1</f>
        <v/>
      </c>
      <c r="P368">
        <f>P367+0.2</f>
        <v/>
      </c>
      <c r="Q368">
        <f>Q367+0.3</f>
        <v/>
      </c>
      <c r="R368">
        <f>R367+0.05</f>
        <v/>
      </c>
      <c r="S368">
        <f>S367+0.01</f>
        <v/>
      </c>
      <c r="T368">
        <f>T367+0.7</f>
        <v/>
      </c>
      <c r="U368">
        <f>U367+1.1</f>
        <v/>
      </c>
      <c r="V368">
        <f>V367+0.25</f>
        <v/>
      </c>
      <c r="W368">
        <f>W367+0.5</f>
        <v/>
      </c>
    </row>
    <row r="369">
      <c r="E369">
        <f>O369=ROUND(358*0.1,10)</f>
        <v/>
      </c>
      <c r="F369">
        <f>P369=ROUND(358*0.2,10)</f>
        <v/>
      </c>
      <c r="G369">
        <f>Q369=ROUND(358*0.3,10)</f>
        <v/>
      </c>
      <c r="H369">
        <f>R369=ROUND(358*0.05,10)</f>
        <v/>
      </c>
      <c r="I369">
        <f>S369=ROUND(358*0.01,10)</f>
        <v/>
      </c>
      <c r="J369">
        <f>T369=ROUND(358*0.7,10)</f>
        <v/>
      </c>
      <c r="K369">
        <f>U369=ROUND(358*1.1,10)</f>
        <v/>
      </c>
      <c r="L369">
        <f>V369=ROUND(358*0.25,10)</f>
        <v/>
      </c>
      <c r="M369">
        <f>W369=ROUND(358*0.5,10)</f>
        <v/>
      </c>
      <c r="O369">
        <f>O368+0.1</f>
        <v/>
      </c>
      <c r="P369">
        <f>P368+0.2</f>
        <v/>
      </c>
      <c r="Q369">
        <f>Q368+0.3</f>
        <v/>
      </c>
      <c r="R369">
        <f>R368+0.05</f>
        <v/>
      </c>
      <c r="S369">
        <f>S368+0.01</f>
        <v/>
      </c>
      <c r="T369">
        <f>T368+0.7</f>
        <v/>
      </c>
      <c r="U369">
        <f>U368+1.1</f>
        <v/>
      </c>
      <c r="V369">
        <f>V368+0.25</f>
        <v/>
      </c>
      <c r="W369">
        <f>W368+0.5</f>
        <v/>
      </c>
    </row>
    <row r="370">
      <c r="E370">
        <f>O370=ROUND(359*0.1,10)</f>
        <v/>
      </c>
      <c r="F370">
        <f>P370=ROUND(359*0.2,10)</f>
        <v/>
      </c>
      <c r="G370">
        <f>Q370=ROUND(359*0.3,10)</f>
        <v/>
      </c>
      <c r="H370">
        <f>R370=ROUND(359*0.05,10)</f>
        <v/>
      </c>
      <c r="I370">
        <f>S370=ROUND(359*0.01,10)</f>
        <v/>
      </c>
      <c r="J370">
        <f>T370=ROUND(359*0.7,10)</f>
        <v/>
      </c>
      <c r="K370">
        <f>U370=ROUND(359*1.1,10)</f>
        <v/>
      </c>
      <c r="L370">
        <f>V370=ROUND(359*0.25,10)</f>
        <v/>
      </c>
      <c r="M370">
        <f>W370=ROUND(359*0.5,10)</f>
        <v/>
      </c>
      <c r="O370">
        <f>O369+0.1</f>
        <v/>
      </c>
      <c r="P370">
        <f>P369+0.2</f>
        <v/>
      </c>
      <c r="Q370">
        <f>Q369+0.3</f>
        <v/>
      </c>
      <c r="R370">
        <f>R369+0.05</f>
        <v/>
      </c>
      <c r="S370">
        <f>S369+0.01</f>
        <v/>
      </c>
      <c r="T370">
        <f>T369+0.7</f>
        <v/>
      </c>
      <c r="U370">
        <f>U369+1.1</f>
        <v/>
      </c>
      <c r="V370">
        <f>V369+0.25</f>
        <v/>
      </c>
      <c r="W370">
        <f>W369+0.5</f>
        <v/>
      </c>
    </row>
    <row r="371">
      <c r="E371">
        <f>O371=ROUND(360*0.1,10)</f>
        <v/>
      </c>
      <c r="F371">
        <f>P371=ROUND(360*0.2,10)</f>
        <v/>
      </c>
      <c r="G371">
        <f>Q371=ROUND(360*0.3,10)</f>
        <v/>
      </c>
      <c r="H371">
        <f>R371=ROUND(360*0.05,10)</f>
        <v/>
      </c>
      <c r="I371">
        <f>S371=ROUND(360*0.01,10)</f>
        <v/>
      </c>
      <c r="J371">
        <f>T371=ROUND(360*0.7,10)</f>
        <v/>
      </c>
      <c r="K371">
        <f>U371=ROUND(360*1.1,10)</f>
        <v/>
      </c>
      <c r="L371">
        <f>V371=ROUND(360*0.25,10)</f>
        <v/>
      </c>
      <c r="M371">
        <f>W371=ROUND(360*0.5,10)</f>
        <v/>
      </c>
      <c r="O371">
        <f>O370+0.1</f>
        <v/>
      </c>
      <c r="P371">
        <f>P370+0.2</f>
        <v/>
      </c>
      <c r="Q371">
        <f>Q370+0.3</f>
        <v/>
      </c>
      <c r="R371">
        <f>R370+0.05</f>
        <v/>
      </c>
      <c r="S371">
        <f>S370+0.01</f>
        <v/>
      </c>
      <c r="T371">
        <f>T370+0.7</f>
        <v/>
      </c>
      <c r="U371">
        <f>U370+1.1</f>
        <v/>
      </c>
      <c r="V371">
        <f>V370+0.25</f>
        <v/>
      </c>
      <c r="W371">
        <f>W370+0.5</f>
        <v/>
      </c>
    </row>
    <row r="372">
      <c r="E372">
        <f>O372=ROUND(361*0.1,10)</f>
        <v/>
      </c>
      <c r="F372">
        <f>P372=ROUND(361*0.2,10)</f>
        <v/>
      </c>
      <c r="G372">
        <f>Q372=ROUND(361*0.3,10)</f>
        <v/>
      </c>
      <c r="H372">
        <f>R372=ROUND(361*0.05,10)</f>
        <v/>
      </c>
      <c r="I372">
        <f>S372=ROUND(361*0.01,10)</f>
        <v/>
      </c>
      <c r="J372">
        <f>T372=ROUND(361*0.7,10)</f>
        <v/>
      </c>
      <c r="K372">
        <f>U372=ROUND(361*1.1,10)</f>
        <v/>
      </c>
      <c r="L372">
        <f>V372=ROUND(361*0.25,10)</f>
        <v/>
      </c>
      <c r="M372">
        <f>W372=ROUND(361*0.5,10)</f>
        <v/>
      </c>
      <c r="O372">
        <f>O371+0.1</f>
        <v/>
      </c>
      <c r="P372">
        <f>P371+0.2</f>
        <v/>
      </c>
      <c r="Q372">
        <f>Q371+0.3</f>
        <v/>
      </c>
      <c r="R372">
        <f>R371+0.05</f>
        <v/>
      </c>
      <c r="S372">
        <f>S371+0.01</f>
        <v/>
      </c>
      <c r="T372">
        <f>T371+0.7</f>
        <v/>
      </c>
      <c r="U372">
        <f>U371+1.1</f>
        <v/>
      </c>
      <c r="V372">
        <f>V371+0.25</f>
        <v/>
      </c>
      <c r="W372">
        <f>W371+0.5</f>
        <v/>
      </c>
    </row>
    <row r="373">
      <c r="E373">
        <f>O373=ROUND(362*0.1,10)</f>
        <v/>
      </c>
      <c r="F373">
        <f>P373=ROUND(362*0.2,10)</f>
        <v/>
      </c>
      <c r="G373">
        <f>Q373=ROUND(362*0.3,10)</f>
        <v/>
      </c>
      <c r="H373">
        <f>R373=ROUND(362*0.05,10)</f>
        <v/>
      </c>
      <c r="I373">
        <f>S373=ROUND(362*0.01,10)</f>
        <v/>
      </c>
      <c r="J373">
        <f>T373=ROUND(362*0.7,10)</f>
        <v/>
      </c>
      <c r="K373">
        <f>U373=ROUND(362*1.1,10)</f>
        <v/>
      </c>
      <c r="L373">
        <f>V373=ROUND(362*0.25,10)</f>
        <v/>
      </c>
      <c r="M373">
        <f>W373=ROUND(362*0.5,10)</f>
        <v/>
      </c>
      <c r="O373">
        <f>O372+0.1</f>
        <v/>
      </c>
      <c r="P373">
        <f>P372+0.2</f>
        <v/>
      </c>
      <c r="Q373">
        <f>Q372+0.3</f>
        <v/>
      </c>
      <c r="R373">
        <f>R372+0.05</f>
        <v/>
      </c>
      <c r="S373">
        <f>S372+0.01</f>
        <v/>
      </c>
      <c r="T373">
        <f>T372+0.7</f>
        <v/>
      </c>
      <c r="U373">
        <f>U372+1.1</f>
        <v/>
      </c>
      <c r="V373">
        <f>V372+0.25</f>
        <v/>
      </c>
      <c r="W373">
        <f>W372+0.5</f>
        <v/>
      </c>
    </row>
    <row r="374">
      <c r="E374">
        <f>O374=ROUND(363*0.1,10)</f>
        <v/>
      </c>
      <c r="F374">
        <f>P374=ROUND(363*0.2,10)</f>
        <v/>
      </c>
      <c r="G374">
        <f>Q374=ROUND(363*0.3,10)</f>
        <v/>
      </c>
      <c r="H374">
        <f>R374=ROUND(363*0.05,10)</f>
        <v/>
      </c>
      <c r="I374">
        <f>S374=ROUND(363*0.01,10)</f>
        <v/>
      </c>
      <c r="J374">
        <f>T374=ROUND(363*0.7,10)</f>
        <v/>
      </c>
      <c r="K374">
        <f>U374=ROUND(363*1.1,10)</f>
        <v/>
      </c>
      <c r="L374">
        <f>V374=ROUND(363*0.25,10)</f>
        <v/>
      </c>
      <c r="M374">
        <f>W374=ROUND(363*0.5,10)</f>
        <v/>
      </c>
      <c r="O374">
        <f>O373+0.1</f>
        <v/>
      </c>
      <c r="P374">
        <f>P373+0.2</f>
        <v/>
      </c>
      <c r="Q374">
        <f>Q373+0.3</f>
        <v/>
      </c>
      <c r="R374">
        <f>R373+0.05</f>
        <v/>
      </c>
      <c r="S374">
        <f>S373+0.01</f>
        <v/>
      </c>
      <c r="T374">
        <f>T373+0.7</f>
        <v/>
      </c>
      <c r="U374">
        <f>U373+1.1</f>
        <v/>
      </c>
      <c r="V374">
        <f>V373+0.25</f>
        <v/>
      </c>
      <c r="W374">
        <f>W373+0.5</f>
        <v/>
      </c>
    </row>
    <row r="375">
      <c r="E375">
        <f>O375=ROUND(364*0.1,10)</f>
        <v/>
      </c>
      <c r="F375">
        <f>P375=ROUND(364*0.2,10)</f>
        <v/>
      </c>
      <c r="G375">
        <f>Q375=ROUND(364*0.3,10)</f>
        <v/>
      </c>
      <c r="H375">
        <f>R375=ROUND(364*0.05,10)</f>
        <v/>
      </c>
      <c r="I375">
        <f>S375=ROUND(364*0.01,10)</f>
        <v/>
      </c>
      <c r="J375">
        <f>T375=ROUND(364*0.7,10)</f>
        <v/>
      </c>
      <c r="K375">
        <f>U375=ROUND(364*1.1,10)</f>
        <v/>
      </c>
      <c r="L375">
        <f>V375=ROUND(364*0.25,10)</f>
        <v/>
      </c>
      <c r="M375">
        <f>W375=ROUND(364*0.5,10)</f>
        <v/>
      </c>
      <c r="O375">
        <f>O374+0.1</f>
        <v/>
      </c>
      <c r="P375">
        <f>P374+0.2</f>
        <v/>
      </c>
      <c r="Q375">
        <f>Q374+0.3</f>
        <v/>
      </c>
      <c r="R375">
        <f>R374+0.05</f>
        <v/>
      </c>
      <c r="S375">
        <f>S374+0.01</f>
        <v/>
      </c>
      <c r="T375">
        <f>T374+0.7</f>
        <v/>
      </c>
      <c r="U375">
        <f>U374+1.1</f>
        <v/>
      </c>
      <c r="V375">
        <f>V374+0.25</f>
        <v/>
      </c>
      <c r="W375">
        <f>W374+0.5</f>
        <v/>
      </c>
    </row>
    <row r="376">
      <c r="E376">
        <f>O376=ROUND(365*0.1,10)</f>
        <v/>
      </c>
      <c r="F376">
        <f>P376=ROUND(365*0.2,10)</f>
        <v/>
      </c>
      <c r="G376">
        <f>Q376=ROUND(365*0.3,10)</f>
        <v/>
      </c>
      <c r="H376">
        <f>R376=ROUND(365*0.05,10)</f>
        <v/>
      </c>
      <c r="I376">
        <f>S376=ROUND(365*0.01,10)</f>
        <v/>
      </c>
      <c r="J376">
        <f>T376=ROUND(365*0.7,10)</f>
        <v/>
      </c>
      <c r="K376">
        <f>U376=ROUND(365*1.1,10)</f>
        <v/>
      </c>
      <c r="L376">
        <f>V376=ROUND(365*0.25,10)</f>
        <v/>
      </c>
      <c r="M376">
        <f>W376=ROUND(365*0.5,10)</f>
        <v/>
      </c>
      <c r="O376">
        <f>O375+0.1</f>
        <v/>
      </c>
      <c r="P376">
        <f>P375+0.2</f>
        <v/>
      </c>
      <c r="Q376">
        <f>Q375+0.3</f>
        <v/>
      </c>
      <c r="R376">
        <f>R375+0.05</f>
        <v/>
      </c>
      <c r="S376">
        <f>S375+0.01</f>
        <v/>
      </c>
      <c r="T376">
        <f>T375+0.7</f>
        <v/>
      </c>
      <c r="U376">
        <f>U375+1.1</f>
        <v/>
      </c>
      <c r="V376">
        <f>V375+0.25</f>
        <v/>
      </c>
      <c r="W376">
        <f>W375+0.5</f>
        <v/>
      </c>
    </row>
    <row r="377">
      <c r="E377">
        <f>O377=ROUND(366*0.1,10)</f>
        <v/>
      </c>
      <c r="F377">
        <f>P377=ROUND(366*0.2,10)</f>
        <v/>
      </c>
      <c r="G377">
        <f>Q377=ROUND(366*0.3,10)</f>
        <v/>
      </c>
      <c r="H377">
        <f>R377=ROUND(366*0.05,10)</f>
        <v/>
      </c>
      <c r="I377">
        <f>S377=ROUND(366*0.01,10)</f>
        <v/>
      </c>
      <c r="J377">
        <f>T377=ROUND(366*0.7,10)</f>
        <v/>
      </c>
      <c r="K377">
        <f>U377=ROUND(366*1.1,10)</f>
        <v/>
      </c>
      <c r="L377">
        <f>V377=ROUND(366*0.25,10)</f>
        <v/>
      </c>
      <c r="M377">
        <f>W377=ROUND(366*0.5,10)</f>
        <v/>
      </c>
      <c r="O377">
        <f>O376+0.1</f>
        <v/>
      </c>
      <c r="P377">
        <f>P376+0.2</f>
        <v/>
      </c>
      <c r="Q377">
        <f>Q376+0.3</f>
        <v/>
      </c>
      <c r="R377">
        <f>R376+0.05</f>
        <v/>
      </c>
      <c r="S377">
        <f>S376+0.01</f>
        <v/>
      </c>
      <c r="T377">
        <f>T376+0.7</f>
        <v/>
      </c>
      <c r="U377">
        <f>U376+1.1</f>
        <v/>
      </c>
      <c r="V377">
        <f>V376+0.25</f>
        <v/>
      </c>
      <c r="W377">
        <f>W376+0.5</f>
        <v/>
      </c>
    </row>
    <row r="378">
      <c r="E378">
        <f>O378=ROUND(367*0.1,10)</f>
        <v/>
      </c>
      <c r="F378">
        <f>P378=ROUND(367*0.2,10)</f>
        <v/>
      </c>
      <c r="G378">
        <f>Q378=ROUND(367*0.3,10)</f>
        <v/>
      </c>
      <c r="H378">
        <f>R378=ROUND(367*0.05,10)</f>
        <v/>
      </c>
      <c r="I378">
        <f>S378=ROUND(367*0.01,10)</f>
        <v/>
      </c>
      <c r="J378">
        <f>T378=ROUND(367*0.7,10)</f>
        <v/>
      </c>
      <c r="K378">
        <f>U378=ROUND(367*1.1,10)</f>
        <v/>
      </c>
      <c r="L378">
        <f>V378=ROUND(367*0.25,10)</f>
        <v/>
      </c>
      <c r="M378">
        <f>W378=ROUND(367*0.5,10)</f>
        <v/>
      </c>
      <c r="O378">
        <f>O377+0.1</f>
        <v/>
      </c>
      <c r="P378">
        <f>P377+0.2</f>
        <v/>
      </c>
      <c r="Q378">
        <f>Q377+0.3</f>
        <v/>
      </c>
      <c r="R378">
        <f>R377+0.05</f>
        <v/>
      </c>
      <c r="S378">
        <f>S377+0.01</f>
        <v/>
      </c>
      <c r="T378">
        <f>T377+0.7</f>
        <v/>
      </c>
      <c r="U378">
        <f>U377+1.1</f>
        <v/>
      </c>
      <c r="V378">
        <f>V377+0.25</f>
        <v/>
      </c>
      <c r="W378">
        <f>W377+0.5</f>
        <v/>
      </c>
    </row>
    <row r="379">
      <c r="E379">
        <f>O379=ROUND(368*0.1,10)</f>
        <v/>
      </c>
      <c r="F379">
        <f>P379=ROUND(368*0.2,10)</f>
        <v/>
      </c>
      <c r="G379">
        <f>Q379=ROUND(368*0.3,10)</f>
        <v/>
      </c>
      <c r="H379">
        <f>R379=ROUND(368*0.05,10)</f>
        <v/>
      </c>
      <c r="I379">
        <f>S379=ROUND(368*0.01,10)</f>
        <v/>
      </c>
      <c r="J379">
        <f>T379=ROUND(368*0.7,10)</f>
        <v/>
      </c>
      <c r="K379">
        <f>U379=ROUND(368*1.1,10)</f>
        <v/>
      </c>
      <c r="L379">
        <f>V379=ROUND(368*0.25,10)</f>
        <v/>
      </c>
      <c r="M379">
        <f>W379=ROUND(368*0.5,10)</f>
        <v/>
      </c>
      <c r="O379">
        <f>O378+0.1</f>
        <v/>
      </c>
      <c r="P379">
        <f>P378+0.2</f>
        <v/>
      </c>
      <c r="Q379">
        <f>Q378+0.3</f>
        <v/>
      </c>
      <c r="R379">
        <f>R378+0.05</f>
        <v/>
      </c>
      <c r="S379">
        <f>S378+0.01</f>
        <v/>
      </c>
      <c r="T379">
        <f>T378+0.7</f>
        <v/>
      </c>
      <c r="U379">
        <f>U378+1.1</f>
        <v/>
      </c>
      <c r="V379">
        <f>V378+0.25</f>
        <v/>
      </c>
      <c r="W379">
        <f>W378+0.5</f>
        <v/>
      </c>
    </row>
    <row r="380">
      <c r="E380">
        <f>O380=ROUND(369*0.1,10)</f>
        <v/>
      </c>
      <c r="F380">
        <f>P380=ROUND(369*0.2,10)</f>
        <v/>
      </c>
      <c r="G380">
        <f>Q380=ROUND(369*0.3,10)</f>
        <v/>
      </c>
      <c r="H380">
        <f>R380=ROUND(369*0.05,10)</f>
        <v/>
      </c>
      <c r="I380">
        <f>S380=ROUND(369*0.01,10)</f>
        <v/>
      </c>
      <c r="J380">
        <f>T380=ROUND(369*0.7,10)</f>
        <v/>
      </c>
      <c r="K380">
        <f>U380=ROUND(369*1.1,10)</f>
        <v/>
      </c>
      <c r="L380">
        <f>V380=ROUND(369*0.25,10)</f>
        <v/>
      </c>
      <c r="M380">
        <f>W380=ROUND(369*0.5,10)</f>
        <v/>
      </c>
      <c r="O380">
        <f>O379+0.1</f>
        <v/>
      </c>
      <c r="P380">
        <f>P379+0.2</f>
        <v/>
      </c>
      <c r="Q380">
        <f>Q379+0.3</f>
        <v/>
      </c>
      <c r="R380">
        <f>R379+0.05</f>
        <v/>
      </c>
      <c r="S380">
        <f>S379+0.01</f>
        <v/>
      </c>
      <c r="T380">
        <f>T379+0.7</f>
        <v/>
      </c>
      <c r="U380">
        <f>U379+1.1</f>
        <v/>
      </c>
      <c r="V380">
        <f>V379+0.25</f>
        <v/>
      </c>
      <c r="W380">
        <f>W379+0.5</f>
        <v/>
      </c>
    </row>
    <row r="381">
      <c r="E381">
        <f>O381=ROUND(370*0.1,10)</f>
        <v/>
      </c>
      <c r="F381">
        <f>P381=ROUND(370*0.2,10)</f>
        <v/>
      </c>
      <c r="G381">
        <f>Q381=ROUND(370*0.3,10)</f>
        <v/>
      </c>
      <c r="H381">
        <f>R381=ROUND(370*0.05,10)</f>
        <v/>
      </c>
      <c r="I381">
        <f>S381=ROUND(370*0.01,10)</f>
        <v/>
      </c>
      <c r="J381">
        <f>T381=ROUND(370*0.7,10)</f>
        <v/>
      </c>
      <c r="K381">
        <f>U381=ROUND(370*1.1,10)</f>
        <v/>
      </c>
      <c r="L381">
        <f>V381=ROUND(370*0.25,10)</f>
        <v/>
      </c>
      <c r="M381">
        <f>W381=ROUND(370*0.5,10)</f>
        <v/>
      </c>
      <c r="O381">
        <f>O380+0.1</f>
        <v/>
      </c>
      <c r="P381">
        <f>P380+0.2</f>
        <v/>
      </c>
      <c r="Q381">
        <f>Q380+0.3</f>
        <v/>
      </c>
      <c r="R381">
        <f>R380+0.05</f>
        <v/>
      </c>
      <c r="S381">
        <f>S380+0.01</f>
        <v/>
      </c>
      <c r="T381">
        <f>T380+0.7</f>
        <v/>
      </c>
      <c r="U381">
        <f>U380+1.1</f>
        <v/>
      </c>
      <c r="V381">
        <f>V380+0.25</f>
        <v/>
      </c>
      <c r="W381">
        <f>W380+0.5</f>
        <v/>
      </c>
    </row>
    <row r="382">
      <c r="E382">
        <f>O382=ROUND(371*0.1,10)</f>
        <v/>
      </c>
      <c r="F382">
        <f>P382=ROUND(371*0.2,10)</f>
        <v/>
      </c>
      <c r="G382">
        <f>Q382=ROUND(371*0.3,10)</f>
        <v/>
      </c>
      <c r="H382">
        <f>R382=ROUND(371*0.05,10)</f>
        <v/>
      </c>
      <c r="I382">
        <f>S382=ROUND(371*0.01,10)</f>
        <v/>
      </c>
      <c r="J382">
        <f>T382=ROUND(371*0.7,10)</f>
        <v/>
      </c>
      <c r="K382">
        <f>U382=ROUND(371*1.1,10)</f>
        <v/>
      </c>
      <c r="L382">
        <f>V382=ROUND(371*0.25,10)</f>
        <v/>
      </c>
      <c r="M382">
        <f>W382=ROUND(371*0.5,10)</f>
        <v/>
      </c>
      <c r="O382">
        <f>O381+0.1</f>
        <v/>
      </c>
      <c r="P382">
        <f>P381+0.2</f>
        <v/>
      </c>
      <c r="Q382">
        <f>Q381+0.3</f>
        <v/>
      </c>
      <c r="R382">
        <f>R381+0.05</f>
        <v/>
      </c>
      <c r="S382">
        <f>S381+0.01</f>
        <v/>
      </c>
      <c r="T382">
        <f>T381+0.7</f>
        <v/>
      </c>
      <c r="U382">
        <f>U381+1.1</f>
        <v/>
      </c>
      <c r="V382">
        <f>V381+0.25</f>
        <v/>
      </c>
      <c r="W382">
        <f>W381+0.5</f>
        <v/>
      </c>
    </row>
    <row r="383">
      <c r="E383">
        <f>O383=ROUND(372*0.1,10)</f>
        <v/>
      </c>
      <c r="F383">
        <f>P383=ROUND(372*0.2,10)</f>
        <v/>
      </c>
      <c r="G383">
        <f>Q383=ROUND(372*0.3,10)</f>
        <v/>
      </c>
      <c r="H383">
        <f>R383=ROUND(372*0.05,10)</f>
        <v/>
      </c>
      <c r="I383">
        <f>S383=ROUND(372*0.01,10)</f>
        <v/>
      </c>
      <c r="J383">
        <f>T383=ROUND(372*0.7,10)</f>
        <v/>
      </c>
      <c r="K383">
        <f>U383=ROUND(372*1.1,10)</f>
        <v/>
      </c>
      <c r="L383">
        <f>V383=ROUND(372*0.25,10)</f>
        <v/>
      </c>
      <c r="M383">
        <f>W383=ROUND(372*0.5,10)</f>
        <v/>
      </c>
      <c r="O383">
        <f>O382+0.1</f>
        <v/>
      </c>
      <c r="P383">
        <f>P382+0.2</f>
        <v/>
      </c>
      <c r="Q383">
        <f>Q382+0.3</f>
        <v/>
      </c>
      <c r="R383">
        <f>R382+0.05</f>
        <v/>
      </c>
      <c r="S383">
        <f>S382+0.01</f>
        <v/>
      </c>
      <c r="T383">
        <f>T382+0.7</f>
        <v/>
      </c>
      <c r="U383">
        <f>U382+1.1</f>
        <v/>
      </c>
      <c r="V383">
        <f>V382+0.25</f>
        <v/>
      </c>
      <c r="W383">
        <f>W382+0.5</f>
        <v/>
      </c>
    </row>
    <row r="384">
      <c r="E384">
        <f>O384=ROUND(373*0.1,10)</f>
        <v/>
      </c>
      <c r="F384">
        <f>P384=ROUND(373*0.2,10)</f>
        <v/>
      </c>
      <c r="G384">
        <f>Q384=ROUND(373*0.3,10)</f>
        <v/>
      </c>
      <c r="H384">
        <f>R384=ROUND(373*0.05,10)</f>
        <v/>
      </c>
      <c r="I384">
        <f>S384=ROUND(373*0.01,10)</f>
        <v/>
      </c>
      <c r="J384">
        <f>T384=ROUND(373*0.7,10)</f>
        <v/>
      </c>
      <c r="K384">
        <f>U384=ROUND(373*1.1,10)</f>
        <v/>
      </c>
      <c r="L384">
        <f>V384=ROUND(373*0.25,10)</f>
        <v/>
      </c>
      <c r="M384">
        <f>W384=ROUND(373*0.5,10)</f>
        <v/>
      </c>
      <c r="O384">
        <f>O383+0.1</f>
        <v/>
      </c>
      <c r="P384">
        <f>P383+0.2</f>
        <v/>
      </c>
      <c r="Q384">
        <f>Q383+0.3</f>
        <v/>
      </c>
      <c r="R384">
        <f>R383+0.05</f>
        <v/>
      </c>
      <c r="S384">
        <f>S383+0.01</f>
        <v/>
      </c>
      <c r="T384">
        <f>T383+0.7</f>
        <v/>
      </c>
      <c r="U384">
        <f>U383+1.1</f>
        <v/>
      </c>
      <c r="V384">
        <f>V383+0.25</f>
        <v/>
      </c>
      <c r="W384">
        <f>W383+0.5</f>
        <v/>
      </c>
    </row>
    <row r="385">
      <c r="E385">
        <f>O385=ROUND(374*0.1,10)</f>
        <v/>
      </c>
      <c r="F385">
        <f>P385=ROUND(374*0.2,10)</f>
        <v/>
      </c>
      <c r="G385">
        <f>Q385=ROUND(374*0.3,10)</f>
        <v/>
      </c>
      <c r="H385">
        <f>R385=ROUND(374*0.05,10)</f>
        <v/>
      </c>
      <c r="I385">
        <f>S385=ROUND(374*0.01,10)</f>
        <v/>
      </c>
      <c r="J385">
        <f>T385=ROUND(374*0.7,10)</f>
        <v/>
      </c>
      <c r="K385">
        <f>U385=ROUND(374*1.1,10)</f>
        <v/>
      </c>
      <c r="L385">
        <f>V385=ROUND(374*0.25,10)</f>
        <v/>
      </c>
      <c r="M385">
        <f>W385=ROUND(374*0.5,10)</f>
        <v/>
      </c>
      <c r="O385">
        <f>O384+0.1</f>
        <v/>
      </c>
      <c r="P385">
        <f>P384+0.2</f>
        <v/>
      </c>
      <c r="Q385">
        <f>Q384+0.3</f>
        <v/>
      </c>
      <c r="R385">
        <f>R384+0.05</f>
        <v/>
      </c>
      <c r="S385">
        <f>S384+0.01</f>
        <v/>
      </c>
      <c r="T385">
        <f>T384+0.7</f>
        <v/>
      </c>
      <c r="U385">
        <f>U384+1.1</f>
        <v/>
      </c>
      <c r="V385">
        <f>V384+0.25</f>
        <v/>
      </c>
      <c r="W385">
        <f>W384+0.5</f>
        <v/>
      </c>
    </row>
    <row r="386">
      <c r="E386">
        <f>O386=ROUND(375*0.1,10)</f>
        <v/>
      </c>
      <c r="F386">
        <f>P386=ROUND(375*0.2,10)</f>
        <v/>
      </c>
      <c r="G386">
        <f>Q386=ROUND(375*0.3,10)</f>
        <v/>
      </c>
      <c r="H386">
        <f>R386=ROUND(375*0.05,10)</f>
        <v/>
      </c>
      <c r="I386">
        <f>S386=ROUND(375*0.01,10)</f>
        <v/>
      </c>
      <c r="J386">
        <f>T386=ROUND(375*0.7,10)</f>
        <v/>
      </c>
      <c r="K386">
        <f>U386=ROUND(375*1.1,10)</f>
        <v/>
      </c>
      <c r="L386">
        <f>V386=ROUND(375*0.25,10)</f>
        <v/>
      </c>
      <c r="M386">
        <f>W386=ROUND(375*0.5,10)</f>
        <v/>
      </c>
      <c r="O386">
        <f>O385+0.1</f>
        <v/>
      </c>
      <c r="P386">
        <f>P385+0.2</f>
        <v/>
      </c>
      <c r="Q386">
        <f>Q385+0.3</f>
        <v/>
      </c>
      <c r="R386">
        <f>R385+0.05</f>
        <v/>
      </c>
      <c r="S386">
        <f>S385+0.01</f>
        <v/>
      </c>
      <c r="T386">
        <f>T385+0.7</f>
        <v/>
      </c>
      <c r="U386">
        <f>U385+1.1</f>
        <v/>
      </c>
      <c r="V386">
        <f>V385+0.25</f>
        <v/>
      </c>
      <c r="W386">
        <f>W385+0.5</f>
        <v/>
      </c>
    </row>
    <row r="387">
      <c r="E387">
        <f>O387=ROUND(376*0.1,10)</f>
        <v/>
      </c>
      <c r="F387">
        <f>P387=ROUND(376*0.2,10)</f>
        <v/>
      </c>
      <c r="G387">
        <f>Q387=ROUND(376*0.3,10)</f>
        <v/>
      </c>
      <c r="H387">
        <f>R387=ROUND(376*0.05,10)</f>
        <v/>
      </c>
      <c r="I387">
        <f>S387=ROUND(376*0.01,10)</f>
        <v/>
      </c>
      <c r="J387">
        <f>T387=ROUND(376*0.7,10)</f>
        <v/>
      </c>
      <c r="K387">
        <f>U387=ROUND(376*1.1,10)</f>
        <v/>
      </c>
      <c r="L387">
        <f>V387=ROUND(376*0.25,10)</f>
        <v/>
      </c>
      <c r="M387">
        <f>W387=ROUND(376*0.5,10)</f>
        <v/>
      </c>
      <c r="O387">
        <f>O386+0.1</f>
        <v/>
      </c>
      <c r="P387">
        <f>P386+0.2</f>
        <v/>
      </c>
      <c r="Q387">
        <f>Q386+0.3</f>
        <v/>
      </c>
      <c r="R387">
        <f>R386+0.05</f>
        <v/>
      </c>
      <c r="S387">
        <f>S386+0.01</f>
        <v/>
      </c>
      <c r="T387">
        <f>T386+0.7</f>
        <v/>
      </c>
      <c r="U387">
        <f>U386+1.1</f>
        <v/>
      </c>
      <c r="V387">
        <f>V386+0.25</f>
        <v/>
      </c>
      <c r="W387">
        <f>W386+0.5</f>
        <v/>
      </c>
    </row>
    <row r="388">
      <c r="E388">
        <f>O388=ROUND(377*0.1,10)</f>
        <v/>
      </c>
      <c r="F388">
        <f>P388=ROUND(377*0.2,10)</f>
        <v/>
      </c>
      <c r="G388">
        <f>Q388=ROUND(377*0.3,10)</f>
        <v/>
      </c>
      <c r="H388">
        <f>R388=ROUND(377*0.05,10)</f>
        <v/>
      </c>
      <c r="I388">
        <f>S388=ROUND(377*0.01,10)</f>
        <v/>
      </c>
      <c r="J388">
        <f>T388=ROUND(377*0.7,10)</f>
        <v/>
      </c>
      <c r="K388">
        <f>U388=ROUND(377*1.1,10)</f>
        <v/>
      </c>
      <c r="L388">
        <f>V388=ROUND(377*0.25,10)</f>
        <v/>
      </c>
      <c r="M388">
        <f>W388=ROUND(377*0.5,10)</f>
        <v/>
      </c>
      <c r="O388">
        <f>O387+0.1</f>
        <v/>
      </c>
      <c r="P388">
        <f>P387+0.2</f>
        <v/>
      </c>
      <c r="Q388">
        <f>Q387+0.3</f>
        <v/>
      </c>
      <c r="R388">
        <f>R387+0.05</f>
        <v/>
      </c>
      <c r="S388">
        <f>S387+0.01</f>
        <v/>
      </c>
      <c r="T388">
        <f>T387+0.7</f>
        <v/>
      </c>
      <c r="U388">
        <f>U387+1.1</f>
        <v/>
      </c>
      <c r="V388">
        <f>V387+0.25</f>
        <v/>
      </c>
      <c r="W388">
        <f>W387+0.5</f>
        <v/>
      </c>
    </row>
    <row r="389">
      <c r="E389">
        <f>O389=ROUND(378*0.1,10)</f>
        <v/>
      </c>
      <c r="F389">
        <f>P389=ROUND(378*0.2,10)</f>
        <v/>
      </c>
      <c r="G389">
        <f>Q389=ROUND(378*0.3,10)</f>
        <v/>
      </c>
      <c r="H389">
        <f>R389=ROUND(378*0.05,10)</f>
        <v/>
      </c>
      <c r="I389">
        <f>S389=ROUND(378*0.01,10)</f>
        <v/>
      </c>
      <c r="J389">
        <f>T389=ROUND(378*0.7,10)</f>
        <v/>
      </c>
      <c r="K389">
        <f>U389=ROUND(378*1.1,10)</f>
        <v/>
      </c>
      <c r="L389">
        <f>V389=ROUND(378*0.25,10)</f>
        <v/>
      </c>
      <c r="M389">
        <f>W389=ROUND(378*0.5,10)</f>
        <v/>
      </c>
      <c r="O389">
        <f>O388+0.1</f>
        <v/>
      </c>
      <c r="P389">
        <f>P388+0.2</f>
        <v/>
      </c>
      <c r="Q389">
        <f>Q388+0.3</f>
        <v/>
      </c>
      <c r="R389">
        <f>R388+0.05</f>
        <v/>
      </c>
      <c r="S389">
        <f>S388+0.01</f>
        <v/>
      </c>
      <c r="T389">
        <f>T388+0.7</f>
        <v/>
      </c>
      <c r="U389">
        <f>U388+1.1</f>
        <v/>
      </c>
      <c r="V389">
        <f>V388+0.25</f>
        <v/>
      </c>
      <c r="W389">
        <f>W388+0.5</f>
        <v/>
      </c>
    </row>
    <row r="390">
      <c r="E390">
        <f>O390=ROUND(379*0.1,10)</f>
        <v/>
      </c>
      <c r="F390">
        <f>P390=ROUND(379*0.2,10)</f>
        <v/>
      </c>
      <c r="G390">
        <f>Q390=ROUND(379*0.3,10)</f>
        <v/>
      </c>
      <c r="H390">
        <f>R390=ROUND(379*0.05,10)</f>
        <v/>
      </c>
      <c r="I390">
        <f>S390=ROUND(379*0.01,10)</f>
        <v/>
      </c>
      <c r="J390">
        <f>T390=ROUND(379*0.7,10)</f>
        <v/>
      </c>
      <c r="K390">
        <f>U390=ROUND(379*1.1,10)</f>
        <v/>
      </c>
      <c r="L390">
        <f>V390=ROUND(379*0.25,10)</f>
        <v/>
      </c>
      <c r="M390">
        <f>W390=ROUND(379*0.5,10)</f>
        <v/>
      </c>
      <c r="O390">
        <f>O389+0.1</f>
        <v/>
      </c>
      <c r="P390">
        <f>P389+0.2</f>
        <v/>
      </c>
      <c r="Q390">
        <f>Q389+0.3</f>
        <v/>
      </c>
      <c r="R390">
        <f>R389+0.05</f>
        <v/>
      </c>
      <c r="S390">
        <f>S389+0.01</f>
        <v/>
      </c>
      <c r="T390">
        <f>T389+0.7</f>
        <v/>
      </c>
      <c r="U390">
        <f>U389+1.1</f>
        <v/>
      </c>
      <c r="V390">
        <f>V389+0.25</f>
        <v/>
      </c>
      <c r="W390">
        <f>W389+0.5</f>
        <v/>
      </c>
    </row>
    <row r="391">
      <c r="E391">
        <f>O391=ROUND(380*0.1,10)</f>
        <v/>
      </c>
      <c r="F391">
        <f>P391=ROUND(380*0.2,10)</f>
        <v/>
      </c>
      <c r="G391">
        <f>Q391=ROUND(380*0.3,10)</f>
        <v/>
      </c>
      <c r="H391">
        <f>R391=ROUND(380*0.05,10)</f>
        <v/>
      </c>
      <c r="I391">
        <f>S391=ROUND(380*0.01,10)</f>
        <v/>
      </c>
      <c r="J391">
        <f>T391=ROUND(380*0.7,10)</f>
        <v/>
      </c>
      <c r="K391">
        <f>U391=ROUND(380*1.1,10)</f>
        <v/>
      </c>
      <c r="L391">
        <f>V391=ROUND(380*0.25,10)</f>
        <v/>
      </c>
      <c r="M391">
        <f>W391=ROUND(380*0.5,10)</f>
        <v/>
      </c>
      <c r="O391">
        <f>O390+0.1</f>
        <v/>
      </c>
      <c r="P391">
        <f>P390+0.2</f>
        <v/>
      </c>
      <c r="Q391">
        <f>Q390+0.3</f>
        <v/>
      </c>
      <c r="R391">
        <f>R390+0.05</f>
        <v/>
      </c>
      <c r="S391">
        <f>S390+0.01</f>
        <v/>
      </c>
      <c r="T391">
        <f>T390+0.7</f>
        <v/>
      </c>
      <c r="U391">
        <f>U390+1.1</f>
        <v/>
      </c>
      <c r="V391">
        <f>V390+0.25</f>
        <v/>
      </c>
      <c r="W391">
        <f>W390+0.5</f>
        <v/>
      </c>
    </row>
    <row r="392">
      <c r="E392">
        <f>O392=ROUND(381*0.1,10)</f>
        <v/>
      </c>
      <c r="F392">
        <f>P392=ROUND(381*0.2,10)</f>
        <v/>
      </c>
      <c r="G392">
        <f>Q392=ROUND(381*0.3,10)</f>
        <v/>
      </c>
      <c r="H392">
        <f>R392=ROUND(381*0.05,10)</f>
        <v/>
      </c>
      <c r="I392">
        <f>S392=ROUND(381*0.01,10)</f>
        <v/>
      </c>
      <c r="J392">
        <f>T392=ROUND(381*0.7,10)</f>
        <v/>
      </c>
      <c r="K392">
        <f>U392=ROUND(381*1.1,10)</f>
        <v/>
      </c>
      <c r="L392">
        <f>V392=ROUND(381*0.25,10)</f>
        <v/>
      </c>
      <c r="M392">
        <f>W392=ROUND(381*0.5,10)</f>
        <v/>
      </c>
      <c r="O392">
        <f>O391+0.1</f>
        <v/>
      </c>
      <c r="P392">
        <f>P391+0.2</f>
        <v/>
      </c>
      <c r="Q392">
        <f>Q391+0.3</f>
        <v/>
      </c>
      <c r="R392">
        <f>R391+0.05</f>
        <v/>
      </c>
      <c r="S392">
        <f>S391+0.01</f>
        <v/>
      </c>
      <c r="T392">
        <f>T391+0.7</f>
        <v/>
      </c>
      <c r="U392">
        <f>U391+1.1</f>
        <v/>
      </c>
      <c r="V392">
        <f>V391+0.25</f>
        <v/>
      </c>
      <c r="W392">
        <f>W391+0.5</f>
        <v/>
      </c>
    </row>
    <row r="393">
      <c r="E393">
        <f>O393=ROUND(382*0.1,10)</f>
        <v/>
      </c>
      <c r="F393">
        <f>P393=ROUND(382*0.2,10)</f>
        <v/>
      </c>
      <c r="G393">
        <f>Q393=ROUND(382*0.3,10)</f>
        <v/>
      </c>
      <c r="H393">
        <f>R393=ROUND(382*0.05,10)</f>
        <v/>
      </c>
      <c r="I393">
        <f>S393=ROUND(382*0.01,10)</f>
        <v/>
      </c>
      <c r="J393">
        <f>T393=ROUND(382*0.7,10)</f>
        <v/>
      </c>
      <c r="K393">
        <f>U393=ROUND(382*1.1,10)</f>
        <v/>
      </c>
      <c r="L393">
        <f>V393=ROUND(382*0.25,10)</f>
        <v/>
      </c>
      <c r="M393">
        <f>W393=ROUND(382*0.5,10)</f>
        <v/>
      </c>
      <c r="O393">
        <f>O392+0.1</f>
        <v/>
      </c>
      <c r="P393">
        <f>P392+0.2</f>
        <v/>
      </c>
      <c r="Q393">
        <f>Q392+0.3</f>
        <v/>
      </c>
      <c r="R393">
        <f>R392+0.05</f>
        <v/>
      </c>
      <c r="S393">
        <f>S392+0.01</f>
        <v/>
      </c>
      <c r="T393">
        <f>T392+0.7</f>
        <v/>
      </c>
      <c r="U393">
        <f>U392+1.1</f>
        <v/>
      </c>
      <c r="V393">
        <f>V392+0.25</f>
        <v/>
      </c>
      <c r="W393">
        <f>W392+0.5</f>
        <v/>
      </c>
    </row>
    <row r="394">
      <c r="E394">
        <f>O394=ROUND(383*0.1,10)</f>
        <v/>
      </c>
      <c r="F394">
        <f>P394=ROUND(383*0.2,10)</f>
        <v/>
      </c>
      <c r="G394">
        <f>Q394=ROUND(383*0.3,10)</f>
        <v/>
      </c>
      <c r="H394">
        <f>R394=ROUND(383*0.05,10)</f>
        <v/>
      </c>
      <c r="I394">
        <f>S394=ROUND(383*0.01,10)</f>
        <v/>
      </c>
      <c r="J394">
        <f>T394=ROUND(383*0.7,10)</f>
        <v/>
      </c>
      <c r="K394">
        <f>U394=ROUND(383*1.1,10)</f>
        <v/>
      </c>
      <c r="L394">
        <f>V394=ROUND(383*0.25,10)</f>
        <v/>
      </c>
      <c r="M394">
        <f>W394=ROUND(383*0.5,10)</f>
        <v/>
      </c>
      <c r="O394">
        <f>O393+0.1</f>
        <v/>
      </c>
      <c r="P394">
        <f>P393+0.2</f>
        <v/>
      </c>
      <c r="Q394">
        <f>Q393+0.3</f>
        <v/>
      </c>
      <c r="R394">
        <f>R393+0.05</f>
        <v/>
      </c>
      <c r="S394">
        <f>S393+0.01</f>
        <v/>
      </c>
      <c r="T394">
        <f>T393+0.7</f>
        <v/>
      </c>
      <c r="U394">
        <f>U393+1.1</f>
        <v/>
      </c>
      <c r="V394">
        <f>V393+0.25</f>
        <v/>
      </c>
      <c r="W394">
        <f>W393+0.5</f>
        <v/>
      </c>
    </row>
    <row r="395">
      <c r="E395">
        <f>O395=ROUND(384*0.1,10)</f>
        <v/>
      </c>
      <c r="F395">
        <f>P395=ROUND(384*0.2,10)</f>
        <v/>
      </c>
      <c r="G395">
        <f>Q395=ROUND(384*0.3,10)</f>
        <v/>
      </c>
      <c r="H395">
        <f>R395=ROUND(384*0.05,10)</f>
        <v/>
      </c>
      <c r="I395">
        <f>S395=ROUND(384*0.01,10)</f>
        <v/>
      </c>
      <c r="J395">
        <f>T395=ROUND(384*0.7,10)</f>
        <v/>
      </c>
      <c r="K395">
        <f>U395=ROUND(384*1.1,10)</f>
        <v/>
      </c>
      <c r="L395">
        <f>V395=ROUND(384*0.25,10)</f>
        <v/>
      </c>
      <c r="M395">
        <f>W395=ROUND(384*0.5,10)</f>
        <v/>
      </c>
      <c r="O395">
        <f>O394+0.1</f>
        <v/>
      </c>
      <c r="P395">
        <f>P394+0.2</f>
        <v/>
      </c>
      <c r="Q395">
        <f>Q394+0.3</f>
        <v/>
      </c>
      <c r="R395">
        <f>R394+0.05</f>
        <v/>
      </c>
      <c r="S395">
        <f>S394+0.01</f>
        <v/>
      </c>
      <c r="T395">
        <f>T394+0.7</f>
        <v/>
      </c>
      <c r="U395">
        <f>U394+1.1</f>
        <v/>
      </c>
      <c r="V395">
        <f>V394+0.25</f>
        <v/>
      </c>
      <c r="W395">
        <f>W394+0.5</f>
        <v/>
      </c>
    </row>
    <row r="396">
      <c r="E396">
        <f>O396=ROUND(385*0.1,10)</f>
        <v/>
      </c>
      <c r="F396">
        <f>P396=ROUND(385*0.2,10)</f>
        <v/>
      </c>
      <c r="G396">
        <f>Q396=ROUND(385*0.3,10)</f>
        <v/>
      </c>
      <c r="H396">
        <f>R396=ROUND(385*0.05,10)</f>
        <v/>
      </c>
      <c r="I396">
        <f>S396=ROUND(385*0.01,10)</f>
        <v/>
      </c>
      <c r="J396">
        <f>T396=ROUND(385*0.7,10)</f>
        <v/>
      </c>
      <c r="K396">
        <f>U396=ROUND(385*1.1,10)</f>
        <v/>
      </c>
      <c r="L396">
        <f>V396=ROUND(385*0.25,10)</f>
        <v/>
      </c>
      <c r="M396">
        <f>W396=ROUND(385*0.5,10)</f>
        <v/>
      </c>
      <c r="O396">
        <f>O395+0.1</f>
        <v/>
      </c>
      <c r="P396">
        <f>P395+0.2</f>
        <v/>
      </c>
      <c r="Q396">
        <f>Q395+0.3</f>
        <v/>
      </c>
      <c r="R396">
        <f>R395+0.05</f>
        <v/>
      </c>
      <c r="S396">
        <f>S395+0.01</f>
        <v/>
      </c>
      <c r="T396">
        <f>T395+0.7</f>
        <v/>
      </c>
      <c r="U396">
        <f>U395+1.1</f>
        <v/>
      </c>
      <c r="V396">
        <f>V395+0.25</f>
        <v/>
      </c>
      <c r="W396">
        <f>W395+0.5</f>
        <v/>
      </c>
    </row>
    <row r="397">
      <c r="E397">
        <f>O397=ROUND(386*0.1,10)</f>
        <v/>
      </c>
      <c r="F397">
        <f>P397=ROUND(386*0.2,10)</f>
        <v/>
      </c>
      <c r="G397">
        <f>Q397=ROUND(386*0.3,10)</f>
        <v/>
      </c>
      <c r="H397">
        <f>R397=ROUND(386*0.05,10)</f>
        <v/>
      </c>
      <c r="I397">
        <f>S397=ROUND(386*0.01,10)</f>
        <v/>
      </c>
      <c r="J397">
        <f>T397=ROUND(386*0.7,10)</f>
        <v/>
      </c>
      <c r="K397">
        <f>U397=ROUND(386*1.1,10)</f>
        <v/>
      </c>
      <c r="L397">
        <f>V397=ROUND(386*0.25,10)</f>
        <v/>
      </c>
      <c r="M397">
        <f>W397=ROUND(386*0.5,10)</f>
        <v/>
      </c>
      <c r="O397">
        <f>O396+0.1</f>
        <v/>
      </c>
      <c r="P397">
        <f>P396+0.2</f>
        <v/>
      </c>
      <c r="Q397">
        <f>Q396+0.3</f>
        <v/>
      </c>
      <c r="R397">
        <f>R396+0.05</f>
        <v/>
      </c>
      <c r="S397">
        <f>S396+0.01</f>
        <v/>
      </c>
      <c r="T397">
        <f>T396+0.7</f>
        <v/>
      </c>
      <c r="U397">
        <f>U396+1.1</f>
        <v/>
      </c>
      <c r="V397">
        <f>V396+0.25</f>
        <v/>
      </c>
      <c r="W397">
        <f>W396+0.5</f>
        <v/>
      </c>
    </row>
    <row r="398">
      <c r="E398">
        <f>O398=ROUND(387*0.1,10)</f>
        <v/>
      </c>
      <c r="F398">
        <f>P398=ROUND(387*0.2,10)</f>
        <v/>
      </c>
      <c r="G398">
        <f>Q398=ROUND(387*0.3,10)</f>
        <v/>
      </c>
      <c r="H398">
        <f>R398=ROUND(387*0.05,10)</f>
        <v/>
      </c>
      <c r="I398">
        <f>S398=ROUND(387*0.01,10)</f>
        <v/>
      </c>
      <c r="J398">
        <f>T398=ROUND(387*0.7,10)</f>
        <v/>
      </c>
      <c r="K398">
        <f>U398=ROUND(387*1.1,10)</f>
        <v/>
      </c>
      <c r="L398">
        <f>V398=ROUND(387*0.25,10)</f>
        <v/>
      </c>
      <c r="M398">
        <f>W398=ROUND(387*0.5,10)</f>
        <v/>
      </c>
      <c r="O398">
        <f>O397+0.1</f>
        <v/>
      </c>
      <c r="P398">
        <f>P397+0.2</f>
        <v/>
      </c>
      <c r="Q398">
        <f>Q397+0.3</f>
        <v/>
      </c>
      <c r="R398">
        <f>R397+0.05</f>
        <v/>
      </c>
      <c r="S398">
        <f>S397+0.01</f>
        <v/>
      </c>
      <c r="T398">
        <f>T397+0.7</f>
        <v/>
      </c>
      <c r="U398">
        <f>U397+1.1</f>
        <v/>
      </c>
      <c r="V398">
        <f>V397+0.25</f>
        <v/>
      </c>
      <c r="W398">
        <f>W397+0.5</f>
        <v/>
      </c>
    </row>
    <row r="399">
      <c r="E399">
        <f>O399=ROUND(388*0.1,10)</f>
        <v/>
      </c>
      <c r="F399">
        <f>P399=ROUND(388*0.2,10)</f>
        <v/>
      </c>
      <c r="G399">
        <f>Q399=ROUND(388*0.3,10)</f>
        <v/>
      </c>
      <c r="H399">
        <f>R399=ROUND(388*0.05,10)</f>
        <v/>
      </c>
      <c r="I399">
        <f>S399=ROUND(388*0.01,10)</f>
        <v/>
      </c>
      <c r="J399">
        <f>T399=ROUND(388*0.7,10)</f>
        <v/>
      </c>
      <c r="K399">
        <f>U399=ROUND(388*1.1,10)</f>
        <v/>
      </c>
      <c r="L399">
        <f>V399=ROUND(388*0.25,10)</f>
        <v/>
      </c>
      <c r="M399">
        <f>W399=ROUND(388*0.5,10)</f>
        <v/>
      </c>
      <c r="O399">
        <f>O398+0.1</f>
        <v/>
      </c>
      <c r="P399">
        <f>P398+0.2</f>
        <v/>
      </c>
      <c r="Q399">
        <f>Q398+0.3</f>
        <v/>
      </c>
      <c r="R399">
        <f>R398+0.05</f>
        <v/>
      </c>
      <c r="S399">
        <f>S398+0.01</f>
        <v/>
      </c>
      <c r="T399">
        <f>T398+0.7</f>
        <v/>
      </c>
      <c r="U399">
        <f>U398+1.1</f>
        <v/>
      </c>
      <c r="V399">
        <f>V398+0.25</f>
        <v/>
      </c>
      <c r="W399">
        <f>W398+0.5</f>
        <v/>
      </c>
    </row>
    <row r="400">
      <c r="E400">
        <f>O400=ROUND(389*0.1,10)</f>
        <v/>
      </c>
      <c r="F400">
        <f>P400=ROUND(389*0.2,10)</f>
        <v/>
      </c>
      <c r="G400">
        <f>Q400=ROUND(389*0.3,10)</f>
        <v/>
      </c>
      <c r="H400">
        <f>R400=ROUND(389*0.05,10)</f>
        <v/>
      </c>
      <c r="I400">
        <f>S400=ROUND(389*0.01,10)</f>
        <v/>
      </c>
      <c r="J400">
        <f>T400=ROUND(389*0.7,10)</f>
        <v/>
      </c>
      <c r="K400">
        <f>U400=ROUND(389*1.1,10)</f>
        <v/>
      </c>
      <c r="L400">
        <f>V400=ROUND(389*0.25,10)</f>
        <v/>
      </c>
      <c r="M400">
        <f>W400=ROUND(389*0.5,10)</f>
        <v/>
      </c>
      <c r="O400">
        <f>O399+0.1</f>
        <v/>
      </c>
      <c r="P400">
        <f>P399+0.2</f>
        <v/>
      </c>
      <c r="Q400">
        <f>Q399+0.3</f>
        <v/>
      </c>
      <c r="R400">
        <f>R399+0.05</f>
        <v/>
      </c>
      <c r="S400">
        <f>S399+0.01</f>
        <v/>
      </c>
      <c r="T400">
        <f>T399+0.7</f>
        <v/>
      </c>
      <c r="U400">
        <f>U399+1.1</f>
        <v/>
      </c>
      <c r="V400">
        <f>V399+0.25</f>
        <v/>
      </c>
      <c r="W400">
        <f>W399+0.5</f>
        <v/>
      </c>
    </row>
    <row r="401">
      <c r="E401">
        <f>O401=ROUND(390*0.1,10)</f>
        <v/>
      </c>
      <c r="F401">
        <f>P401=ROUND(390*0.2,10)</f>
        <v/>
      </c>
      <c r="G401">
        <f>Q401=ROUND(390*0.3,10)</f>
        <v/>
      </c>
      <c r="H401">
        <f>R401=ROUND(390*0.05,10)</f>
        <v/>
      </c>
      <c r="I401">
        <f>S401=ROUND(390*0.01,10)</f>
        <v/>
      </c>
      <c r="J401">
        <f>T401=ROUND(390*0.7,10)</f>
        <v/>
      </c>
      <c r="K401">
        <f>U401=ROUND(390*1.1,10)</f>
        <v/>
      </c>
      <c r="L401">
        <f>V401=ROUND(390*0.25,10)</f>
        <v/>
      </c>
      <c r="M401">
        <f>W401=ROUND(390*0.5,10)</f>
        <v/>
      </c>
      <c r="O401">
        <f>O400+0.1</f>
        <v/>
      </c>
      <c r="P401">
        <f>P400+0.2</f>
        <v/>
      </c>
      <c r="Q401">
        <f>Q400+0.3</f>
        <v/>
      </c>
      <c r="R401">
        <f>R400+0.05</f>
        <v/>
      </c>
      <c r="S401">
        <f>S400+0.01</f>
        <v/>
      </c>
      <c r="T401">
        <f>T400+0.7</f>
        <v/>
      </c>
      <c r="U401">
        <f>U400+1.1</f>
        <v/>
      </c>
      <c r="V401">
        <f>V400+0.25</f>
        <v/>
      </c>
      <c r="W401">
        <f>W400+0.5</f>
        <v/>
      </c>
    </row>
    <row r="402">
      <c r="E402">
        <f>O402=ROUND(391*0.1,10)</f>
        <v/>
      </c>
      <c r="F402">
        <f>P402=ROUND(391*0.2,10)</f>
        <v/>
      </c>
      <c r="G402">
        <f>Q402=ROUND(391*0.3,10)</f>
        <v/>
      </c>
      <c r="H402">
        <f>R402=ROUND(391*0.05,10)</f>
        <v/>
      </c>
      <c r="I402">
        <f>S402=ROUND(391*0.01,10)</f>
        <v/>
      </c>
      <c r="J402">
        <f>T402=ROUND(391*0.7,10)</f>
        <v/>
      </c>
      <c r="K402">
        <f>U402=ROUND(391*1.1,10)</f>
        <v/>
      </c>
      <c r="L402">
        <f>V402=ROUND(391*0.25,10)</f>
        <v/>
      </c>
      <c r="M402">
        <f>W402=ROUND(391*0.5,10)</f>
        <v/>
      </c>
      <c r="O402">
        <f>O401+0.1</f>
        <v/>
      </c>
      <c r="P402">
        <f>P401+0.2</f>
        <v/>
      </c>
      <c r="Q402">
        <f>Q401+0.3</f>
        <v/>
      </c>
      <c r="R402">
        <f>R401+0.05</f>
        <v/>
      </c>
      <c r="S402">
        <f>S401+0.01</f>
        <v/>
      </c>
      <c r="T402">
        <f>T401+0.7</f>
        <v/>
      </c>
      <c r="U402">
        <f>U401+1.1</f>
        <v/>
      </c>
      <c r="V402">
        <f>V401+0.25</f>
        <v/>
      </c>
      <c r="W402">
        <f>W401+0.5</f>
        <v/>
      </c>
    </row>
    <row r="403">
      <c r="E403">
        <f>O403=ROUND(392*0.1,10)</f>
        <v/>
      </c>
      <c r="F403">
        <f>P403=ROUND(392*0.2,10)</f>
        <v/>
      </c>
      <c r="G403">
        <f>Q403=ROUND(392*0.3,10)</f>
        <v/>
      </c>
      <c r="H403">
        <f>R403=ROUND(392*0.05,10)</f>
        <v/>
      </c>
      <c r="I403">
        <f>S403=ROUND(392*0.01,10)</f>
        <v/>
      </c>
      <c r="J403">
        <f>T403=ROUND(392*0.7,10)</f>
        <v/>
      </c>
      <c r="K403">
        <f>U403=ROUND(392*1.1,10)</f>
        <v/>
      </c>
      <c r="L403">
        <f>V403=ROUND(392*0.25,10)</f>
        <v/>
      </c>
      <c r="M403">
        <f>W403=ROUND(392*0.5,10)</f>
        <v/>
      </c>
      <c r="O403">
        <f>O402+0.1</f>
        <v/>
      </c>
      <c r="P403">
        <f>P402+0.2</f>
        <v/>
      </c>
      <c r="Q403">
        <f>Q402+0.3</f>
        <v/>
      </c>
      <c r="R403">
        <f>R402+0.05</f>
        <v/>
      </c>
      <c r="S403">
        <f>S402+0.01</f>
        <v/>
      </c>
      <c r="T403">
        <f>T402+0.7</f>
        <v/>
      </c>
      <c r="U403">
        <f>U402+1.1</f>
        <v/>
      </c>
      <c r="V403">
        <f>V402+0.25</f>
        <v/>
      </c>
      <c r="W403">
        <f>W402+0.5</f>
        <v/>
      </c>
    </row>
    <row r="404">
      <c r="E404">
        <f>O404=ROUND(393*0.1,10)</f>
        <v/>
      </c>
      <c r="F404">
        <f>P404=ROUND(393*0.2,10)</f>
        <v/>
      </c>
      <c r="G404">
        <f>Q404=ROUND(393*0.3,10)</f>
        <v/>
      </c>
      <c r="H404">
        <f>R404=ROUND(393*0.05,10)</f>
        <v/>
      </c>
      <c r="I404">
        <f>S404=ROUND(393*0.01,10)</f>
        <v/>
      </c>
      <c r="J404">
        <f>T404=ROUND(393*0.7,10)</f>
        <v/>
      </c>
      <c r="K404">
        <f>U404=ROUND(393*1.1,10)</f>
        <v/>
      </c>
      <c r="L404">
        <f>V404=ROUND(393*0.25,10)</f>
        <v/>
      </c>
      <c r="M404">
        <f>W404=ROUND(393*0.5,10)</f>
        <v/>
      </c>
      <c r="O404">
        <f>O403+0.1</f>
        <v/>
      </c>
      <c r="P404">
        <f>P403+0.2</f>
        <v/>
      </c>
      <c r="Q404">
        <f>Q403+0.3</f>
        <v/>
      </c>
      <c r="R404">
        <f>R403+0.05</f>
        <v/>
      </c>
      <c r="S404">
        <f>S403+0.01</f>
        <v/>
      </c>
      <c r="T404">
        <f>T403+0.7</f>
        <v/>
      </c>
      <c r="U404">
        <f>U403+1.1</f>
        <v/>
      </c>
      <c r="V404">
        <f>V403+0.25</f>
        <v/>
      </c>
      <c r="W404">
        <f>W403+0.5</f>
        <v/>
      </c>
    </row>
    <row r="405">
      <c r="E405">
        <f>O405=ROUND(394*0.1,10)</f>
        <v/>
      </c>
      <c r="F405">
        <f>P405=ROUND(394*0.2,10)</f>
        <v/>
      </c>
      <c r="G405">
        <f>Q405=ROUND(394*0.3,10)</f>
        <v/>
      </c>
      <c r="H405">
        <f>R405=ROUND(394*0.05,10)</f>
        <v/>
      </c>
      <c r="I405">
        <f>S405=ROUND(394*0.01,10)</f>
        <v/>
      </c>
      <c r="J405">
        <f>T405=ROUND(394*0.7,10)</f>
        <v/>
      </c>
      <c r="K405">
        <f>U405=ROUND(394*1.1,10)</f>
        <v/>
      </c>
      <c r="L405">
        <f>V405=ROUND(394*0.25,10)</f>
        <v/>
      </c>
      <c r="M405">
        <f>W405=ROUND(394*0.5,10)</f>
        <v/>
      </c>
      <c r="O405">
        <f>O404+0.1</f>
        <v/>
      </c>
      <c r="P405">
        <f>P404+0.2</f>
        <v/>
      </c>
      <c r="Q405">
        <f>Q404+0.3</f>
        <v/>
      </c>
      <c r="R405">
        <f>R404+0.05</f>
        <v/>
      </c>
      <c r="S405">
        <f>S404+0.01</f>
        <v/>
      </c>
      <c r="T405">
        <f>T404+0.7</f>
        <v/>
      </c>
      <c r="U405">
        <f>U404+1.1</f>
        <v/>
      </c>
      <c r="V405">
        <f>V404+0.25</f>
        <v/>
      </c>
      <c r="W405">
        <f>W404+0.5</f>
        <v/>
      </c>
    </row>
    <row r="406">
      <c r="E406">
        <f>O406=ROUND(395*0.1,10)</f>
        <v/>
      </c>
      <c r="F406">
        <f>P406=ROUND(395*0.2,10)</f>
        <v/>
      </c>
      <c r="G406">
        <f>Q406=ROUND(395*0.3,10)</f>
        <v/>
      </c>
      <c r="H406">
        <f>R406=ROUND(395*0.05,10)</f>
        <v/>
      </c>
      <c r="I406">
        <f>S406=ROUND(395*0.01,10)</f>
        <v/>
      </c>
      <c r="J406">
        <f>T406=ROUND(395*0.7,10)</f>
        <v/>
      </c>
      <c r="K406">
        <f>U406=ROUND(395*1.1,10)</f>
        <v/>
      </c>
      <c r="L406">
        <f>V406=ROUND(395*0.25,10)</f>
        <v/>
      </c>
      <c r="M406">
        <f>W406=ROUND(395*0.5,10)</f>
        <v/>
      </c>
      <c r="O406">
        <f>O405+0.1</f>
        <v/>
      </c>
      <c r="P406">
        <f>P405+0.2</f>
        <v/>
      </c>
      <c r="Q406">
        <f>Q405+0.3</f>
        <v/>
      </c>
      <c r="R406">
        <f>R405+0.05</f>
        <v/>
      </c>
      <c r="S406">
        <f>S405+0.01</f>
        <v/>
      </c>
      <c r="T406">
        <f>T405+0.7</f>
        <v/>
      </c>
      <c r="U406">
        <f>U405+1.1</f>
        <v/>
      </c>
      <c r="V406">
        <f>V405+0.25</f>
        <v/>
      </c>
      <c r="W406">
        <f>W405+0.5</f>
        <v/>
      </c>
    </row>
    <row r="407">
      <c r="E407">
        <f>O407=ROUND(396*0.1,10)</f>
        <v/>
      </c>
      <c r="F407">
        <f>P407=ROUND(396*0.2,10)</f>
        <v/>
      </c>
      <c r="G407">
        <f>Q407=ROUND(396*0.3,10)</f>
        <v/>
      </c>
      <c r="H407">
        <f>R407=ROUND(396*0.05,10)</f>
        <v/>
      </c>
      <c r="I407">
        <f>S407=ROUND(396*0.01,10)</f>
        <v/>
      </c>
      <c r="J407">
        <f>T407=ROUND(396*0.7,10)</f>
        <v/>
      </c>
      <c r="K407">
        <f>U407=ROUND(396*1.1,10)</f>
        <v/>
      </c>
      <c r="L407">
        <f>V407=ROUND(396*0.25,10)</f>
        <v/>
      </c>
      <c r="M407">
        <f>W407=ROUND(396*0.5,10)</f>
        <v/>
      </c>
      <c r="O407">
        <f>O406+0.1</f>
        <v/>
      </c>
      <c r="P407">
        <f>P406+0.2</f>
        <v/>
      </c>
      <c r="Q407">
        <f>Q406+0.3</f>
        <v/>
      </c>
      <c r="R407">
        <f>R406+0.05</f>
        <v/>
      </c>
      <c r="S407">
        <f>S406+0.01</f>
        <v/>
      </c>
      <c r="T407">
        <f>T406+0.7</f>
        <v/>
      </c>
      <c r="U407">
        <f>U406+1.1</f>
        <v/>
      </c>
      <c r="V407">
        <f>V406+0.25</f>
        <v/>
      </c>
      <c r="W407">
        <f>W406+0.5</f>
        <v/>
      </c>
    </row>
    <row r="408">
      <c r="E408">
        <f>O408=ROUND(397*0.1,10)</f>
        <v/>
      </c>
      <c r="F408">
        <f>P408=ROUND(397*0.2,10)</f>
        <v/>
      </c>
      <c r="G408">
        <f>Q408=ROUND(397*0.3,10)</f>
        <v/>
      </c>
      <c r="H408">
        <f>R408=ROUND(397*0.05,10)</f>
        <v/>
      </c>
      <c r="I408">
        <f>S408=ROUND(397*0.01,10)</f>
        <v/>
      </c>
      <c r="J408">
        <f>T408=ROUND(397*0.7,10)</f>
        <v/>
      </c>
      <c r="K408">
        <f>U408=ROUND(397*1.1,10)</f>
        <v/>
      </c>
      <c r="L408">
        <f>V408=ROUND(397*0.25,10)</f>
        <v/>
      </c>
      <c r="M408">
        <f>W408=ROUND(397*0.5,10)</f>
        <v/>
      </c>
      <c r="O408">
        <f>O407+0.1</f>
        <v/>
      </c>
      <c r="P408">
        <f>P407+0.2</f>
        <v/>
      </c>
      <c r="Q408">
        <f>Q407+0.3</f>
        <v/>
      </c>
      <c r="R408">
        <f>R407+0.05</f>
        <v/>
      </c>
      <c r="S408">
        <f>S407+0.01</f>
        <v/>
      </c>
      <c r="T408">
        <f>T407+0.7</f>
        <v/>
      </c>
      <c r="U408">
        <f>U407+1.1</f>
        <v/>
      </c>
      <c r="V408">
        <f>V407+0.25</f>
        <v/>
      </c>
      <c r="W408">
        <f>W407+0.5</f>
        <v/>
      </c>
    </row>
    <row r="409">
      <c r="E409">
        <f>O409=ROUND(398*0.1,10)</f>
        <v/>
      </c>
      <c r="F409">
        <f>P409=ROUND(398*0.2,10)</f>
        <v/>
      </c>
      <c r="G409">
        <f>Q409=ROUND(398*0.3,10)</f>
        <v/>
      </c>
      <c r="H409">
        <f>R409=ROUND(398*0.05,10)</f>
        <v/>
      </c>
      <c r="I409">
        <f>S409=ROUND(398*0.01,10)</f>
        <v/>
      </c>
      <c r="J409">
        <f>T409=ROUND(398*0.7,10)</f>
        <v/>
      </c>
      <c r="K409">
        <f>U409=ROUND(398*1.1,10)</f>
        <v/>
      </c>
      <c r="L409">
        <f>V409=ROUND(398*0.25,10)</f>
        <v/>
      </c>
      <c r="M409">
        <f>W409=ROUND(398*0.5,10)</f>
        <v/>
      </c>
      <c r="O409">
        <f>O408+0.1</f>
        <v/>
      </c>
      <c r="P409">
        <f>P408+0.2</f>
        <v/>
      </c>
      <c r="Q409">
        <f>Q408+0.3</f>
        <v/>
      </c>
      <c r="R409">
        <f>R408+0.05</f>
        <v/>
      </c>
      <c r="S409">
        <f>S408+0.01</f>
        <v/>
      </c>
      <c r="T409">
        <f>T408+0.7</f>
        <v/>
      </c>
      <c r="U409">
        <f>U408+1.1</f>
        <v/>
      </c>
      <c r="V409">
        <f>V408+0.25</f>
        <v/>
      </c>
      <c r="W409">
        <f>W408+0.5</f>
        <v/>
      </c>
    </row>
    <row r="410">
      <c r="E410">
        <f>O410=ROUND(399*0.1,10)</f>
        <v/>
      </c>
      <c r="F410">
        <f>P410=ROUND(399*0.2,10)</f>
        <v/>
      </c>
      <c r="G410">
        <f>Q410=ROUND(399*0.3,10)</f>
        <v/>
      </c>
      <c r="H410">
        <f>R410=ROUND(399*0.05,10)</f>
        <v/>
      </c>
      <c r="I410">
        <f>S410=ROUND(399*0.01,10)</f>
        <v/>
      </c>
      <c r="J410">
        <f>T410=ROUND(399*0.7,10)</f>
        <v/>
      </c>
      <c r="K410">
        <f>U410=ROUND(399*1.1,10)</f>
        <v/>
      </c>
      <c r="L410">
        <f>V410=ROUND(399*0.25,10)</f>
        <v/>
      </c>
      <c r="M410">
        <f>W410=ROUND(399*0.5,10)</f>
        <v/>
      </c>
      <c r="O410">
        <f>O409+0.1</f>
        <v/>
      </c>
      <c r="P410">
        <f>P409+0.2</f>
        <v/>
      </c>
      <c r="Q410">
        <f>Q409+0.3</f>
        <v/>
      </c>
      <c r="R410">
        <f>R409+0.05</f>
        <v/>
      </c>
      <c r="S410">
        <f>S409+0.01</f>
        <v/>
      </c>
      <c r="T410">
        <f>T409+0.7</f>
        <v/>
      </c>
      <c r="U410">
        <f>U409+1.1</f>
        <v/>
      </c>
      <c r="V410">
        <f>V409+0.25</f>
        <v/>
      </c>
      <c r="W410">
        <f>W409+0.5</f>
        <v/>
      </c>
    </row>
    <row r="411">
      <c r="E411">
        <f>O411=ROUND(400*0.1,10)</f>
        <v/>
      </c>
      <c r="F411">
        <f>P411=ROUND(400*0.2,10)</f>
        <v/>
      </c>
      <c r="G411">
        <f>Q411=ROUND(400*0.3,10)</f>
        <v/>
      </c>
      <c r="H411">
        <f>R411=ROUND(400*0.05,10)</f>
        <v/>
      </c>
      <c r="I411">
        <f>S411=ROUND(400*0.01,10)</f>
        <v/>
      </c>
      <c r="J411">
        <f>T411=ROUND(400*0.7,10)</f>
        <v/>
      </c>
      <c r="K411">
        <f>U411=ROUND(400*1.1,10)</f>
        <v/>
      </c>
      <c r="L411">
        <f>V411=ROUND(400*0.25,10)</f>
        <v/>
      </c>
      <c r="M411">
        <f>W411=ROUND(400*0.5,10)</f>
        <v/>
      </c>
      <c r="O411">
        <f>O410+0.1</f>
        <v/>
      </c>
      <c r="P411">
        <f>P410+0.2</f>
        <v/>
      </c>
      <c r="Q411">
        <f>Q410+0.3</f>
        <v/>
      </c>
      <c r="R411">
        <f>R410+0.05</f>
        <v/>
      </c>
      <c r="S411">
        <f>S410+0.01</f>
        <v/>
      </c>
      <c r="T411">
        <f>T410+0.7</f>
        <v/>
      </c>
      <c r="U411">
        <f>U410+1.1</f>
        <v/>
      </c>
      <c r="V411">
        <f>V410+0.25</f>
        <v/>
      </c>
      <c r="W411">
        <f>W410+0.5</f>
        <v/>
      </c>
    </row>
    <row r="412">
      <c r="E412">
        <f>O412=ROUND(401*0.1,10)</f>
        <v/>
      </c>
      <c r="F412">
        <f>P412=ROUND(401*0.2,10)</f>
        <v/>
      </c>
      <c r="G412">
        <f>Q412=ROUND(401*0.3,10)</f>
        <v/>
      </c>
      <c r="H412">
        <f>R412=ROUND(401*0.05,10)</f>
        <v/>
      </c>
      <c r="I412">
        <f>S412=ROUND(401*0.01,10)</f>
        <v/>
      </c>
      <c r="J412">
        <f>T412=ROUND(401*0.7,10)</f>
        <v/>
      </c>
      <c r="K412">
        <f>U412=ROUND(401*1.1,10)</f>
        <v/>
      </c>
      <c r="L412">
        <f>V412=ROUND(401*0.25,10)</f>
        <v/>
      </c>
      <c r="M412">
        <f>W412=ROUND(401*0.5,10)</f>
        <v/>
      </c>
      <c r="O412">
        <f>O411+0.1</f>
        <v/>
      </c>
      <c r="P412">
        <f>P411+0.2</f>
        <v/>
      </c>
      <c r="Q412">
        <f>Q411+0.3</f>
        <v/>
      </c>
      <c r="R412">
        <f>R411+0.05</f>
        <v/>
      </c>
      <c r="S412">
        <f>S411+0.01</f>
        <v/>
      </c>
      <c r="T412">
        <f>T411+0.7</f>
        <v/>
      </c>
      <c r="U412">
        <f>U411+1.1</f>
        <v/>
      </c>
      <c r="V412">
        <f>V411+0.25</f>
        <v/>
      </c>
      <c r="W412">
        <f>W411+0.5</f>
        <v/>
      </c>
    </row>
    <row r="413">
      <c r="E413">
        <f>O413=ROUND(402*0.1,10)</f>
        <v/>
      </c>
      <c r="F413">
        <f>P413=ROUND(402*0.2,10)</f>
        <v/>
      </c>
      <c r="G413">
        <f>Q413=ROUND(402*0.3,10)</f>
        <v/>
      </c>
      <c r="H413">
        <f>R413=ROUND(402*0.05,10)</f>
        <v/>
      </c>
      <c r="I413">
        <f>S413=ROUND(402*0.01,10)</f>
        <v/>
      </c>
      <c r="J413">
        <f>T413=ROUND(402*0.7,10)</f>
        <v/>
      </c>
      <c r="K413">
        <f>U413=ROUND(402*1.1,10)</f>
        <v/>
      </c>
      <c r="L413">
        <f>V413=ROUND(402*0.25,10)</f>
        <v/>
      </c>
      <c r="M413">
        <f>W413=ROUND(402*0.5,10)</f>
        <v/>
      </c>
      <c r="O413">
        <f>O412+0.1</f>
        <v/>
      </c>
      <c r="P413">
        <f>P412+0.2</f>
        <v/>
      </c>
      <c r="Q413">
        <f>Q412+0.3</f>
        <v/>
      </c>
      <c r="R413">
        <f>R412+0.05</f>
        <v/>
      </c>
      <c r="S413">
        <f>S412+0.01</f>
        <v/>
      </c>
      <c r="T413">
        <f>T412+0.7</f>
        <v/>
      </c>
      <c r="U413">
        <f>U412+1.1</f>
        <v/>
      </c>
      <c r="V413">
        <f>V412+0.25</f>
        <v/>
      </c>
      <c r="W413">
        <f>W412+0.5</f>
        <v/>
      </c>
    </row>
    <row r="414">
      <c r="E414">
        <f>O414=ROUND(403*0.1,10)</f>
        <v/>
      </c>
      <c r="F414">
        <f>P414=ROUND(403*0.2,10)</f>
        <v/>
      </c>
      <c r="G414">
        <f>Q414=ROUND(403*0.3,10)</f>
        <v/>
      </c>
      <c r="H414">
        <f>R414=ROUND(403*0.05,10)</f>
        <v/>
      </c>
      <c r="I414">
        <f>S414=ROUND(403*0.01,10)</f>
        <v/>
      </c>
      <c r="J414">
        <f>T414=ROUND(403*0.7,10)</f>
        <v/>
      </c>
      <c r="K414">
        <f>U414=ROUND(403*1.1,10)</f>
        <v/>
      </c>
      <c r="L414">
        <f>V414=ROUND(403*0.25,10)</f>
        <v/>
      </c>
      <c r="M414">
        <f>W414=ROUND(403*0.5,10)</f>
        <v/>
      </c>
      <c r="O414">
        <f>O413+0.1</f>
        <v/>
      </c>
      <c r="P414">
        <f>P413+0.2</f>
        <v/>
      </c>
      <c r="Q414">
        <f>Q413+0.3</f>
        <v/>
      </c>
      <c r="R414">
        <f>R413+0.05</f>
        <v/>
      </c>
      <c r="S414">
        <f>S413+0.01</f>
        <v/>
      </c>
      <c r="T414">
        <f>T413+0.7</f>
        <v/>
      </c>
      <c r="U414">
        <f>U413+1.1</f>
        <v/>
      </c>
      <c r="V414">
        <f>V413+0.25</f>
        <v/>
      </c>
      <c r="W414">
        <f>W413+0.5</f>
        <v/>
      </c>
    </row>
    <row r="415">
      <c r="E415">
        <f>O415=ROUND(404*0.1,10)</f>
        <v/>
      </c>
      <c r="F415">
        <f>P415=ROUND(404*0.2,10)</f>
        <v/>
      </c>
      <c r="G415">
        <f>Q415=ROUND(404*0.3,10)</f>
        <v/>
      </c>
      <c r="H415">
        <f>R415=ROUND(404*0.05,10)</f>
        <v/>
      </c>
      <c r="I415">
        <f>S415=ROUND(404*0.01,10)</f>
        <v/>
      </c>
      <c r="J415">
        <f>T415=ROUND(404*0.7,10)</f>
        <v/>
      </c>
      <c r="K415">
        <f>U415=ROUND(404*1.1,10)</f>
        <v/>
      </c>
      <c r="L415">
        <f>V415=ROUND(404*0.25,10)</f>
        <v/>
      </c>
      <c r="M415">
        <f>W415=ROUND(404*0.5,10)</f>
        <v/>
      </c>
      <c r="O415">
        <f>O414+0.1</f>
        <v/>
      </c>
      <c r="P415">
        <f>P414+0.2</f>
        <v/>
      </c>
      <c r="Q415">
        <f>Q414+0.3</f>
        <v/>
      </c>
      <c r="R415">
        <f>R414+0.05</f>
        <v/>
      </c>
      <c r="S415">
        <f>S414+0.01</f>
        <v/>
      </c>
      <c r="T415">
        <f>T414+0.7</f>
        <v/>
      </c>
      <c r="U415">
        <f>U414+1.1</f>
        <v/>
      </c>
      <c r="V415">
        <f>V414+0.25</f>
        <v/>
      </c>
      <c r="W415">
        <f>W414+0.5</f>
        <v/>
      </c>
    </row>
    <row r="416">
      <c r="E416">
        <f>O416=ROUND(405*0.1,10)</f>
        <v/>
      </c>
      <c r="F416">
        <f>P416=ROUND(405*0.2,10)</f>
        <v/>
      </c>
      <c r="G416">
        <f>Q416=ROUND(405*0.3,10)</f>
        <v/>
      </c>
      <c r="H416">
        <f>R416=ROUND(405*0.05,10)</f>
        <v/>
      </c>
      <c r="I416">
        <f>S416=ROUND(405*0.01,10)</f>
        <v/>
      </c>
      <c r="J416">
        <f>T416=ROUND(405*0.7,10)</f>
        <v/>
      </c>
      <c r="K416">
        <f>U416=ROUND(405*1.1,10)</f>
        <v/>
      </c>
      <c r="L416">
        <f>V416=ROUND(405*0.25,10)</f>
        <v/>
      </c>
      <c r="M416">
        <f>W416=ROUND(405*0.5,10)</f>
        <v/>
      </c>
      <c r="O416">
        <f>O415+0.1</f>
        <v/>
      </c>
      <c r="P416">
        <f>P415+0.2</f>
        <v/>
      </c>
      <c r="Q416">
        <f>Q415+0.3</f>
        <v/>
      </c>
      <c r="R416">
        <f>R415+0.05</f>
        <v/>
      </c>
      <c r="S416">
        <f>S415+0.01</f>
        <v/>
      </c>
      <c r="T416">
        <f>T415+0.7</f>
        <v/>
      </c>
      <c r="U416">
        <f>U415+1.1</f>
        <v/>
      </c>
      <c r="V416">
        <f>V415+0.25</f>
        <v/>
      </c>
      <c r="W416">
        <f>W415+0.5</f>
        <v/>
      </c>
    </row>
    <row r="417">
      <c r="E417">
        <f>O417=ROUND(406*0.1,10)</f>
        <v/>
      </c>
      <c r="F417">
        <f>P417=ROUND(406*0.2,10)</f>
        <v/>
      </c>
      <c r="G417">
        <f>Q417=ROUND(406*0.3,10)</f>
        <v/>
      </c>
      <c r="H417">
        <f>R417=ROUND(406*0.05,10)</f>
        <v/>
      </c>
      <c r="I417">
        <f>S417=ROUND(406*0.01,10)</f>
        <v/>
      </c>
      <c r="J417">
        <f>T417=ROUND(406*0.7,10)</f>
        <v/>
      </c>
      <c r="K417">
        <f>U417=ROUND(406*1.1,10)</f>
        <v/>
      </c>
      <c r="L417">
        <f>V417=ROUND(406*0.25,10)</f>
        <v/>
      </c>
      <c r="M417">
        <f>W417=ROUND(406*0.5,10)</f>
        <v/>
      </c>
      <c r="O417">
        <f>O416+0.1</f>
        <v/>
      </c>
      <c r="P417">
        <f>P416+0.2</f>
        <v/>
      </c>
      <c r="Q417">
        <f>Q416+0.3</f>
        <v/>
      </c>
      <c r="R417">
        <f>R416+0.05</f>
        <v/>
      </c>
      <c r="S417">
        <f>S416+0.01</f>
        <v/>
      </c>
      <c r="T417">
        <f>T416+0.7</f>
        <v/>
      </c>
      <c r="U417">
        <f>U416+1.1</f>
        <v/>
      </c>
      <c r="V417">
        <f>V416+0.25</f>
        <v/>
      </c>
      <c r="W417">
        <f>W416+0.5</f>
        <v/>
      </c>
    </row>
    <row r="418">
      <c r="E418">
        <f>O418=ROUND(407*0.1,10)</f>
        <v/>
      </c>
      <c r="F418">
        <f>P418=ROUND(407*0.2,10)</f>
        <v/>
      </c>
      <c r="G418">
        <f>Q418=ROUND(407*0.3,10)</f>
        <v/>
      </c>
      <c r="H418">
        <f>R418=ROUND(407*0.05,10)</f>
        <v/>
      </c>
      <c r="I418">
        <f>S418=ROUND(407*0.01,10)</f>
        <v/>
      </c>
      <c r="J418">
        <f>T418=ROUND(407*0.7,10)</f>
        <v/>
      </c>
      <c r="K418">
        <f>U418=ROUND(407*1.1,10)</f>
        <v/>
      </c>
      <c r="L418">
        <f>V418=ROUND(407*0.25,10)</f>
        <v/>
      </c>
      <c r="M418">
        <f>W418=ROUND(407*0.5,10)</f>
        <v/>
      </c>
      <c r="O418">
        <f>O417+0.1</f>
        <v/>
      </c>
      <c r="P418">
        <f>P417+0.2</f>
        <v/>
      </c>
      <c r="Q418">
        <f>Q417+0.3</f>
        <v/>
      </c>
      <c r="R418">
        <f>R417+0.05</f>
        <v/>
      </c>
      <c r="S418">
        <f>S417+0.01</f>
        <v/>
      </c>
      <c r="T418">
        <f>T417+0.7</f>
        <v/>
      </c>
      <c r="U418">
        <f>U417+1.1</f>
        <v/>
      </c>
      <c r="V418">
        <f>V417+0.25</f>
        <v/>
      </c>
      <c r="W418">
        <f>W417+0.5</f>
        <v/>
      </c>
    </row>
    <row r="419">
      <c r="E419">
        <f>O419=ROUND(408*0.1,10)</f>
        <v/>
      </c>
      <c r="F419">
        <f>P419=ROUND(408*0.2,10)</f>
        <v/>
      </c>
      <c r="G419">
        <f>Q419=ROUND(408*0.3,10)</f>
        <v/>
      </c>
      <c r="H419">
        <f>R419=ROUND(408*0.05,10)</f>
        <v/>
      </c>
      <c r="I419">
        <f>S419=ROUND(408*0.01,10)</f>
        <v/>
      </c>
      <c r="J419">
        <f>T419=ROUND(408*0.7,10)</f>
        <v/>
      </c>
      <c r="K419">
        <f>U419=ROUND(408*1.1,10)</f>
        <v/>
      </c>
      <c r="L419">
        <f>V419=ROUND(408*0.25,10)</f>
        <v/>
      </c>
      <c r="M419">
        <f>W419=ROUND(408*0.5,10)</f>
        <v/>
      </c>
      <c r="O419">
        <f>O418+0.1</f>
        <v/>
      </c>
      <c r="P419">
        <f>P418+0.2</f>
        <v/>
      </c>
      <c r="Q419">
        <f>Q418+0.3</f>
        <v/>
      </c>
      <c r="R419">
        <f>R418+0.05</f>
        <v/>
      </c>
      <c r="S419">
        <f>S418+0.01</f>
        <v/>
      </c>
      <c r="T419">
        <f>T418+0.7</f>
        <v/>
      </c>
      <c r="U419">
        <f>U418+1.1</f>
        <v/>
      </c>
      <c r="V419">
        <f>V418+0.25</f>
        <v/>
      </c>
      <c r="W419">
        <f>W418+0.5</f>
        <v/>
      </c>
    </row>
    <row r="420">
      <c r="E420">
        <f>O420=ROUND(409*0.1,10)</f>
        <v/>
      </c>
      <c r="F420">
        <f>P420=ROUND(409*0.2,10)</f>
        <v/>
      </c>
      <c r="G420">
        <f>Q420=ROUND(409*0.3,10)</f>
        <v/>
      </c>
      <c r="H420">
        <f>R420=ROUND(409*0.05,10)</f>
        <v/>
      </c>
      <c r="I420">
        <f>S420=ROUND(409*0.01,10)</f>
        <v/>
      </c>
      <c r="J420">
        <f>T420=ROUND(409*0.7,10)</f>
        <v/>
      </c>
      <c r="K420">
        <f>U420=ROUND(409*1.1,10)</f>
        <v/>
      </c>
      <c r="L420">
        <f>V420=ROUND(409*0.25,10)</f>
        <v/>
      </c>
      <c r="M420">
        <f>W420=ROUND(409*0.5,10)</f>
        <v/>
      </c>
      <c r="O420">
        <f>O419+0.1</f>
        <v/>
      </c>
      <c r="P420">
        <f>P419+0.2</f>
        <v/>
      </c>
      <c r="Q420">
        <f>Q419+0.3</f>
        <v/>
      </c>
      <c r="R420">
        <f>R419+0.05</f>
        <v/>
      </c>
      <c r="S420">
        <f>S419+0.01</f>
        <v/>
      </c>
      <c r="T420">
        <f>T419+0.7</f>
        <v/>
      </c>
      <c r="U420">
        <f>U419+1.1</f>
        <v/>
      </c>
      <c r="V420">
        <f>V419+0.25</f>
        <v/>
      </c>
      <c r="W420">
        <f>W419+0.5</f>
        <v/>
      </c>
    </row>
    <row r="421">
      <c r="E421">
        <f>O421=ROUND(410*0.1,10)</f>
        <v/>
      </c>
      <c r="F421">
        <f>P421=ROUND(410*0.2,10)</f>
        <v/>
      </c>
      <c r="G421">
        <f>Q421=ROUND(410*0.3,10)</f>
        <v/>
      </c>
      <c r="H421">
        <f>R421=ROUND(410*0.05,10)</f>
        <v/>
      </c>
      <c r="I421">
        <f>S421=ROUND(410*0.01,10)</f>
        <v/>
      </c>
      <c r="J421">
        <f>T421=ROUND(410*0.7,10)</f>
        <v/>
      </c>
      <c r="K421">
        <f>U421=ROUND(410*1.1,10)</f>
        <v/>
      </c>
      <c r="L421">
        <f>V421=ROUND(410*0.25,10)</f>
        <v/>
      </c>
      <c r="M421">
        <f>W421=ROUND(410*0.5,10)</f>
        <v/>
      </c>
      <c r="O421">
        <f>O420+0.1</f>
        <v/>
      </c>
      <c r="P421">
        <f>P420+0.2</f>
        <v/>
      </c>
      <c r="Q421">
        <f>Q420+0.3</f>
        <v/>
      </c>
      <c r="R421">
        <f>R420+0.05</f>
        <v/>
      </c>
      <c r="S421">
        <f>S420+0.01</f>
        <v/>
      </c>
      <c r="T421">
        <f>T420+0.7</f>
        <v/>
      </c>
      <c r="U421">
        <f>U420+1.1</f>
        <v/>
      </c>
      <c r="V421">
        <f>V420+0.25</f>
        <v/>
      </c>
      <c r="W421">
        <f>W420+0.5</f>
        <v/>
      </c>
    </row>
    <row r="422">
      <c r="E422">
        <f>O422=ROUND(411*0.1,10)</f>
        <v/>
      </c>
      <c r="F422">
        <f>P422=ROUND(411*0.2,10)</f>
        <v/>
      </c>
      <c r="G422">
        <f>Q422=ROUND(411*0.3,10)</f>
        <v/>
      </c>
      <c r="H422">
        <f>R422=ROUND(411*0.05,10)</f>
        <v/>
      </c>
      <c r="I422">
        <f>S422=ROUND(411*0.01,10)</f>
        <v/>
      </c>
      <c r="J422">
        <f>T422=ROUND(411*0.7,10)</f>
        <v/>
      </c>
      <c r="K422">
        <f>U422=ROUND(411*1.1,10)</f>
        <v/>
      </c>
      <c r="L422">
        <f>V422=ROUND(411*0.25,10)</f>
        <v/>
      </c>
      <c r="M422">
        <f>W422=ROUND(411*0.5,10)</f>
        <v/>
      </c>
      <c r="O422">
        <f>O421+0.1</f>
        <v/>
      </c>
      <c r="P422">
        <f>P421+0.2</f>
        <v/>
      </c>
      <c r="Q422">
        <f>Q421+0.3</f>
        <v/>
      </c>
      <c r="R422">
        <f>R421+0.05</f>
        <v/>
      </c>
      <c r="S422">
        <f>S421+0.01</f>
        <v/>
      </c>
      <c r="T422">
        <f>T421+0.7</f>
        <v/>
      </c>
      <c r="U422">
        <f>U421+1.1</f>
        <v/>
      </c>
      <c r="V422">
        <f>V421+0.25</f>
        <v/>
      </c>
      <c r="W422">
        <f>W421+0.5</f>
        <v/>
      </c>
    </row>
    <row r="423">
      <c r="E423">
        <f>O423=ROUND(412*0.1,10)</f>
        <v/>
      </c>
      <c r="F423">
        <f>P423=ROUND(412*0.2,10)</f>
        <v/>
      </c>
      <c r="G423">
        <f>Q423=ROUND(412*0.3,10)</f>
        <v/>
      </c>
      <c r="H423">
        <f>R423=ROUND(412*0.05,10)</f>
        <v/>
      </c>
      <c r="I423">
        <f>S423=ROUND(412*0.01,10)</f>
        <v/>
      </c>
      <c r="J423">
        <f>T423=ROUND(412*0.7,10)</f>
        <v/>
      </c>
      <c r="K423">
        <f>U423=ROUND(412*1.1,10)</f>
        <v/>
      </c>
      <c r="L423">
        <f>V423=ROUND(412*0.25,10)</f>
        <v/>
      </c>
      <c r="M423">
        <f>W423=ROUND(412*0.5,10)</f>
        <v/>
      </c>
      <c r="O423">
        <f>O422+0.1</f>
        <v/>
      </c>
      <c r="P423">
        <f>P422+0.2</f>
        <v/>
      </c>
      <c r="Q423">
        <f>Q422+0.3</f>
        <v/>
      </c>
      <c r="R423">
        <f>R422+0.05</f>
        <v/>
      </c>
      <c r="S423">
        <f>S422+0.01</f>
        <v/>
      </c>
      <c r="T423">
        <f>T422+0.7</f>
        <v/>
      </c>
      <c r="U423">
        <f>U422+1.1</f>
        <v/>
      </c>
      <c r="V423">
        <f>V422+0.25</f>
        <v/>
      </c>
      <c r="W423">
        <f>W422+0.5</f>
        <v/>
      </c>
    </row>
    <row r="424">
      <c r="E424">
        <f>O424=ROUND(413*0.1,10)</f>
        <v/>
      </c>
      <c r="F424">
        <f>P424=ROUND(413*0.2,10)</f>
        <v/>
      </c>
      <c r="G424">
        <f>Q424=ROUND(413*0.3,10)</f>
        <v/>
      </c>
      <c r="H424">
        <f>R424=ROUND(413*0.05,10)</f>
        <v/>
      </c>
      <c r="I424">
        <f>S424=ROUND(413*0.01,10)</f>
        <v/>
      </c>
      <c r="J424">
        <f>T424=ROUND(413*0.7,10)</f>
        <v/>
      </c>
      <c r="K424">
        <f>U424=ROUND(413*1.1,10)</f>
        <v/>
      </c>
      <c r="L424">
        <f>V424=ROUND(413*0.25,10)</f>
        <v/>
      </c>
      <c r="M424">
        <f>W424=ROUND(413*0.5,10)</f>
        <v/>
      </c>
      <c r="O424">
        <f>O423+0.1</f>
        <v/>
      </c>
      <c r="P424">
        <f>P423+0.2</f>
        <v/>
      </c>
      <c r="Q424">
        <f>Q423+0.3</f>
        <v/>
      </c>
      <c r="R424">
        <f>R423+0.05</f>
        <v/>
      </c>
      <c r="S424">
        <f>S423+0.01</f>
        <v/>
      </c>
      <c r="T424">
        <f>T423+0.7</f>
        <v/>
      </c>
      <c r="U424">
        <f>U423+1.1</f>
        <v/>
      </c>
      <c r="V424">
        <f>V423+0.25</f>
        <v/>
      </c>
      <c r="W424">
        <f>W423+0.5</f>
        <v/>
      </c>
    </row>
    <row r="425">
      <c r="E425">
        <f>O425=ROUND(414*0.1,10)</f>
        <v/>
      </c>
      <c r="F425">
        <f>P425=ROUND(414*0.2,10)</f>
        <v/>
      </c>
      <c r="G425">
        <f>Q425=ROUND(414*0.3,10)</f>
        <v/>
      </c>
      <c r="H425">
        <f>R425=ROUND(414*0.05,10)</f>
        <v/>
      </c>
      <c r="I425">
        <f>S425=ROUND(414*0.01,10)</f>
        <v/>
      </c>
      <c r="J425">
        <f>T425=ROUND(414*0.7,10)</f>
        <v/>
      </c>
      <c r="K425">
        <f>U425=ROUND(414*1.1,10)</f>
        <v/>
      </c>
      <c r="L425">
        <f>V425=ROUND(414*0.25,10)</f>
        <v/>
      </c>
      <c r="M425">
        <f>W425=ROUND(414*0.5,10)</f>
        <v/>
      </c>
      <c r="O425">
        <f>O424+0.1</f>
        <v/>
      </c>
      <c r="P425">
        <f>P424+0.2</f>
        <v/>
      </c>
      <c r="Q425">
        <f>Q424+0.3</f>
        <v/>
      </c>
      <c r="R425">
        <f>R424+0.05</f>
        <v/>
      </c>
      <c r="S425">
        <f>S424+0.01</f>
        <v/>
      </c>
      <c r="T425">
        <f>T424+0.7</f>
        <v/>
      </c>
      <c r="U425">
        <f>U424+1.1</f>
        <v/>
      </c>
      <c r="V425">
        <f>V424+0.25</f>
        <v/>
      </c>
      <c r="W425">
        <f>W424+0.5</f>
        <v/>
      </c>
    </row>
    <row r="426">
      <c r="E426">
        <f>O426=ROUND(415*0.1,10)</f>
        <v/>
      </c>
      <c r="F426">
        <f>P426=ROUND(415*0.2,10)</f>
        <v/>
      </c>
      <c r="G426">
        <f>Q426=ROUND(415*0.3,10)</f>
        <v/>
      </c>
      <c r="H426">
        <f>R426=ROUND(415*0.05,10)</f>
        <v/>
      </c>
      <c r="I426">
        <f>S426=ROUND(415*0.01,10)</f>
        <v/>
      </c>
      <c r="J426">
        <f>T426=ROUND(415*0.7,10)</f>
        <v/>
      </c>
      <c r="K426">
        <f>U426=ROUND(415*1.1,10)</f>
        <v/>
      </c>
      <c r="L426">
        <f>V426=ROUND(415*0.25,10)</f>
        <v/>
      </c>
      <c r="M426">
        <f>W426=ROUND(415*0.5,10)</f>
        <v/>
      </c>
      <c r="O426">
        <f>O425+0.1</f>
        <v/>
      </c>
      <c r="P426">
        <f>P425+0.2</f>
        <v/>
      </c>
      <c r="Q426">
        <f>Q425+0.3</f>
        <v/>
      </c>
      <c r="R426">
        <f>R425+0.05</f>
        <v/>
      </c>
      <c r="S426">
        <f>S425+0.01</f>
        <v/>
      </c>
      <c r="T426">
        <f>T425+0.7</f>
        <v/>
      </c>
      <c r="U426">
        <f>U425+1.1</f>
        <v/>
      </c>
      <c r="V426">
        <f>V425+0.25</f>
        <v/>
      </c>
      <c r="W426">
        <f>W425+0.5</f>
        <v/>
      </c>
    </row>
    <row r="427">
      <c r="E427">
        <f>O427=ROUND(416*0.1,10)</f>
        <v/>
      </c>
      <c r="F427">
        <f>P427=ROUND(416*0.2,10)</f>
        <v/>
      </c>
      <c r="G427">
        <f>Q427=ROUND(416*0.3,10)</f>
        <v/>
      </c>
      <c r="H427">
        <f>R427=ROUND(416*0.05,10)</f>
        <v/>
      </c>
      <c r="I427">
        <f>S427=ROUND(416*0.01,10)</f>
        <v/>
      </c>
      <c r="J427">
        <f>T427=ROUND(416*0.7,10)</f>
        <v/>
      </c>
      <c r="K427">
        <f>U427=ROUND(416*1.1,10)</f>
        <v/>
      </c>
      <c r="L427">
        <f>V427=ROUND(416*0.25,10)</f>
        <v/>
      </c>
      <c r="M427">
        <f>W427=ROUND(416*0.5,10)</f>
        <v/>
      </c>
      <c r="O427">
        <f>O426+0.1</f>
        <v/>
      </c>
      <c r="P427">
        <f>P426+0.2</f>
        <v/>
      </c>
      <c r="Q427">
        <f>Q426+0.3</f>
        <v/>
      </c>
      <c r="R427">
        <f>R426+0.05</f>
        <v/>
      </c>
      <c r="S427">
        <f>S426+0.01</f>
        <v/>
      </c>
      <c r="T427">
        <f>T426+0.7</f>
        <v/>
      </c>
      <c r="U427">
        <f>U426+1.1</f>
        <v/>
      </c>
      <c r="V427">
        <f>V426+0.25</f>
        <v/>
      </c>
      <c r="W427">
        <f>W426+0.5</f>
        <v/>
      </c>
    </row>
    <row r="428">
      <c r="E428">
        <f>O428=ROUND(417*0.1,10)</f>
        <v/>
      </c>
      <c r="F428">
        <f>P428=ROUND(417*0.2,10)</f>
        <v/>
      </c>
      <c r="G428">
        <f>Q428=ROUND(417*0.3,10)</f>
        <v/>
      </c>
      <c r="H428">
        <f>R428=ROUND(417*0.05,10)</f>
        <v/>
      </c>
      <c r="I428">
        <f>S428=ROUND(417*0.01,10)</f>
        <v/>
      </c>
      <c r="J428">
        <f>T428=ROUND(417*0.7,10)</f>
        <v/>
      </c>
      <c r="K428">
        <f>U428=ROUND(417*1.1,10)</f>
        <v/>
      </c>
      <c r="L428">
        <f>V428=ROUND(417*0.25,10)</f>
        <v/>
      </c>
      <c r="M428">
        <f>W428=ROUND(417*0.5,10)</f>
        <v/>
      </c>
      <c r="O428">
        <f>O427+0.1</f>
        <v/>
      </c>
      <c r="P428">
        <f>P427+0.2</f>
        <v/>
      </c>
      <c r="Q428">
        <f>Q427+0.3</f>
        <v/>
      </c>
      <c r="R428">
        <f>R427+0.05</f>
        <v/>
      </c>
      <c r="S428">
        <f>S427+0.01</f>
        <v/>
      </c>
      <c r="T428">
        <f>T427+0.7</f>
        <v/>
      </c>
      <c r="U428">
        <f>U427+1.1</f>
        <v/>
      </c>
      <c r="V428">
        <f>V427+0.25</f>
        <v/>
      </c>
      <c r="W428">
        <f>W427+0.5</f>
        <v/>
      </c>
    </row>
    <row r="429">
      <c r="E429">
        <f>O429=ROUND(418*0.1,10)</f>
        <v/>
      </c>
      <c r="F429">
        <f>P429=ROUND(418*0.2,10)</f>
        <v/>
      </c>
      <c r="G429">
        <f>Q429=ROUND(418*0.3,10)</f>
        <v/>
      </c>
      <c r="H429">
        <f>R429=ROUND(418*0.05,10)</f>
        <v/>
      </c>
      <c r="I429">
        <f>S429=ROUND(418*0.01,10)</f>
        <v/>
      </c>
      <c r="J429">
        <f>T429=ROUND(418*0.7,10)</f>
        <v/>
      </c>
      <c r="K429">
        <f>U429=ROUND(418*1.1,10)</f>
        <v/>
      </c>
      <c r="L429">
        <f>V429=ROUND(418*0.25,10)</f>
        <v/>
      </c>
      <c r="M429">
        <f>W429=ROUND(418*0.5,10)</f>
        <v/>
      </c>
      <c r="O429">
        <f>O428+0.1</f>
        <v/>
      </c>
      <c r="P429">
        <f>P428+0.2</f>
        <v/>
      </c>
      <c r="Q429">
        <f>Q428+0.3</f>
        <v/>
      </c>
      <c r="R429">
        <f>R428+0.05</f>
        <v/>
      </c>
      <c r="S429">
        <f>S428+0.01</f>
        <v/>
      </c>
      <c r="T429">
        <f>T428+0.7</f>
        <v/>
      </c>
      <c r="U429">
        <f>U428+1.1</f>
        <v/>
      </c>
      <c r="V429">
        <f>V428+0.25</f>
        <v/>
      </c>
      <c r="W429">
        <f>W428+0.5</f>
        <v/>
      </c>
    </row>
    <row r="430">
      <c r="E430">
        <f>O430=ROUND(419*0.1,10)</f>
        <v/>
      </c>
      <c r="F430">
        <f>P430=ROUND(419*0.2,10)</f>
        <v/>
      </c>
      <c r="G430">
        <f>Q430=ROUND(419*0.3,10)</f>
        <v/>
      </c>
      <c r="H430">
        <f>R430=ROUND(419*0.05,10)</f>
        <v/>
      </c>
      <c r="I430">
        <f>S430=ROUND(419*0.01,10)</f>
        <v/>
      </c>
      <c r="J430">
        <f>T430=ROUND(419*0.7,10)</f>
        <v/>
      </c>
      <c r="K430">
        <f>U430=ROUND(419*1.1,10)</f>
        <v/>
      </c>
      <c r="L430">
        <f>V430=ROUND(419*0.25,10)</f>
        <v/>
      </c>
      <c r="M430">
        <f>W430=ROUND(419*0.5,10)</f>
        <v/>
      </c>
      <c r="O430">
        <f>O429+0.1</f>
        <v/>
      </c>
      <c r="P430">
        <f>P429+0.2</f>
        <v/>
      </c>
      <c r="Q430">
        <f>Q429+0.3</f>
        <v/>
      </c>
      <c r="R430">
        <f>R429+0.05</f>
        <v/>
      </c>
      <c r="S430">
        <f>S429+0.01</f>
        <v/>
      </c>
      <c r="T430">
        <f>T429+0.7</f>
        <v/>
      </c>
      <c r="U430">
        <f>U429+1.1</f>
        <v/>
      </c>
      <c r="V430">
        <f>V429+0.25</f>
        <v/>
      </c>
      <c r="W430">
        <f>W429+0.5</f>
        <v/>
      </c>
    </row>
    <row r="431">
      <c r="E431">
        <f>O431=ROUND(420*0.1,10)</f>
        <v/>
      </c>
      <c r="F431">
        <f>P431=ROUND(420*0.2,10)</f>
        <v/>
      </c>
      <c r="G431">
        <f>Q431=ROUND(420*0.3,10)</f>
        <v/>
      </c>
      <c r="H431">
        <f>R431=ROUND(420*0.05,10)</f>
        <v/>
      </c>
      <c r="I431">
        <f>S431=ROUND(420*0.01,10)</f>
        <v/>
      </c>
      <c r="J431">
        <f>T431=ROUND(420*0.7,10)</f>
        <v/>
      </c>
      <c r="K431">
        <f>U431=ROUND(420*1.1,10)</f>
        <v/>
      </c>
      <c r="L431">
        <f>V431=ROUND(420*0.25,10)</f>
        <v/>
      </c>
      <c r="M431">
        <f>W431=ROUND(420*0.5,10)</f>
        <v/>
      </c>
      <c r="O431">
        <f>O430+0.1</f>
        <v/>
      </c>
      <c r="P431">
        <f>P430+0.2</f>
        <v/>
      </c>
      <c r="Q431">
        <f>Q430+0.3</f>
        <v/>
      </c>
      <c r="R431">
        <f>R430+0.05</f>
        <v/>
      </c>
      <c r="S431">
        <f>S430+0.01</f>
        <v/>
      </c>
      <c r="T431">
        <f>T430+0.7</f>
        <v/>
      </c>
      <c r="U431">
        <f>U430+1.1</f>
        <v/>
      </c>
      <c r="V431">
        <f>V430+0.25</f>
        <v/>
      </c>
      <c r="W431">
        <f>W430+0.5</f>
        <v/>
      </c>
    </row>
    <row r="432">
      <c r="E432">
        <f>O432=ROUND(421*0.1,10)</f>
        <v/>
      </c>
      <c r="F432">
        <f>P432=ROUND(421*0.2,10)</f>
        <v/>
      </c>
      <c r="G432">
        <f>Q432=ROUND(421*0.3,10)</f>
        <v/>
      </c>
      <c r="H432">
        <f>R432=ROUND(421*0.05,10)</f>
        <v/>
      </c>
      <c r="I432">
        <f>S432=ROUND(421*0.01,10)</f>
        <v/>
      </c>
      <c r="J432">
        <f>T432=ROUND(421*0.7,10)</f>
        <v/>
      </c>
      <c r="K432">
        <f>U432=ROUND(421*1.1,10)</f>
        <v/>
      </c>
      <c r="L432">
        <f>V432=ROUND(421*0.25,10)</f>
        <v/>
      </c>
      <c r="M432">
        <f>W432=ROUND(421*0.5,10)</f>
        <v/>
      </c>
      <c r="O432">
        <f>O431+0.1</f>
        <v/>
      </c>
      <c r="P432">
        <f>P431+0.2</f>
        <v/>
      </c>
      <c r="Q432">
        <f>Q431+0.3</f>
        <v/>
      </c>
      <c r="R432">
        <f>R431+0.05</f>
        <v/>
      </c>
      <c r="S432">
        <f>S431+0.01</f>
        <v/>
      </c>
      <c r="T432">
        <f>T431+0.7</f>
        <v/>
      </c>
      <c r="U432">
        <f>U431+1.1</f>
        <v/>
      </c>
      <c r="V432">
        <f>V431+0.25</f>
        <v/>
      </c>
      <c r="W432">
        <f>W431+0.5</f>
        <v/>
      </c>
    </row>
    <row r="433">
      <c r="E433">
        <f>O433=ROUND(422*0.1,10)</f>
        <v/>
      </c>
      <c r="F433">
        <f>P433=ROUND(422*0.2,10)</f>
        <v/>
      </c>
      <c r="G433">
        <f>Q433=ROUND(422*0.3,10)</f>
        <v/>
      </c>
      <c r="H433">
        <f>R433=ROUND(422*0.05,10)</f>
        <v/>
      </c>
      <c r="I433">
        <f>S433=ROUND(422*0.01,10)</f>
        <v/>
      </c>
      <c r="J433">
        <f>T433=ROUND(422*0.7,10)</f>
        <v/>
      </c>
      <c r="K433">
        <f>U433=ROUND(422*1.1,10)</f>
        <v/>
      </c>
      <c r="L433">
        <f>V433=ROUND(422*0.25,10)</f>
        <v/>
      </c>
      <c r="M433">
        <f>W433=ROUND(422*0.5,10)</f>
        <v/>
      </c>
      <c r="O433">
        <f>O432+0.1</f>
        <v/>
      </c>
      <c r="P433">
        <f>P432+0.2</f>
        <v/>
      </c>
      <c r="Q433">
        <f>Q432+0.3</f>
        <v/>
      </c>
      <c r="R433">
        <f>R432+0.05</f>
        <v/>
      </c>
      <c r="S433">
        <f>S432+0.01</f>
        <v/>
      </c>
      <c r="T433">
        <f>T432+0.7</f>
        <v/>
      </c>
      <c r="U433">
        <f>U432+1.1</f>
        <v/>
      </c>
      <c r="V433">
        <f>V432+0.25</f>
        <v/>
      </c>
      <c r="W433">
        <f>W432+0.5</f>
        <v/>
      </c>
    </row>
    <row r="434">
      <c r="E434">
        <f>O434=ROUND(423*0.1,10)</f>
        <v/>
      </c>
      <c r="F434">
        <f>P434=ROUND(423*0.2,10)</f>
        <v/>
      </c>
      <c r="G434">
        <f>Q434=ROUND(423*0.3,10)</f>
        <v/>
      </c>
      <c r="H434">
        <f>R434=ROUND(423*0.05,10)</f>
        <v/>
      </c>
      <c r="I434">
        <f>S434=ROUND(423*0.01,10)</f>
        <v/>
      </c>
      <c r="J434">
        <f>T434=ROUND(423*0.7,10)</f>
        <v/>
      </c>
      <c r="K434">
        <f>U434=ROUND(423*1.1,10)</f>
        <v/>
      </c>
      <c r="L434">
        <f>V434=ROUND(423*0.25,10)</f>
        <v/>
      </c>
      <c r="M434">
        <f>W434=ROUND(423*0.5,10)</f>
        <v/>
      </c>
      <c r="O434">
        <f>O433+0.1</f>
        <v/>
      </c>
      <c r="P434">
        <f>P433+0.2</f>
        <v/>
      </c>
      <c r="Q434">
        <f>Q433+0.3</f>
        <v/>
      </c>
      <c r="R434">
        <f>R433+0.05</f>
        <v/>
      </c>
      <c r="S434">
        <f>S433+0.01</f>
        <v/>
      </c>
      <c r="T434">
        <f>T433+0.7</f>
        <v/>
      </c>
      <c r="U434">
        <f>U433+1.1</f>
        <v/>
      </c>
      <c r="V434">
        <f>V433+0.25</f>
        <v/>
      </c>
      <c r="W434">
        <f>W433+0.5</f>
        <v/>
      </c>
    </row>
    <row r="435">
      <c r="E435">
        <f>O435=ROUND(424*0.1,10)</f>
        <v/>
      </c>
      <c r="F435">
        <f>P435=ROUND(424*0.2,10)</f>
        <v/>
      </c>
      <c r="G435">
        <f>Q435=ROUND(424*0.3,10)</f>
        <v/>
      </c>
      <c r="H435">
        <f>R435=ROUND(424*0.05,10)</f>
        <v/>
      </c>
      <c r="I435">
        <f>S435=ROUND(424*0.01,10)</f>
        <v/>
      </c>
      <c r="J435">
        <f>T435=ROUND(424*0.7,10)</f>
        <v/>
      </c>
      <c r="K435">
        <f>U435=ROUND(424*1.1,10)</f>
        <v/>
      </c>
      <c r="L435">
        <f>V435=ROUND(424*0.25,10)</f>
        <v/>
      </c>
      <c r="M435">
        <f>W435=ROUND(424*0.5,10)</f>
        <v/>
      </c>
      <c r="O435">
        <f>O434+0.1</f>
        <v/>
      </c>
      <c r="P435">
        <f>P434+0.2</f>
        <v/>
      </c>
      <c r="Q435">
        <f>Q434+0.3</f>
        <v/>
      </c>
      <c r="R435">
        <f>R434+0.05</f>
        <v/>
      </c>
      <c r="S435">
        <f>S434+0.01</f>
        <v/>
      </c>
      <c r="T435">
        <f>T434+0.7</f>
        <v/>
      </c>
      <c r="U435">
        <f>U434+1.1</f>
        <v/>
      </c>
      <c r="V435">
        <f>V434+0.25</f>
        <v/>
      </c>
      <c r="W435">
        <f>W434+0.5</f>
        <v/>
      </c>
    </row>
    <row r="436">
      <c r="E436">
        <f>O436=ROUND(425*0.1,10)</f>
        <v/>
      </c>
      <c r="F436">
        <f>P436=ROUND(425*0.2,10)</f>
        <v/>
      </c>
      <c r="G436">
        <f>Q436=ROUND(425*0.3,10)</f>
        <v/>
      </c>
      <c r="H436">
        <f>R436=ROUND(425*0.05,10)</f>
        <v/>
      </c>
      <c r="I436">
        <f>S436=ROUND(425*0.01,10)</f>
        <v/>
      </c>
      <c r="J436">
        <f>T436=ROUND(425*0.7,10)</f>
        <v/>
      </c>
      <c r="K436">
        <f>U436=ROUND(425*1.1,10)</f>
        <v/>
      </c>
      <c r="L436">
        <f>V436=ROUND(425*0.25,10)</f>
        <v/>
      </c>
      <c r="M436">
        <f>W436=ROUND(425*0.5,10)</f>
        <v/>
      </c>
      <c r="O436">
        <f>O435+0.1</f>
        <v/>
      </c>
      <c r="P436">
        <f>P435+0.2</f>
        <v/>
      </c>
      <c r="Q436">
        <f>Q435+0.3</f>
        <v/>
      </c>
      <c r="R436">
        <f>R435+0.05</f>
        <v/>
      </c>
      <c r="S436">
        <f>S435+0.01</f>
        <v/>
      </c>
      <c r="T436">
        <f>T435+0.7</f>
        <v/>
      </c>
      <c r="U436">
        <f>U435+1.1</f>
        <v/>
      </c>
      <c r="V436">
        <f>V435+0.25</f>
        <v/>
      </c>
      <c r="W436">
        <f>W435+0.5</f>
        <v/>
      </c>
    </row>
    <row r="437">
      <c r="E437">
        <f>O437=ROUND(426*0.1,10)</f>
        <v/>
      </c>
      <c r="F437">
        <f>P437=ROUND(426*0.2,10)</f>
        <v/>
      </c>
      <c r="G437">
        <f>Q437=ROUND(426*0.3,10)</f>
        <v/>
      </c>
      <c r="H437">
        <f>R437=ROUND(426*0.05,10)</f>
        <v/>
      </c>
      <c r="I437">
        <f>S437=ROUND(426*0.01,10)</f>
        <v/>
      </c>
      <c r="J437">
        <f>T437=ROUND(426*0.7,10)</f>
        <v/>
      </c>
      <c r="K437">
        <f>U437=ROUND(426*1.1,10)</f>
        <v/>
      </c>
      <c r="L437">
        <f>V437=ROUND(426*0.25,10)</f>
        <v/>
      </c>
      <c r="M437">
        <f>W437=ROUND(426*0.5,10)</f>
        <v/>
      </c>
      <c r="O437">
        <f>O436+0.1</f>
        <v/>
      </c>
      <c r="P437">
        <f>P436+0.2</f>
        <v/>
      </c>
      <c r="Q437">
        <f>Q436+0.3</f>
        <v/>
      </c>
      <c r="R437">
        <f>R436+0.05</f>
        <v/>
      </c>
      <c r="S437">
        <f>S436+0.01</f>
        <v/>
      </c>
      <c r="T437">
        <f>T436+0.7</f>
        <v/>
      </c>
      <c r="U437">
        <f>U436+1.1</f>
        <v/>
      </c>
      <c r="V437">
        <f>V436+0.25</f>
        <v/>
      </c>
      <c r="W437">
        <f>W436+0.5</f>
        <v/>
      </c>
    </row>
    <row r="438">
      <c r="E438">
        <f>O438=ROUND(427*0.1,10)</f>
        <v/>
      </c>
      <c r="F438">
        <f>P438=ROUND(427*0.2,10)</f>
        <v/>
      </c>
      <c r="G438">
        <f>Q438=ROUND(427*0.3,10)</f>
        <v/>
      </c>
      <c r="H438">
        <f>R438=ROUND(427*0.05,10)</f>
        <v/>
      </c>
      <c r="I438">
        <f>S438=ROUND(427*0.01,10)</f>
        <v/>
      </c>
      <c r="J438">
        <f>T438=ROUND(427*0.7,10)</f>
        <v/>
      </c>
      <c r="K438">
        <f>U438=ROUND(427*1.1,10)</f>
        <v/>
      </c>
      <c r="L438">
        <f>V438=ROUND(427*0.25,10)</f>
        <v/>
      </c>
      <c r="M438">
        <f>W438=ROUND(427*0.5,10)</f>
        <v/>
      </c>
      <c r="O438">
        <f>O437+0.1</f>
        <v/>
      </c>
      <c r="P438">
        <f>P437+0.2</f>
        <v/>
      </c>
      <c r="Q438">
        <f>Q437+0.3</f>
        <v/>
      </c>
      <c r="R438">
        <f>R437+0.05</f>
        <v/>
      </c>
      <c r="S438">
        <f>S437+0.01</f>
        <v/>
      </c>
      <c r="T438">
        <f>T437+0.7</f>
        <v/>
      </c>
      <c r="U438">
        <f>U437+1.1</f>
        <v/>
      </c>
      <c r="V438">
        <f>V437+0.25</f>
        <v/>
      </c>
      <c r="W438">
        <f>W437+0.5</f>
        <v/>
      </c>
    </row>
    <row r="439">
      <c r="E439">
        <f>O439=ROUND(428*0.1,10)</f>
        <v/>
      </c>
      <c r="F439">
        <f>P439=ROUND(428*0.2,10)</f>
        <v/>
      </c>
      <c r="G439">
        <f>Q439=ROUND(428*0.3,10)</f>
        <v/>
      </c>
      <c r="H439">
        <f>R439=ROUND(428*0.05,10)</f>
        <v/>
      </c>
      <c r="I439">
        <f>S439=ROUND(428*0.01,10)</f>
        <v/>
      </c>
      <c r="J439">
        <f>T439=ROUND(428*0.7,10)</f>
        <v/>
      </c>
      <c r="K439">
        <f>U439=ROUND(428*1.1,10)</f>
        <v/>
      </c>
      <c r="L439">
        <f>V439=ROUND(428*0.25,10)</f>
        <v/>
      </c>
      <c r="M439">
        <f>W439=ROUND(428*0.5,10)</f>
        <v/>
      </c>
      <c r="O439">
        <f>O438+0.1</f>
        <v/>
      </c>
      <c r="P439">
        <f>P438+0.2</f>
        <v/>
      </c>
      <c r="Q439">
        <f>Q438+0.3</f>
        <v/>
      </c>
      <c r="R439">
        <f>R438+0.05</f>
        <v/>
      </c>
      <c r="S439">
        <f>S438+0.01</f>
        <v/>
      </c>
      <c r="T439">
        <f>T438+0.7</f>
        <v/>
      </c>
      <c r="U439">
        <f>U438+1.1</f>
        <v/>
      </c>
      <c r="V439">
        <f>V438+0.25</f>
        <v/>
      </c>
      <c r="W439">
        <f>W438+0.5</f>
        <v/>
      </c>
    </row>
    <row r="440">
      <c r="E440">
        <f>O440=ROUND(429*0.1,10)</f>
        <v/>
      </c>
      <c r="F440">
        <f>P440=ROUND(429*0.2,10)</f>
        <v/>
      </c>
      <c r="G440">
        <f>Q440=ROUND(429*0.3,10)</f>
        <v/>
      </c>
      <c r="H440">
        <f>R440=ROUND(429*0.05,10)</f>
        <v/>
      </c>
      <c r="I440">
        <f>S440=ROUND(429*0.01,10)</f>
        <v/>
      </c>
      <c r="J440">
        <f>T440=ROUND(429*0.7,10)</f>
        <v/>
      </c>
      <c r="K440">
        <f>U440=ROUND(429*1.1,10)</f>
        <v/>
      </c>
      <c r="L440">
        <f>V440=ROUND(429*0.25,10)</f>
        <v/>
      </c>
      <c r="M440">
        <f>W440=ROUND(429*0.5,10)</f>
        <v/>
      </c>
      <c r="O440">
        <f>O439+0.1</f>
        <v/>
      </c>
      <c r="P440">
        <f>P439+0.2</f>
        <v/>
      </c>
      <c r="Q440">
        <f>Q439+0.3</f>
        <v/>
      </c>
      <c r="R440">
        <f>R439+0.05</f>
        <v/>
      </c>
      <c r="S440">
        <f>S439+0.01</f>
        <v/>
      </c>
      <c r="T440">
        <f>T439+0.7</f>
        <v/>
      </c>
      <c r="U440">
        <f>U439+1.1</f>
        <v/>
      </c>
      <c r="V440">
        <f>V439+0.25</f>
        <v/>
      </c>
      <c r="W440">
        <f>W439+0.5</f>
        <v/>
      </c>
    </row>
    <row r="441">
      <c r="E441">
        <f>O441=ROUND(430*0.1,10)</f>
        <v/>
      </c>
      <c r="F441">
        <f>P441=ROUND(430*0.2,10)</f>
        <v/>
      </c>
      <c r="G441">
        <f>Q441=ROUND(430*0.3,10)</f>
        <v/>
      </c>
      <c r="H441">
        <f>R441=ROUND(430*0.05,10)</f>
        <v/>
      </c>
      <c r="I441">
        <f>S441=ROUND(430*0.01,10)</f>
        <v/>
      </c>
      <c r="J441">
        <f>T441=ROUND(430*0.7,10)</f>
        <v/>
      </c>
      <c r="K441">
        <f>U441=ROUND(430*1.1,10)</f>
        <v/>
      </c>
      <c r="L441">
        <f>V441=ROUND(430*0.25,10)</f>
        <v/>
      </c>
      <c r="M441">
        <f>W441=ROUND(430*0.5,10)</f>
        <v/>
      </c>
      <c r="O441">
        <f>O440+0.1</f>
        <v/>
      </c>
      <c r="P441">
        <f>P440+0.2</f>
        <v/>
      </c>
      <c r="Q441">
        <f>Q440+0.3</f>
        <v/>
      </c>
      <c r="R441">
        <f>R440+0.05</f>
        <v/>
      </c>
      <c r="S441">
        <f>S440+0.01</f>
        <v/>
      </c>
      <c r="T441">
        <f>T440+0.7</f>
        <v/>
      </c>
      <c r="U441">
        <f>U440+1.1</f>
        <v/>
      </c>
      <c r="V441">
        <f>V440+0.25</f>
        <v/>
      </c>
      <c r="W441">
        <f>W440+0.5</f>
        <v/>
      </c>
    </row>
    <row r="442">
      <c r="E442">
        <f>O442=ROUND(431*0.1,10)</f>
        <v/>
      </c>
      <c r="F442">
        <f>P442=ROUND(431*0.2,10)</f>
        <v/>
      </c>
      <c r="G442">
        <f>Q442=ROUND(431*0.3,10)</f>
        <v/>
      </c>
      <c r="H442">
        <f>R442=ROUND(431*0.05,10)</f>
        <v/>
      </c>
      <c r="I442">
        <f>S442=ROUND(431*0.01,10)</f>
        <v/>
      </c>
      <c r="J442">
        <f>T442=ROUND(431*0.7,10)</f>
        <v/>
      </c>
      <c r="K442">
        <f>U442=ROUND(431*1.1,10)</f>
        <v/>
      </c>
      <c r="L442">
        <f>V442=ROUND(431*0.25,10)</f>
        <v/>
      </c>
      <c r="M442">
        <f>W442=ROUND(431*0.5,10)</f>
        <v/>
      </c>
      <c r="O442">
        <f>O441+0.1</f>
        <v/>
      </c>
      <c r="P442">
        <f>P441+0.2</f>
        <v/>
      </c>
      <c r="Q442">
        <f>Q441+0.3</f>
        <v/>
      </c>
      <c r="R442">
        <f>R441+0.05</f>
        <v/>
      </c>
      <c r="S442">
        <f>S441+0.01</f>
        <v/>
      </c>
      <c r="T442">
        <f>T441+0.7</f>
        <v/>
      </c>
      <c r="U442">
        <f>U441+1.1</f>
        <v/>
      </c>
      <c r="V442">
        <f>V441+0.25</f>
        <v/>
      </c>
      <c r="W442">
        <f>W441+0.5</f>
        <v/>
      </c>
    </row>
    <row r="443">
      <c r="E443">
        <f>O443=ROUND(432*0.1,10)</f>
        <v/>
      </c>
      <c r="F443">
        <f>P443=ROUND(432*0.2,10)</f>
        <v/>
      </c>
      <c r="G443">
        <f>Q443=ROUND(432*0.3,10)</f>
        <v/>
      </c>
      <c r="H443">
        <f>R443=ROUND(432*0.05,10)</f>
        <v/>
      </c>
      <c r="I443">
        <f>S443=ROUND(432*0.01,10)</f>
        <v/>
      </c>
      <c r="J443">
        <f>T443=ROUND(432*0.7,10)</f>
        <v/>
      </c>
      <c r="K443">
        <f>U443=ROUND(432*1.1,10)</f>
        <v/>
      </c>
      <c r="L443">
        <f>V443=ROUND(432*0.25,10)</f>
        <v/>
      </c>
      <c r="M443">
        <f>W443=ROUND(432*0.5,10)</f>
        <v/>
      </c>
      <c r="O443">
        <f>O442+0.1</f>
        <v/>
      </c>
      <c r="P443">
        <f>P442+0.2</f>
        <v/>
      </c>
      <c r="Q443">
        <f>Q442+0.3</f>
        <v/>
      </c>
      <c r="R443">
        <f>R442+0.05</f>
        <v/>
      </c>
      <c r="S443">
        <f>S442+0.01</f>
        <v/>
      </c>
      <c r="T443">
        <f>T442+0.7</f>
        <v/>
      </c>
      <c r="U443">
        <f>U442+1.1</f>
        <v/>
      </c>
      <c r="V443">
        <f>V442+0.25</f>
        <v/>
      </c>
      <c r="W443">
        <f>W442+0.5</f>
        <v/>
      </c>
    </row>
    <row r="444">
      <c r="E444">
        <f>O444=ROUND(433*0.1,10)</f>
        <v/>
      </c>
      <c r="F444">
        <f>P444=ROUND(433*0.2,10)</f>
        <v/>
      </c>
      <c r="G444">
        <f>Q444=ROUND(433*0.3,10)</f>
        <v/>
      </c>
      <c r="H444">
        <f>R444=ROUND(433*0.05,10)</f>
        <v/>
      </c>
      <c r="I444">
        <f>S444=ROUND(433*0.01,10)</f>
        <v/>
      </c>
      <c r="J444">
        <f>T444=ROUND(433*0.7,10)</f>
        <v/>
      </c>
      <c r="K444">
        <f>U444=ROUND(433*1.1,10)</f>
        <v/>
      </c>
      <c r="L444">
        <f>V444=ROUND(433*0.25,10)</f>
        <v/>
      </c>
      <c r="M444">
        <f>W444=ROUND(433*0.5,10)</f>
        <v/>
      </c>
      <c r="O444">
        <f>O443+0.1</f>
        <v/>
      </c>
      <c r="P444">
        <f>P443+0.2</f>
        <v/>
      </c>
      <c r="Q444">
        <f>Q443+0.3</f>
        <v/>
      </c>
      <c r="R444">
        <f>R443+0.05</f>
        <v/>
      </c>
      <c r="S444">
        <f>S443+0.01</f>
        <v/>
      </c>
      <c r="T444">
        <f>T443+0.7</f>
        <v/>
      </c>
      <c r="U444">
        <f>U443+1.1</f>
        <v/>
      </c>
      <c r="V444">
        <f>V443+0.25</f>
        <v/>
      </c>
      <c r="W444">
        <f>W443+0.5</f>
        <v/>
      </c>
    </row>
    <row r="445">
      <c r="E445">
        <f>O445=ROUND(434*0.1,10)</f>
        <v/>
      </c>
      <c r="F445">
        <f>P445=ROUND(434*0.2,10)</f>
        <v/>
      </c>
      <c r="G445">
        <f>Q445=ROUND(434*0.3,10)</f>
        <v/>
      </c>
      <c r="H445">
        <f>R445=ROUND(434*0.05,10)</f>
        <v/>
      </c>
      <c r="I445">
        <f>S445=ROUND(434*0.01,10)</f>
        <v/>
      </c>
      <c r="J445">
        <f>T445=ROUND(434*0.7,10)</f>
        <v/>
      </c>
      <c r="K445">
        <f>U445=ROUND(434*1.1,10)</f>
        <v/>
      </c>
      <c r="L445">
        <f>V445=ROUND(434*0.25,10)</f>
        <v/>
      </c>
      <c r="M445">
        <f>W445=ROUND(434*0.5,10)</f>
        <v/>
      </c>
      <c r="O445">
        <f>O444+0.1</f>
        <v/>
      </c>
      <c r="P445">
        <f>P444+0.2</f>
        <v/>
      </c>
      <c r="Q445">
        <f>Q444+0.3</f>
        <v/>
      </c>
      <c r="R445">
        <f>R444+0.05</f>
        <v/>
      </c>
      <c r="S445">
        <f>S444+0.01</f>
        <v/>
      </c>
      <c r="T445">
        <f>T444+0.7</f>
        <v/>
      </c>
      <c r="U445">
        <f>U444+1.1</f>
        <v/>
      </c>
      <c r="V445">
        <f>V444+0.25</f>
        <v/>
      </c>
      <c r="W445">
        <f>W444+0.5</f>
        <v/>
      </c>
    </row>
    <row r="446">
      <c r="E446">
        <f>O446=ROUND(435*0.1,10)</f>
        <v/>
      </c>
      <c r="F446">
        <f>P446=ROUND(435*0.2,10)</f>
        <v/>
      </c>
      <c r="G446">
        <f>Q446=ROUND(435*0.3,10)</f>
        <v/>
      </c>
      <c r="H446">
        <f>R446=ROUND(435*0.05,10)</f>
        <v/>
      </c>
      <c r="I446">
        <f>S446=ROUND(435*0.01,10)</f>
        <v/>
      </c>
      <c r="J446">
        <f>T446=ROUND(435*0.7,10)</f>
        <v/>
      </c>
      <c r="K446">
        <f>U446=ROUND(435*1.1,10)</f>
        <v/>
      </c>
      <c r="L446">
        <f>V446=ROUND(435*0.25,10)</f>
        <v/>
      </c>
      <c r="M446">
        <f>W446=ROUND(435*0.5,10)</f>
        <v/>
      </c>
      <c r="O446">
        <f>O445+0.1</f>
        <v/>
      </c>
      <c r="P446">
        <f>P445+0.2</f>
        <v/>
      </c>
      <c r="Q446">
        <f>Q445+0.3</f>
        <v/>
      </c>
      <c r="R446">
        <f>R445+0.05</f>
        <v/>
      </c>
      <c r="S446">
        <f>S445+0.01</f>
        <v/>
      </c>
      <c r="T446">
        <f>T445+0.7</f>
        <v/>
      </c>
      <c r="U446">
        <f>U445+1.1</f>
        <v/>
      </c>
      <c r="V446">
        <f>V445+0.25</f>
        <v/>
      </c>
      <c r="W446">
        <f>W445+0.5</f>
        <v/>
      </c>
    </row>
    <row r="447">
      <c r="E447">
        <f>O447=ROUND(436*0.1,10)</f>
        <v/>
      </c>
      <c r="F447">
        <f>P447=ROUND(436*0.2,10)</f>
        <v/>
      </c>
      <c r="G447">
        <f>Q447=ROUND(436*0.3,10)</f>
        <v/>
      </c>
      <c r="H447">
        <f>R447=ROUND(436*0.05,10)</f>
        <v/>
      </c>
      <c r="I447">
        <f>S447=ROUND(436*0.01,10)</f>
        <v/>
      </c>
      <c r="J447">
        <f>T447=ROUND(436*0.7,10)</f>
        <v/>
      </c>
      <c r="K447">
        <f>U447=ROUND(436*1.1,10)</f>
        <v/>
      </c>
      <c r="L447">
        <f>V447=ROUND(436*0.25,10)</f>
        <v/>
      </c>
      <c r="M447">
        <f>W447=ROUND(436*0.5,10)</f>
        <v/>
      </c>
      <c r="O447">
        <f>O446+0.1</f>
        <v/>
      </c>
      <c r="P447">
        <f>P446+0.2</f>
        <v/>
      </c>
      <c r="Q447">
        <f>Q446+0.3</f>
        <v/>
      </c>
      <c r="R447">
        <f>R446+0.05</f>
        <v/>
      </c>
      <c r="S447">
        <f>S446+0.01</f>
        <v/>
      </c>
      <c r="T447">
        <f>T446+0.7</f>
        <v/>
      </c>
      <c r="U447">
        <f>U446+1.1</f>
        <v/>
      </c>
      <c r="V447">
        <f>V446+0.25</f>
        <v/>
      </c>
      <c r="W447">
        <f>W446+0.5</f>
        <v/>
      </c>
    </row>
    <row r="448">
      <c r="E448">
        <f>O448=ROUND(437*0.1,10)</f>
        <v/>
      </c>
      <c r="F448">
        <f>P448=ROUND(437*0.2,10)</f>
        <v/>
      </c>
      <c r="G448">
        <f>Q448=ROUND(437*0.3,10)</f>
        <v/>
      </c>
      <c r="H448">
        <f>R448=ROUND(437*0.05,10)</f>
        <v/>
      </c>
      <c r="I448">
        <f>S448=ROUND(437*0.01,10)</f>
        <v/>
      </c>
      <c r="J448">
        <f>T448=ROUND(437*0.7,10)</f>
        <v/>
      </c>
      <c r="K448">
        <f>U448=ROUND(437*1.1,10)</f>
        <v/>
      </c>
      <c r="L448">
        <f>V448=ROUND(437*0.25,10)</f>
        <v/>
      </c>
      <c r="M448">
        <f>W448=ROUND(437*0.5,10)</f>
        <v/>
      </c>
      <c r="O448">
        <f>O447+0.1</f>
        <v/>
      </c>
      <c r="P448">
        <f>P447+0.2</f>
        <v/>
      </c>
      <c r="Q448">
        <f>Q447+0.3</f>
        <v/>
      </c>
      <c r="R448">
        <f>R447+0.05</f>
        <v/>
      </c>
      <c r="S448">
        <f>S447+0.01</f>
        <v/>
      </c>
      <c r="T448">
        <f>T447+0.7</f>
        <v/>
      </c>
      <c r="U448">
        <f>U447+1.1</f>
        <v/>
      </c>
      <c r="V448">
        <f>V447+0.25</f>
        <v/>
      </c>
      <c r="W448">
        <f>W447+0.5</f>
        <v/>
      </c>
    </row>
    <row r="449">
      <c r="E449">
        <f>O449=ROUND(438*0.1,10)</f>
        <v/>
      </c>
      <c r="F449">
        <f>P449=ROUND(438*0.2,10)</f>
        <v/>
      </c>
      <c r="G449">
        <f>Q449=ROUND(438*0.3,10)</f>
        <v/>
      </c>
      <c r="H449">
        <f>R449=ROUND(438*0.05,10)</f>
        <v/>
      </c>
      <c r="I449">
        <f>S449=ROUND(438*0.01,10)</f>
        <v/>
      </c>
      <c r="J449">
        <f>T449=ROUND(438*0.7,10)</f>
        <v/>
      </c>
      <c r="K449">
        <f>U449=ROUND(438*1.1,10)</f>
        <v/>
      </c>
      <c r="L449">
        <f>V449=ROUND(438*0.25,10)</f>
        <v/>
      </c>
      <c r="M449">
        <f>W449=ROUND(438*0.5,10)</f>
        <v/>
      </c>
      <c r="O449">
        <f>O448+0.1</f>
        <v/>
      </c>
      <c r="P449">
        <f>P448+0.2</f>
        <v/>
      </c>
      <c r="Q449">
        <f>Q448+0.3</f>
        <v/>
      </c>
      <c r="R449">
        <f>R448+0.05</f>
        <v/>
      </c>
      <c r="S449">
        <f>S448+0.01</f>
        <v/>
      </c>
      <c r="T449">
        <f>T448+0.7</f>
        <v/>
      </c>
      <c r="U449">
        <f>U448+1.1</f>
        <v/>
      </c>
      <c r="V449">
        <f>V448+0.25</f>
        <v/>
      </c>
      <c r="W449">
        <f>W448+0.5</f>
        <v/>
      </c>
    </row>
    <row r="450">
      <c r="E450">
        <f>O450=ROUND(439*0.1,10)</f>
        <v/>
      </c>
      <c r="F450">
        <f>P450=ROUND(439*0.2,10)</f>
        <v/>
      </c>
      <c r="G450">
        <f>Q450=ROUND(439*0.3,10)</f>
        <v/>
      </c>
      <c r="H450">
        <f>R450=ROUND(439*0.05,10)</f>
        <v/>
      </c>
      <c r="I450">
        <f>S450=ROUND(439*0.01,10)</f>
        <v/>
      </c>
      <c r="J450">
        <f>T450=ROUND(439*0.7,10)</f>
        <v/>
      </c>
      <c r="K450">
        <f>U450=ROUND(439*1.1,10)</f>
        <v/>
      </c>
      <c r="L450">
        <f>V450=ROUND(439*0.25,10)</f>
        <v/>
      </c>
      <c r="M450">
        <f>W450=ROUND(439*0.5,10)</f>
        <v/>
      </c>
      <c r="O450">
        <f>O449+0.1</f>
        <v/>
      </c>
      <c r="P450">
        <f>P449+0.2</f>
        <v/>
      </c>
      <c r="Q450">
        <f>Q449+0.3</f>
        <v/>
      </c>
      <c r="R450">
        <f>R449+0.05</f>
        <v/>
      </c>
      <c r="S450">
        <f>S449+0.01</f>
        <v/>
      </c>
      <c r="T450">
        <f>T449+0.7</f>
        <v/>
      </c>
      <c r="U450">
        <f>U449+1.1</f>
        <v/>
      </c>
      <c r="V450">
        <f>V449+0.25</f>
        <v/>
      </c>
      <c r="W450">
        <f>W449+0.5</f>
        <v/>
      </c>
    </row>
    <row r="451">
      <c r="E451">
        <f>O451=ROUND(440*0.1,10)</f>
        <v/>
      </c>
      <c r="F451">
        <f>P451=ROUND(440*0.2,10)</f>
        <v/>
      </c>
      <c r="G451">
        <f>Q451=ROUND(440*0.3,10)</f>
        <v/>
      </c>
      <c r="H451">
        <f>R451=ROUND(440*0.05,10)</f>
        <v/>
      </c>
      <c r="I451">
        <f>S451=ROUND(440*0.01,10)</f>
        <v/>
      </c>
      <c r="J451">
        <f>T451=ROUND(440*0.7,10)</f>
        <v/>
      </c>
      <c r="K451">
        <f>U451=ROUND(440*1.1,10)</f>
        <v/>
      </c>
      <c r="L451">
        <f>V451=ROUND(440*0.25,10)</f>
        <v/>
      </c>
      <c r="M451">
        <f>W451=ROUND(440*0.5,10)</f>
        <v/>
      </c>
      <c r="O451">
        <f>O450+0.1</f>
        <v/>
      </c>
      <c r="P451">
        <f>P450+0.2</f>
        <v/>
      </c>
      <c r="Q451">
        <f>Q450+0.3</f>
        <v/>
      </c>
      <c r="R451">
        <f>R450+0.05</f>
        <v/>
      </c>
      <c r="S451">
        <f>S450+0.01</f>
        <v/>
      </c>
      <c r="T451">
        <f>T450+0.7</f>
        <v/>
      </c>
      <c r="U451">
        <f>U450+1.1</f>
        <v/>
      </c>
      <c r="V451">
        <f>V450+0.25</f>
        <v/>
      </c>
      <c r="W451">
        <f>W450+0.5</f>
        <v/>
      </c>
    </row>
    <row r="452">
      <c r="E452">
        <f>O452=ROUND(441*0.1,10)</f>
        <v/>
      </c>
      <c r="F452">
        <f>P452=ROUND(441*0.2,10)</f>
        <v/>
      </c>
      <c r="G452">
        <f>Q452=ROUND(441*0.3,10)</f>
        <v/>
      </c>
      <c r="H452">
        <f>R452=ROUND(441*0.05,10)</f>
        <v/>
      </c>
      <c r="I452">
        <f>S452=ROUND(441*0.01,10)</f>
        <v/>
      </c>
      <c r="J452">
        <f>T452=ROUND(441*0.7,10)</f>
        <v/>
      </c>
      <c r="K452">
        <f>U452=ROUND(441*1.1,10)</f>
        <v/>
      </c>
      <c r="L452">
        <f>V452=ROUND(441*0.25,10)</f>
        <v/>
      </c>
      <c r="M452">
        <f>W452=ROUND(441*0.5,10)</f>
        <v/>
      </c>
      <c r="O452">
        <f>O451+0.1</f>
        <v/>
      </c>
      <c r="P452">
        <f>P451+0.2</f>
        <v/>
      </c>
      <c r="Q452">
        <f>Q451+0.3</f>
        <v/>
      </c>
      <c r="R452">
        <f>R451+0.05</f>
        <v/>
      </c>
      <c r="S452">
        <f>S451+0.01</f>
        <v/>
      </c>
      <c r="T452">
        <f>T451+0.7</f>
        <v/>
      </c>
      <c r="U452">
        <f>U451+1.1</f>
        <v/>
      </c>
      <c r="V452">
        <f>V451+0.25</f>
        <v/>
      </c>
      <c r="W452">
        <f>W451+0.5</f>
        <v/>
      </c>
    </row>
    <row r="453">
      <c r="E453">
        <f>O453=ROUND(442*0.1,10)</f>
        <v/>
      </c>
      <c r="F453">
        <f>P453=ROUND(442*0.2,10)</f>
        <v/>
      </c>
      <c r="G453">
        <f>Q453=ROUND(442*0.3,10)</f>
        <v/>
      </c>
      <c r="H453">
        <f>R453=ROUND(442*0.05,10)</f>
        <v/>
      </c>
      <c r="I453">
        <f>S453=ROUND(442*0.01,10)</f>
        <v/>
      </c>
      <c r="J453">
        <f>T453=ROUND(442*0.7,10)</f>
        <v/>
      </c>
      <c r="K453">
        <f>U453=ROUND(442*1.1,10)</f>
        <v/>
      </c>
      <c r="L453">
        <f>V453=ROUND(442*0.25,10)</f>
        <v/>
      </c>
      <c r="M453">
        <f>W453=ROUND(442*0.5,10)</f>
        <v/>
      </c>
      <c r="O453">
        <f>O452+0.1</f>
        <v/>
      </c>
      <c r="P453">
        <f>P452+0.2</f>
        <v/>
      </c>
      <c r="Q453">
        <f>Q452+0.3</f>
        <v/>
      </c>
      <c r="R453">
        <f>R452+0.05</f>
        <v/>
      </c>
      <c r="S453">
        <f>S452+0.01</f>
        <v/>
      </c>
      <c r="T453">
        <f>T452+0.7</f>
        <v/>
      </c>
      <c r="U453">
        <f>U452+1.1</f>
        <v/>
      </c>
      <c r="V453">
        <f>V452+0.25</f>
        <v/>
      </c>
      <c r="W453">
        <f>W452+0.5</f>
        <v/>
      </c>
    </row>
    <row r="454">
      <c r="E454">
        <f>O454=ROUND(443*0.1,10)</f>
        <v/>
      </c>
      <c r="F454">
        <f>P454=ROUND(443*0.2,10)</f>
        <v/>
      </c>
      <c r="G454">
        <f>Q454=ROUND(443*0.3,10)</f>
        <v/>
      </c>
      <c r="H454">
        <f>R454=ROUND(443*0.05,10)</f>
        <v/>
      </c>
      <c r="I454">
        <f>S454=ROUND(443*0.01,10)</f>
        <v/>
      </c>
      <c r="J454">
        <f>T454=ROUND(443*0.7,10)</f>
        <v/>
      </c>
      <c r="K454">
        <f>U454=ROUND(443*1.1,10)</f>
        <v/>
      </c>
      <c r="L454">
        <f>V454=ROUND(443*0.25,10)</f>
        <v/>
      </c>
      <c r="M454">
        <f>W454=ROUND(443*0.5,10)</f>
        <v/>
      </c>
      <c r="O454">
        <f>O453+0.1</f>
        <v/>
      </c>
      <c r="P454">
        <f>P453+0.2</f>
        <v/>
      </c>
      <c r="Q454">
        <f>Q453+0.3</f>
        <v/>
      </c>
      <c r="R454">
        <f>R453+0.05</f>
        <v/>
      </c>
      <c r="S454">
        <f>S453+0.01</f>
        <v/>
      </c>
      <c r="T454">
        <f>T453+0.7</f>
        <v/>
      </c>
      <c r="U454">
        <f>U453+1.1</f>
        <v/>
      </c>
      <c r="V454">
        <f>V453+0.25</f>
        <v/>
      </c>
      <c r="W454">
        <f>W453+0.5</f>
        <v/>
      </c>
    </row>
    <row r="455">
      <c r="E455">
        <f>O455=ROUND(444*0.1,10)</f>
        <v/>
      </c>
      <c r="F455">
        <f>P455=ROUND(444*0.2,10)</f>
        <v/>
      </c>
      <c r="G455">
        <f>Q455=ROUND(444*0.3,10)</f>
        <v/>
      </c>
      <c r="H455">
        <f>R455=ROUND(444*0.05,10)</f>
        <v/>
      </c>
      <c r="I455">
        <f>S455=ROUND(444*0.01,10)</f>
        <v/>
      </c>
      <c r="J455">
        <f>T455=ROUND(444*0.7,10)</f>
        <v/>
      </c>
      <c r="K455">
        <f>U455=ROUND(444*1.1,10)</f>
        <v/>
      </c>
      <c r="L455">
        <f>V455=ROUND(444*0.25,10)</f>
        <v/>
      </c>
      <c r="M455">
        <f>W455=ROUND(444*0.5,10)</f>
        <v/>
      </c>
      <c r="O455">
        <f>O454+0.1</f>
        <v/>
      </c>
      <c r="P455">
        <f>P454+0.2</f>
        <v/>
      </c>
      <c r="Q455">
        <f>Q454+0.3</f>
        <v/>
      </c>
      <c r="R455">
        <f>R454+0.05</f>
        <v/>
      </c>
      <c r="S455">
        <f>S454+0.01</f>
        <v/>
      </c>
      <c r="T455">
        <f>T454+0.7</f>
        <v/>
      </c>
      <c r="U455">
        <f>U454+1.1</f>
        <v/>
      </c>
      <c r="V455">
        <f>V454+0.25</f>
        <v/>
      </c>
      <c r="W455">
        <f>W454+0.5</f>
        <v/>
      </c>
    </row>
    <row r="456">
      <c r="E456">
        <f>O456=ROUND(445*0.1,10)</f>
        <v/>
      </c>
      <c r="F456">
        <f>P456=ROUND(445*0.2,10)</f>
        <v/>
      </c>
      <c r="G456">
        <f>Q456=ROUND(445*0.3,10)</f>
        <v/>
      </c>
      <c r="H456">
        <f>R456=ROUND(445*0.05,10)</f>
        <v/>
      </c>
      <c r="I456">
        <f>S456=ROUND(445*0.01,10)</f>
        <v/>
      </c>
      <c r="J456">
        <f>T456=ROUND(445*0.7,10)</f>
        <v/>
      </c>
      <c r="K456">
        <f>U456=ROUND(445*1.1,10)</f>
        <v/>
      </c>
      <c r="L456">
        <f>V456=ROUND(445*0.25,10)</f>
        <v/>
      </c>
      <c r="M456">
        <f>W456=ROUND(445*0.5,10)</f>
        <v/>
      </c>
      <c r="O456">
        <f>O455+0.1</f>
        <v/>
      </c>
      <c r="P456">
        <f>P455+0.2</f>
        <v/>
      </c>
      <c r="Q456">
        <f>Q455+0.3</f>
        <v/>
      </c>
      <c r="R456">
        <f>R455+0.05</f>
        <v/>
      </c>
      <c r="S456">
        <f>S455+0.01</f>
        <v/>
      </c>
      <c r="T456">
        <f>T455+0.7</f>
        <v/>
      </c>
      <c r="U456">
        <f>U455+1.1</f>
        <v/>
      </c>
      <c r="V456">
        <f>V455+0.25</f>
        <v/>
      </c>
      <c r="W456">
        <f>W455+0.5</f>
        <v/>
      </c>
    </row>
    <row r="457">
      <c r="E457">
        <f>O457=ROUND(446*0.1,10)</f>
        <v/>
      </c>
      <c r="F457">
        <f>P457=ROUND(446*0.2,10)</f>
        <v/>
      </c>
      <c r="G457">
        <f>Q457=ROUND(446*0.3,10)</f>
        <v/>
      </c>
      <c r="H457">
        <f>R457=ROUND(446*0.05,10)</f>
        <v/>
      </c>
      <c r="I457">
        <f>S457=ROUND(446*0.01,10)</f>
        <v/>
      </c>
      <c r="J457">
        <f>T457=ROUND(446*0.7,10)</f>
        <v/>
      </c>
      <c r="K457">
        <f>U457=ROUND(446*1.1,10)</f>
        <v/>
      </c>
      <c r="L457">
        <f>V457=ROUND(446*0.25,10)</f>
        <v/>
      </c>
      <c r="M457">
        <f>W457=ROUND(446*0.5,10)</f>
        <v/>
      </c>
      <c r="O457">
        <f>O456+0.1</f>
        <v/>
      </c>
      <c r="P457">
        <f>P456+0.2</f>
        <v/>
      </c>
      <c r="Q457">
        <f>Q456+0.3</f>
        <v/>
      </c>
      <c r="R457">
        <f>R456+0.05</f>
        <v/>
      </c>
      <c r="S457">
        <f>S456+0.01</f>
        <v/>
      </c>
      <c r="T457">
        <f>T456+0.7</f>
        <v/>
      </c>
      <c r="U457">
        <f>U456+1.1</f>
        <v/>
      </c>
      <c r="V457">
        <f>V456+0.25</f>
        <v/>
      </c>
      <c r="W457">
        <f>W456+0.5</f>
        <v/>
      </c>
    </row>
    <row r="458">
      <c r="E458">
        <f>O458=ROUND(447*0.1,10)</f>
        <v/>
      </c>
      <c r="F458">
        <f>P458=ROUND(447*0.2,10)</f>
        <v/>
      </c>
      <c r="G458">
        <f>Q458=ROUND(447*0.3,10)</f>
        <v/>
      </c>
      <c r="H458">
        <f>R458=ROUND(447*0.05,10)</f>
        <v/>
      </c>
      <c r="I458">
        <f>S458=ROUND(447*0.01,10)</f>
        <v/>
      </c>
      <c r="J458">
        <f>T458=ROUND(447*0.7,10)</f>
        <v/>
      </c>
      <c r="K458">
        <f>U458=ROUND(447*1.1,10)</f>
        <v/>
      </c>
      <c r="L458">
        <f>V458=ROUND(447*0.25,10)</f>
        <v/>
      </c>
      <c r="M458">
        <f>W458=ROUND(447*0.5,10)</f>
        <v/>
      </c>
      <c r="O458">
        <f>O457+0.1</f>
        <v/>
      </c>
      <c r="P458">
        <f>P457+0.2</f>
        <v/>
      </c>
      <c r="Q458">
        <f>Q457+0.3</f>
        <v/>
      </c>
      <c r="R458">
        <f>R457+0.05</f>
        <v/>
      </c>
      <c r="S458">
        <f>S457+0.01</f>
        <v/>
      </c>
      <c r="T458">
        <f>T457+0.7</f>
        <v/>
      </c>
      <c r="U458">
        <f>U457+1.1</f>
        <v/>
      </c>
      <c r="V458">
        <f>V457+0.25</f>
        <v/>
      </c>
      <c r="W458">
        <f>W457+0.5</f>
        <v/>
      </c>
    </row>
    <row r="459">
      <c r="E459">
        <f>O459=ROUND(448*0.1,10)</f>
        <v/>
      </c>
      <c r="F459">
        <f>P459=ROUND(448*0.2,10)</f>
        <v/>
      </c>
      <c r="G459">
        <f>Q459=ROUND(448*0.3,10)</f>
        <v/>
      </c>
      <c r="H459">
        <f>R459=ROUND(448*0.05,10)</f>
        <v/>
      </c>
      <c r="I459">
        <f>S459=ROUND(448*0.01,10)</f>
        <v/>
      </c>
      <c r="J459">
        <f>T459=ROUND(448*0.7,10)</f>
        <v/>
      </c>
      <c r="K459">
        <f>U459=ROUND(448*1.1,10)</f>
        <v/>
      </c>
      <c r="L459">
        <f>V459=ROUND(448*0.25,10)</f>
        <v/>
      </c>
      <c r="M459">
        <f>W459=ROUND(448*0.5,10)</f>
        <v/>
      </c>
      <c r="O459">
        <f>O458+0.1</f>
        <v/>
      </c>
      <c r="P459">
        <f>P458+0.2</f>
        <v/>
      </c>
      <c r="Q459">
        <f>Q458+0.3</f>
        <v/>
      </c>
      <c r="R459">
        <f>R458+0.05</f>
        <v/>
      </c>
      <c r="S459">
        <f>S458+0.01</f>
        <v/>
      </c>
      <c r="T459">
        <f>T458+0.7</f>
        <v/>
      </c>
      <c r="U459">
        <f>U458+1.1</f>
        <v/>
      </c>
      <c r="V459">
        <f>V458+0.25</f>
        <v/>
      </c>
      <c r="W459">
        <f>W458+0.5</f>
        <v/>
      </c>
    </row>
    <row r="460">
      <c r="E460">
        <f>O460=ROUND(449*0.1,10)</f>
        <v/>
      </c>
      <c r="F460">
        <f>P460=ROUND(449*0.2,10)</f>
        <v/>
      </c>
      <c r="G460">
        <f>Q460=ROUND(449*0.3,10)</f>
        <v/>
      </c>
      <c r="H460">
        <f>R460=ROUND(449*0.05,10)</f>
        <v/>
      </c>
      <c r="I460">
        <f>S460=ROUND(449*0.01,10)</f>
        <v/>
      </c>
      <c r="J460">
        <f>T460=ROUND(449*0.7,10)</f>
        <v/>
      </c>
      <c r="K460">
        <f>U460=ROUND(449*1.1,10)</f>
        <v/>
      </c>
      <c r="L460">
        <f>V460=ROUND(449*0.25,10)</f>
        <v/>
      </c>
      <c r="M460">
        <f>W460=ROUND(449*0.5,10)</f>
        <v/>
      </c>
      <c r="O460">
        <f>O459+0.1</f>
        <v/>
      </c>
      <c r="P460">
        <f>P459+0.2</f>
        <v/>
      </c>
      <c r="Q460">
        <f>Q459+0.3</f>
        <v/>
      </c>
      <c r="R460">
        <f>R459+0.05</f>
        <v/>
      </c>
      <c r="S460">
        <f>S459+0.01</f>
        <v/>
      </c>
      <c r="T460">
        <f>T459+0.7</f>
        <v/>
      </c>
      <c r="U460">
        <f>U459+1.1</f>
        <v/>
      </c>
      <c r="V460">
        <f>V459+0.25</f>
        <v/>
      </c>
      <c r="W460">
        <f>W459+0.5</f>
        <v/>
      </c>
    </row>
    <row r="461">
      <c r="E461">
        <f>O461=ROUND(450*0.1,10)</f>
        <v/>
      </c>
      <c r="F461">
        <f>P461=ROUND(450*0.2,10)</f>
        <v/>
      </c>
      <c r="G461">
        <f>Q461=ROUND(450*0.3,10)</f>
        <v/>
      </c>
      <c r="H461">
        <f>R461=ROUND(450*0.05,10)</f>
        <v/>
      </c>
      <c r="I461">
        <f>S461=ROUND(450*0.01,10)</f>
        <v/>
      </c>
      <c r="J461">
        <f>T461=ROUND(450*0.7,10)</f>
        <v/>
      </c>
      <c r="K461">
        <f>U461=ROUND(450*1.1,10)</f>
        <v/>
      </c>
      <c r="L461">
        <f>V461=ROUND(450*0.25,10)</f>
        <v/>
      </c>
      <c r="M461">
        <f>W461=ROUND(450*0.5,10)</f>
        <v/>
      </c>
      <c r="O461">
        <f>O460+0.1</f>
        <v/>
      </c>
      <c r="P461">
        <f>P460+0.2</f>
        <v/>
      </c>
      <c r="Q461">
        <f>Q460+0.3</f>
        <v/>
      </c>
      <c r="R461">
        <f>R460+0.05</f>
        <v/>
      </c>
      <c r="S461">
        <f>S460+0.01</f>
        <v/>
      </c>
      <c r="T461">
        <f>T460+0.7</f>
        <v/>
      </c>
      <c r="U461">
        <f>U460+1.1</f>
        <v/>
      </c>
      <c r="V461">
        <f>V460+0.25</f>
        <v/>
      </c>
      <c r="W461">
        <f>W460+0.5</f>
        <v/>
      </c>
    </row>
    <row r="462">
      <c r="E462">
        <f>O462=ROUND(451*0.1,10)</f>
        <v/>
      </c>
      <c r="F462">
        <f>P462=ROUND(451*0.2,10)</f>
        <v/>
      </c>
      <c r="G462">
        <f>Q462=ROUND(451*0.3,10)</f>
        <v/>
      </c>
      <c r="H462">
        <f>R462=ROUND(451*0.05,10)</f>
        <v/>
      </c>
      <c r="I462">
        <f>S462=ROUND(451*0.01,10)</f>
        <v/>
      </c>
      <c r="J462">
        <f>T462=ROUND(451*0.7,10)</f>
        <v/>
      </c>
      <c r="K462">
        <f>U462=ROUND(451*1.1,10)</f>
        <v/>
      </c>
      <c r="L462">
        <f>V462=ROUND(451*0.25,10)</f>
        <v/>
      </c>
      <c r="M462">
        <f>W462=ROUND(451*0.5,10)</f>
        <v/>
      </c>
      <c r="O462">
        <f>O461+0.1</f>
        <v/>
      </c>
      <c r="P462">
        <f>P461+0.2</f>
        <v/>
      </c>
      <c r="Q462">
        <f>Q461+0.3</f>
        <v/>
      </c>
      <c r="R462">
        <f>R461+0.05</f>
        <v/>
      </c>
      <c r="S462">
        <f>S461+0.01</f>
        <v/>
      </c>
      <c r="T462">
        <f>T461+0.7</f>
        <v/>
      </c>
      <c r="U462">
        <f>U461+1.1</f>
        <v/>
      </c>
      <c r="V462">
        <f>V461+0.25</f>
        <v/>
      </c>
      <c r="W462">
        <f>W461+0.5</f>
        <v/>
      </c>
    </row>
    <row r="463">
      <c r="E463">
        <f>O463=ROUND(452*0.1,10)</f>
        <v/>
      </c>
      <c r="F463">
        <f>P463=ROUND(452*0.2,10)</f>
        <v/>
      </c>
      <c r="G463">
        <f>Q463=ROUND(452*0.3,10)</f>
        <v/>
      </c>
      <c r="H463">
        <f>R463=ROUND(452*0.05,10)</f>
        <v/>
      </c>
      <c r="I463">
        <f>S463=ROUND(452*0.01,10)</f>
        <v/>
      </c>
      <c r="J463">
        <f>T463=ROUND(452*0.7,10)</f>
        <v/>
      </c>
      <c r="K463">
        <f>U463=ROUND(452*1.1,10)</f>
        <v/>
      </c>
      <c r="L463">
        <f>V463=ROUND(452*0.25,10)</f>
        <v/>
      </c>
      <c r="M463">
        <f>W463=ROUND(452*0.5,10)</f>
        <v/>
      </c>
      <c r="O463">
        <f>O462+0.1</f>
        <v/>
      </c>
      <c r="P463">
        <f>P462+0.2</f>
        <v/>
      </c>
      <c r="Q463">
        <f>Q462+0.3</f>
        <v/>
      </c>
      <c r="R463">
        <f>R462+0.05</f>
        <v/>
      </c>
      <c r="S463">
        <f>S462+0.01</f>
        <v/>
      </c>
      <c r="T463">
        <f>T462+0.7</f>
        <v/>
      </c>
      <c r="U463">
        <f>U462+1.1</f>
        <v/>
      </c>
      <c r="V463">
        <f>V462+0.25</f>
        <v/>
      </c>
      <c r="W463">
        <f>W462+0.5</f>
        <v/>
      </c>
    </row>
    <row r="464">
      <c r="E464">
        <f>O464=ROUND(453*0.1,10)</f>
        <v/>
      </c>
      <c r="F464">
        <f>P464=ROUND(453*0.2,10)</f>
        <v/>
      </c>
      <c r="G464">
        <f>Q464=ROUND(453*0.3,10)</f>
        <v/>
      </c>
      <c r="H464">
        <f>R464=ROUND(453*0.05,10)</f>
        <v/>
      </c>
      <c r="I464">
        <f>S464=ROUND(453*0.01,10)</f>
        <v/>
      </c>
      <c r="J464">
        <f>T464=ROUND(453*0.7,10)</f>
        <v/>
      </c>
      <c r="K464">
        <f>U464=ROUND(453*1.1,10)</f>
        <v/>
      </c>
      <c r="L464">
        <f>V464=ROUND(453*0.25,10)</f>
        <v/>
      </c>
      <c r="M464">
        <f>W464=ROUND(453*0.5,10)</f>
        <v/>
      </c>
      <c r="O464">
        <f>O463+0.1</f>
        <v/>
      </c>
      <c r="P464">
        <f>P463+0.2</f>
        <v/>
      </c>
      <c r="Q464">
        <f>Q463+0.3</f>
        <v/>
      </c>
      <c r="R464">
        <f>R463+0.05</f>
        <v/>
      </c>
      <c r="S464">
        <f>S463+0.01</f>
        <v/>
      </c>
      <c r="T464">
        <f>T463+0.7</f>
        <v/>
      </c>
      <c r="U464">
        <f>U463+1.1</f>
        <v/>
      </c>
      <c r="V464">
        <f>V463+0.25</f>
        <v/>
      </c>
      <c r="W464">
        <f>W463+0.5</f>
        <v/>
      </c>
    </row>
    <row r="465">
      <c r="E465">
        <f>O465=ROUND(454*0.1,10)</f>
        <v/>
      </c>
      <c r="F465">
        <f>P465=ROUND(454*0.2,10)</f>
        <v/>
      </c>
      <c r="G465">
        <f>Q465=ROUND(454*0.3,10)</f>
        <v/>
      </c>
      <c r="H465">
        <f>R465=ROUND(454*0.05,10)</f>
        <v/>
      </c>
      <c r="I465">
        <f>S465=ROUND(454*0.01,10)</f>
        <v/>
      </c>
      <c r="J465">
        <f>T465=ROUND(454*0.7,10)</f>
        <v/>
      </c>
      <c r="K465">
        <f>U465=ROUND(454*1.1,10)</f>
        <v/>
      </c>
      <c r="L465">
        <f>V465=ROUND(454*0.25,10)</f>
        <v/>
      </c>
      <c r="M465">
        <f>W465=ROUND(454*0.5,10)</f>
        <v/>
      </c>
      <c r="O465">
        <f>O464+0.1</f>
        <v/>
      </c>
      <c r="P465">
        <f>P464+0.2</f>
        <v/>
      </c>
      <c r="Q465">
        <f>Q464+0.3</f>
        <v/>
      </c>
      <c r="R465">
        <f>R464+0.05</f>
        <v/>
      </c>
      <c r="S465">
        <f>S464+0.01</f>
        <v/>
      </c>
      <c r="T465">
        <f>T464+0.7</f>
        <v/>
      </c>
      <c r="U465">
        <f>U464+1.1</f>
        <v/>
      </c>
      <c r="V465">
        <f>V464+0.25</f>
        <v/>
      </c>
      <c r="W465">
        <f>W464+0.5</f>
        <v/>
      </c>
    </row>
    <row r="466">
      <c r="E466">
        <f>O466=ROUND(455*0.1,10)</f>
        <v/>
      </c>
      <c r="F466">
        <f>P466=ROUND(455*0.2,10)</f>
        <v/>
      </c>
      <c r="G466">
        <f>Q466=ROUND(455*0.3,10)</f>
        <v/>
      </c>
      <c r="H466">
        <f>R466=ROUND(455*0.05,10)</f>
        <v/>
      </c>
      <c r="I466">
        <f>S466=ROUND(455*0.01,10)</f>
        <v/>
      </c>
      <c r="J466">
        <f>T466=ROUND(455*0.7,10)</f>
        <v/>
      </c>
      <c r="K466">
        <f>U466=ROUND(455*1.1,10)</f>
        <v/>
      </c>
      <c r="L466">
        <f>V466=ROUND(455*0.25,10)</f>
        <v/>
      </c>
      <c r="M466">
        <f>W466=ROUND(455*0.5,10)</f>
        <v/>
      </c>
      <c r="O466">
        <f>O465+0.1</f>
        <v/>
      </c>
      <c r="P466">
        <f>P465+0.2</f>
        <v/>
      </c>
      <c r="Q466">
        <f>Q465+0.3</f>
        <v/>
      </c>
      <c r="R466">
        <f>R465+0.05</f>
        <v/>
      </c>
      <c r="S466">
        <f>S465+0.01</f>
        <v/>
      </c>
      <c r="T466">
        <f>T465+0.7</f>
        <v/>
      </c>
      <c r="U466">
        <f>U465+1.1</f>
        <v/>
      </c>
      <c r="V466">
        <f>V465+0.25</f>
        <v/>
      </c>
      <c r="W466">
        <f>W465+0.5</f>
        <v/>
      </c>
    </row>
    <row r="467">
      <c r="E467">
        <f>O467=ROUND(456*0.1,10)</f>
        <v/>
      </c>
      <c r="F467">
        <f>P467=ROUND(456*0.2,10)</f>
        <v/>
      </c>
      <c r="G467">
        <f>Q467=ROUND(456*0.3,10)</f>
        <v/>
      </c>
      <c r="H467">
        <f>R467=ROUND(456*0.05,10)</f>
        <v/>
      </c>
      <c r="I467">
        <f>S467=ROUND(456*0.01,10)</f>
        <v/>
      </c>
      <c r="J467">
        <f>T467=ROUND(456*0.7,10)</f>
        <v/>
      </c>
      <c r="K467">
        <f>U467=ROUND(456*1.1,10)</f>
        <v/>
      </c>
      <c r="L467">
        <f>V467=ROUND(456*0.25,10)</f>
        <v/>
      </c>
      <c r="M467">
        <f>W467=ROUND(456*0.5,10)</f>
        <v/>
      </c>
      <c r="O467">
        <f>O466+0.1</f>
        <v/>
      </c>
      <c r="P467">
        <f>P466+0.2</f>
        <v/>
      </c>
      <c r="Q467">
        <f>Q466+0.3</f>
        <v/>
      </c>
      <c r="R467">
        <f>R466+0.05</f>
        <v/>
      </c>
      <c r="S467">
        <f>S466+0.01</f>
        <v/>
      </c>
      <c r="T467">
        <f>T466+0.7</f>
        <v/>
      </c>
      <c r="U467">
        <f>U466+1.1</f>
        <v/>
      </c>
      <c r="V467">
        <f>V466+0.25</f>
        <v/>
      </c>
      <c r="W467">
        <f>W466+0.5</f>
        <v/>
      </c>
    </row>
    <row r="468">
      <c r="E468">
        <f>O468=ROUND(457*0.1,10)</f>
        <v/>
      </c>
      <c r="F468">
        <f>P468=ROUND(457*0.2,10)</f>
        <v/>
      </c>
      <c r="G468">
        <f>Q468=ROUND(457*0.3,10)</f>
        <v/>
      </c>
      <c r="H468">
        <f>R468=ROUND(457*0.05,10)</f>
        <v/>
      </c>
      <c r="I468">
        <f>S468=ROUND(457*0.01,10)</f>
        <v/>
      </c>
      <c r="J468">
        <f>T468=ROUND(457*0.7,10)</f>
        <v/>
      </c>
      <c r="K468">
        <f>U468=ROUND(457*1.1,10)</f>
        <v/>
      </c>
      <c r="L468">
        <f>V468=ROUND(457*0.25,10)</f>
        <v/>
      </c>
      <c r="M468">
        <f>W468=ROUND(457*0.5,10)</f>
        <v/>
      </c>
      <c r="O468">
        <f>O467+0.1</f>
        <v/>
      </c>
      <c r="P468">
        <f>P467+0.2</f>
        <v/>
      </c>
      <c r="Q468">
        <f>Q467+0.3</f>
        <v/>
      </c>
      <c r="R468">
        <f>R467+0.05</f>
        <v/>
      </c>
      <c r="S468">
        <f>S467+0.01</f>
        <v/>
      </c>
      <c r="T468">
        <f>T467+0.7</f>
        <v/>
      </c>
      <c r="U468">
        <f>U467+1.1</f>
        <v/>
      </c>
      <c r="V468">
        <f>V467+0.25</f>
        <v/>
      </c>
      <c r="W468">
        <f>W467+0.5</f>
        <v/>
      </c>
    </row>
    <row r="469">
      <c r="E469">
        <f>O469=ROUND(458*0.1,10)</f>
        <v/>
      </c>
      <c r="F469">
        <f>P469=ROUND(458*0.2,10)</f>
        <v/>
      </c>
      <c r="G469">
        <f>Q469=ROUND(458*0.3,10)</f>
        <v/>
      </c>
      <c r="H469">
        <f>R469=ROUND(458*0.05,10)</f>
        <v/>
      </c>
      <c r="I469">
        <f>S469=ROUND(458*0.01,10)</f>
        <v/>
      </c>
      <c r="J469">
        <f>T469=ROUND(458*0.7,10)</f>
        <v/>
      </c>
      <c r="K469">
        <f>U469=ROUND(458*1.1,10)</f>
        <v/>
      </c>
      <c r="L469">
        <f>V469=ROUND(458*0.25,10)</f>
        <v/>
      </c>
      <c r="M469">
        <f>W469=ROUND(458*0.5,10)</f>
        <v/>
      </c>
      <c r="O469">
        <f>O468+0.1</f>
        <v/>
      </c>
      <c r="P469">
        <f>P468+0.2</f>
        <v/>
      </c>
      <c r="Q469">
        <f>Q468+0.3</f>
        <v/>
      </c>
      <c r="R469">
        <f>R468+0.05</f>
        <v/>
      </c>
      <c r="S469">
        <f>S468+0.01</f>
        <v/>
      </c>
      <c r="T469">
        <f>T468+0.7</f>
        <v/>
      </c>
      <c r="U469">
        <f>U468+1.1</f>
        <v/>
      </c>
      <c r="V469">
        <f>V468+0.25</f>
        <v/>
      </c>
      <c r="W469">
        <f>W468+0.5</f>
        <v/>
      </c>
    </row>
    <row r="470">
      <c r="E470">
        <f>O470=ROUND(459*0.1,10)</f>
        <v/>
      </c>
      <c r="F470">
        <f>P470=ROUND(459*0.2,10)</f>
        <v/>
      </c>
      <c r="G470">
        <f>Q470=ROUND(459*0.3,10)</f>
        <v/>
      </c>
      <c r="H470">
        <f>R470=ROUND(459*0.05,10)</f>
        <v/>
      </c>
      <c r="I470">
        <f>S470=ROUND(459*0.01,10)</f>
        <v/>
      </c>
      <c r="J470">
        <f>T470=ROUND(459*0.7,10)</f>
        <v/>
      </c>
      <c r="K470">
        <f>U470=ROUND(459*1.1,10)</f>
        <v/>
      </c>
      <c r="L470">
        <f>V470=ROUND(459*0.25,10)</f>
        <v/>
      </c>
      <c r="M470">
        <f>W470=ROUND(459*0.5,10)</f>
        <v/>
      </c>
      <c r="O470">
        <f>O469+0.1</f>
        <v/>
      </c>
      <c r="P470">
        <f>P469+0.2</f>
        <v/>
      </c>
      <c r="Q470">
        <f>Q469+0.3</f>
        <v/>
      </c>
      <c r="R470">
        <f>R469+0.05</f>
        <v/>
      </c>
      <c r="S470">
        <f>S469+0.01</f>
        <v/>
      </c>
      <c r="T470">
        <f>T469+0.7</f>
        <v/>
      </c>
      <c r="U470">
        <f>U469+1.1</f>
        <v/>
      </c>
      <c r="V470">
        <f>V469+0.25</f>
        <v/>
      </c>
      <c r="W470">
        <f>W469+0.5</f>
        <v/>
      </c>
    </row>
    <row r="471">
      <c r="E471">
        <f>O471=ROUND(460*0.1,10)</f>
        <v/>
      </c>
      <c r="F471">
        <f>P471=ROUND(460*0.2,10)</f>
        <v/>
      </c>
      <c r="G471">
        <f>Q471=ROUND(460*0.3,10)</f>
        <v/>
      </c>
      <c r="H471">
        <f>R471=ROUND(460*0.05,10)</f>
        <v/>
      </c>
      <c r="I471">
        <f>S471=ROUND(460*0.01,10)</f>
        <v/>
      </c>
      <c r="J471">
        <f>T471=ROUND(460*0.7,10)</f>
        <v/>
      </c>
      <c r="K471">
        <f>U471=ROUND(460*1.1,10)</f>
        <v/>
      </c>
      <c r="L471">
        <f>V471=ROUND(460*0.25,10)</f>
        <v/>
      </c>
      <c r="M471">
        <f>W471=ROUND(460*0.5,10)</f>
        <v/>
      </c>
      <c r="O471">
        <f>O470+0.1</f>
        <v/>
      </c>
      <c r="P471">
        <f>P470+0.2</f>
        <v/>
      </c>
      <c r="Q471">
        <f>Q470+0.3</f>
        <v/>
      </c>
      <c r="R471">
        <f>R470+0.05</f>
        <v/>
      </c>
      <c r="S471">
        <f>S470+0.01</f>
        <v/>
      </c>
      <c r="T471">
        <f>T470+0.7</f>
        <v/>
      </c>
      <c r="U471">
        <f>U470+1.1</f>
        <v/>
      </c>
      <c r="V471">
        <f>V470+0.25</f>
        <v/>
      </c>
      <c r="W471">
        <f>W470+0.5</f>
        <v/>
      </c>
    </row>
    <row r="472">
      <c r="E472">
        <f>O472=ROUND(461*0.1,10)</f>
        <v/>
      </c>
      <c r="F472">
        <f>P472=ROUND(461*0.2,10)</f>
        <v/>
      </c>
      <c r="G472">
        <f>Q472=ROUND(461*0.3,10)</f>
        <v/>
      </c>
      <c r="H472">
        <f>R472=ROUND(461*0.05,10)</f>
        <v/>
      </c>
      <c r="I472">
        <f>S472=ROUND(461*0.01,10)</f>
        <v/>
      </c>
      <c r="J472">
        <f>T472=ROUND(461*0.7,10)</f>
        <v/>
      </c>
      <c r="K472">
        <f>U472=ROUND(461*1.1,10)</f>
        <v/>
      </c>
      <c r="L472">
        <f>V472=ROUND(461*0.25,10)</f>
        <v/>
      </c>
      <c r="M472">
        <f>W472=ROUND(461*0.5,10)</f>
        <v/>
      </c>
      <c r="O472">
        <f>O471+0.1</f>
        <v/>
      </c>
      <c r="P472">
        <f>P471+0.2</f>
        <v/>
      </c>
      <c r="Q472">
        <f>Q471+0.3</f>
        <v/>
      </c>
      <c r="R472">
        <f>R471+0.05</f>
        <v/>
      </c>
      <c r="S472">
        <f>S471+0.01</f>
        <v/>
      </c>
      <c r="T472">
        <f>T471+0.7</f>
        <v/>
      </c>
      <c r="U472">
        <f>U471+1.1</f>
        <v/>
      </c>
      <c r="V472">
        <f>V471+0.25</f>
        <v/>
      </c>
      <c r="W472">
        <f>W471+0.5</f>
        <v/>
      </c>
    </row>
    <row r="473">
      <c r="E473">
        <f>O473=ROUND(462*0.1,10)</f>
        <v/>
      </c>
      <c r="F473">
        <f>P473=ROUND(462*0.2,10)</f>
        <v/>
      </c>
      <c r="G473">
        <f>Q473=ROUND(462*0.3,10)</f>
        <v/>
      </c>
      <c r="H473">
        <f>R473=ROUND(462*0.05,10)</f>
        <v/>
      </c>
      <c r="I473">
        <f>S473=ROUND(462*0.01,10)</f>
        <v/>
      </c>
      <c r="J473">
        <f>T473=ROUND(462*0.7,10)</f>
        <v/>
      </c>
      <c r="K473">
        <f>U473=ROUND(462*1.1,10)</f>
        <v/>
      </c>
      <c r="L473">
        <f>V473=ROUND(462*0.25,10)</f>
        <v/>
      </c>
      <c r="M473">
        <f>W473=ROUND(462*0.5,10)</f>
        <v/>
      </c>
      <c r="O473">
        <f>O472+0.1</f>
        <v/>
      </c>
      <c r="P473">
        <f>P472+0.2</f>
        <v/>
      </c>
      <c r="Q473">
        <f>Q472+0.3</f>
        <v/>
      </c>
      <c r="R473">
        <f>R472+0.05</f>
        <v/>
      </c>
      <c r="S473">
        <f>S472+0.01</f>
        <v/>
      </c>
      <c r="T473">
        <f>T472+0.7</f>
        <v/>
      </c>
      <c r="U473">
        <f>U472+1.1</f>
        <v/>
      </c>
      <c r="V473">
        <f>V472+0.25</f>
        <v/>
      </c>
      <c r="W473">
        <f>W472+0.5</f>
        <v/>
      </c>
    </row>
    <row r="474">
      <c r="E474">
        <f>O474=ROUND(463*0.1,10)</f>
        <v/>
      </c>
      <c r="F474">
        <f>P474=ROUND(463*0.2,10)</f>
        <v/>
      </c>
      <c r="G474">
        <f>Q474=ROUND(463*0.3,10)</f>
        <v/>
      </c>
      <c r="H474">
        <f>R474=ROUND(463*0.05,10)</f>
        <v/>
      </c>
      <c r="I474">
        <f>S474=ROUND(463*0.01,10)</f>
        <v/>
      </c>
      <c r="J474">
        <f>T474=ROUND(463*0.7,10)</f>
        <v/>
      </c>
      <c r="K474">
        <f>U474=ROUND(463*1.1,10)</f>
        <v/>
      </c>
      <c r="L474">
        <f>V474=ROUND(463*0.25,10)</f>
        <v/>
      </c>
      <c r="M474">
        <f>W474=ROUND(463*0.5,10)</f>
        <v/>
      </c>
      <c r="O474">
        <f>O473+0.1</f>
        <v/>
      </c>
      <c r="P474">
        <f>P473+0.2</f>
        <v/>
      </c>
      <c r="Q474">
        <f>Q473+0.3</f>
        <v/>
      </c>
      <c r="R474">
        <f>R473+0.05</f>
        <v/>
      </c>
      <c r="S474">
        <f>S473+0.01</f>
        <v/>
      </c>
      <c r="T474">
        <f>T473+0.7</f>
        <v/>
      </c>
      <c r="U474">
        <f>U473+1.1</f>
        <v/>
      </c>
      <c r="V474">
        <f>V473+0.25</f>
        <v/>
      </c>
      <c r="W474">
        <f>W473+0.5</f>
        <v/>
      </c>
    </row>
    <row r="475">
      <c r="E475">
        <f>O475=ROUND(464*0.1,10)</f>
        <v/>
      </c>
      <c r="F475">
        <f>P475=ROUND(464*0.2,10)</f>
        <v/>
      </c>
      <c r="G475">
        <f>Q475=ROUND(464*0.3,10)</f>
        <v/>
      </c>
      <c r="H475">
        <f>R475=ROUND(464*0.05,10)</f>
        <v/>
      </c>
      <c r="I475">
        <f>S475=ROUND(464*0.01,10)</f>
        <v/>
      </c>
      <c r="J475">
        <f>T475=ROUND(464*0.7,10)</f>
        <v/>
      </c>
      <c r="K475">
        <f>U475=ROUND(464*1.1,10)</f>
        <v/>
      </c>
      <c r="L475">
        <f>V475=ROUND(464*0.25,10)</f>
        <v/>
      </c>
      <c r="M475">
        <f>W475=ROUND(464*0.5,10)</f>
        <v/>
      </c>
      <c r="O475">
        <f>O474+0.1</f>
        <v/>
      </c>
      <c r="P475">
        <f>P474+0.2</f>
        <v/>
      </c>
      <c r="Q475">
        <f>Q474+0.3</f>
        <v/>
      </c>
      <c r="R475">
        <f>R474+0.05</f>
        <v/>
      </c>
      <c r="S475">
        <f>S474+0.01</f>
        <v/>
      </c>
      <c r="T475">
        <f>T474+0.7</f>
        <v/>
      </c>
      <c r="U475">
        <f>U474+1.1</f>
        <v/>
      </c>
      <c r="V475">
        <f>V474+0.25</f>
        <v/>
      </c>
      <c r="W475">
        <f>W474+0.5</f>
        <v/>
      </c>
    </row>
    <row r="476">
      <c r="E476">
        <f>O476=ROUND(465*0.1,10)</f>
        <v/>
      </c>
      <c r="F476">
        <f>P476=ROUND(465*0.2,10)</f>
        <v/>
      </c>
      <c r="G476">
        <f>Q476=ROUND(465*0.3,10)</f>
        <v/>
      </c>
      <c r="H476">
        <f>R476=ROUND(465*0.05,10)</f>
        <v/>
      </c>
      <c r="I476">
        <f>S476=ROUND(465*0.01,10)</f>
        <v/>
      </c>
      <c r="J476">
        <f>T476=ROUND(465*0.7,10)</f>
        <v/>
      </c>
      <c r="K476">
        <f>U476=ROUND(465*1.1,10)</f>
        <v/>
      </c>
      <c r="L476">
        <f>V476=ROUND(465*0.25,10)</f>
        <v/>
      </c>
      <c r="M476">
        <f>W476=ROUND(465*0.5,10)</f>
        <v/>
      </c>
      <c r="O476">
        <f>O475+0.1</f>
        <v/>
      </c>
      <c r="P476">
        <f>P475+0.2</f>
        <v/>
      </c>
      <c r="Q476">
        <f>Q475+0.3</f>
        <v/>
      </c>
      <c r="R476">
        <f>R475+0.05</f>
        <v/>
      </c>
      <c r="S476">
        <f>S475+0.01</f>
        <v/>
      </c>
      <c r="T476">
        <f>T475+0.7</f>
        <v/>
      </c>
      <c r="U476">
        <f>U475+1.1</f>
        <v/>
      </c>
      <c r="V476">
        <f>V475+0.25</f>
        <v/>
      </c>
      <c r="W476">
        <f>W475+0.5</f>
        <v/>
      </c>
    </row>
    <row r="477">
      <c r="E477">
        <f>O477=ROUND(466*0.1,10)</f>
        <v/>
      </c>
      <c r="F477">
        <f>P477=ROUND(466*0.2,10)</f>
        <v/>
      </c>
      <c r="G477">
        <f>Q477=ROUND(466*0.3,10)</f>
        <v/>
      </c>
      <c r="H477">
        <f>R477=ROUND(466*0.05,10)</f>
        <v/>
      </c>
      <c r="I477">
        <f>S477=ROUND(466*0.01,10)</f>
        <v/>
      </c>
      <c r="J477">
        <f>T477=ROUND(466*0.7,10)</f>
        <v/>
      </c>
      <c r="K477">
        <f>U477=ROUND(466*1.1,10)</f>
        <v/>
      </c>
      <c r="L477">
        <f>V477=ROUND(466*0.25,10)</f>
        <v/>
      </c>
      <c r="M477">
        <f>W477=ROUND(466*0.5,10)</f>
        <v/>
      </c>
      <c r="O477">
        <f>O476+0.1</f>
        <v/>
      </c>
      <c r="P477">
        <f>P476+0.2</f>
        <v/>
      </c>
      <c r="Q477">
        <f>Q476+0.3</f>
        <v/>
      </c>
      <c r="R477">
        <f>R476+0.05</f>
        <v/>
      </c>
      <c r="S477">
        <f>S476+0.01</f>
        <v/>
      </c>
      <c r="T477">
        <f>T476+0.7</f>
        <v/>
      </c>
      <c r="U477">
        <f>U476+1.1</f>
        <v/>
      </c>
      <c r="V477">
        <f>V476+0.25</f>
        <v/>
      </c>
      <c r="W477">
        <f>W476+0.5</f>
        <v/>
      </c>
    </row>
    <row r="478">
      <c r="E478">
        <f>O478=ROUND(467*0.1,10)</f>
        <v/>
      </c>
      <c r="F478">
        <f>P478=ROUND(467*0.2,10)</f>
        <v/>
      </c>
      <c r="G478">
        <f>Q478=ROUND(467*0.3,10)</f>
        <v/>
      </c>
      <c r="H478">
        <f>R478=ROUND(467*0.05,10)</f>
        <v/>
      </c>
      <c r="I478">
        <f>S478=ROUND(467*0.01,10)</f>
        <v/>
      </c>
      <c r="J478">
        <f>T478=ROUND(467*0.7,10)</f>
        <v/>
      </c>
      <c r="K478">
        <f>U478=ROUND(467*1.1,10)</f>
        <v/>
      </c>
      <c r="L478">
        <f>V478=ROUND(467*0.25,10)</f>
        <v/>
      </c>
      <c r="M478">
        <f>W478=ROUND(467*0.5,10)</f>
        <v/>
      </c>
      <c r="O478">
        <f>O477+0.1</f>
        <v/>
      </c>
      <c r="P478">
        <f>P477+0.2</f>
        <v/>
      </c>
      <c r="Q478">
        <f>Q477+0.3</f>
        <v/>
      </c>
      <c r="R478">
        <f>R477+0.05</f>
        <v/>
      </c>
      <c r="S478">
        <f>S477+0.01</f>
        <v/>
      </c>
      <c r="T478">
        <f>T477+0.7</f>
        <v/>
      </c>
      <c r="U478">
        <f>U477+1.1</f>
        <v/>
      </c>
      <c r="V478">
        <f>V477+0.25</f>
        <v/>
      </c>
      <c r="W478">
        <f>W477+0.5</f>
        <v/>
      </c>
    </row>
    <row r="479">
      <c r="E479">
        <f>O479=ROUND(468*0.1,10)</f>
        <v/>
      </c>
      <c r="F479">
        <f>P479=ROUND(468*0.2,10)</f>
        <v/>
      </c>
      <c r="G479">
        <f>Q479=ROUND(468*0.3,10)</f>
        <v/>
      </c>
      <c r="H479">
        <f>R479=ROUND(468*0.05,10)</f>
        <v/>
      </c>
      <c r="I479">
        <f>S479=ROUND(468*0.01,10)</f>
        <v/>
      </c>
      <c r="J479">
        <f>T479=ROUND(468*0.7,10)</f>
        <v/>
      </c>
      <c r="K479">
        <f>U479=ROUND(468*1.1,10)</f>
        <v/>
      </c>
      <c r="L479">
        <f>V479=ROUND(468*0.25,10)</f>
        <v/>
      </c>
      <c r="M479">
        <f>W479=ROUND(468*0.5,10)</f>
        <v/>
      </c>
      <c r="O479">
        <f>O478+0.1</f>
        <v/>
      </c>
      <c r="P479">
        <f>P478+0.2</f>
        <v/>
      </c>
      <c r="Q479">
        <f>Q478+0.3</f>
        <v/>
      </c>
      <c r="R479">
        <f>R478+0.05</f>
        <v/>
      </c>
      <c r="S479">
        <f>S478+0.01</f>
        <v/>
      </c>
      <c r="T479">
        <f>T478+0.7</f>
        <v/>
      </c>
      <c r="U479">
        <f>U478+1.1</f>
        <v/>
      </c>
      <c r="V479">
        <f>V478+0.25</f>
        <v/>
      </c>
      <c r="W479">
        <f>W478+0.5</f>
        <v/>
      </c>
    </row>
    <row r="480">
      <c r="E480">
        <f>O480=ROUND(469*0.1,10)</f>
        <v/>
      </c>
      <c r="F480">
        <f>P480=ROUND(469*0.2,10)</f>
        <v/>
      </c>
      <c r="G480">
        <f>Q480=ROUND(469*0.3,10)</f>
        <v/>
      </c>
      <c r="H480">
        <f>R480=ROUND(469*0.05,10)</f>
        <v/>
      </c>
      <c r="I480">
        <f>S480=ROUND(469*0.01,10)</f>
        <v/>
      </c>
      <c r="J480">
        <f>T480=ROUND(469*0.7,10)</f>
        <v/>
      </c>
      <c r="K480">
        <f>U480=ROUND(469*1.1,10)</f>
        <v/>
      </c>
      <c r="L480">
        <f>V480=ROUND(469*0.25,10)</f>
        <v/>
      </c>
      <c r="M480">
        <f>W480=ROUND(469*0.5,10)</f>
        <v/>
      </c>
      <c r="O480">
        <f>O479+0.1</f>
        <v/>
      </c>
      <c r="P480">
        <f>P479+0.2</f>
        <v/>
      </c>
      <c r="Q480">
        <f>Q479+0.3</f>
        <v/>
      </c>
      <c r="R480">
        <f>R479+0.05</f>
        <v/>
      </c>
      <c r="S480">
        <f>S479+0.01</f>
        <v/>
      </c>
      <c r="T480">
        <f>T479+0.7</f>
        <v/>
      </c>
      <c r="U480">
        <f>U479+1.1</f>
        <v/>
      </c>
      <c r="V480">
        <f>V479+0.25</f>
        <v/>
      </c>
      <c r="W480">
        <f>W479+0.5</f>
        <v/>
      </c>
    </row>
    <row r="481">
      <c r="E481">
        <f>O481=ROUND(470*0.1,10)</f>
        <v/>
      </c>
      <c r="F481">
        <f>P481=ROUND(470*0.2,10)</f>
        <v/>
      </c>
      <c r="G481">
        <f>Q481=ROUND(470*0.3,10)</f>
        <v/>
      </c>
      <c r="H481">
        <f>R481=ROUND(470*0.05,10)</f>
        <v/>
      </c>
      <c r="I481">
        <f>S481=ROUND(470*0.01,10)</f>
        <v/>
      </c>
      <c r="J481">
        <f>T481=ROUND(470*0.7,10)</f>
        <v/>
      </c>
      <c r="K481">
        <f>U481=ROUND(470*1.1,10)</f>
        <v/>
      </c>
      <c r="L481">
        <f>V481=ROUND(470*0.25,10)</f>
        <v/>
      </c>
      <c r="M481">
        <f>W481=ROUND(470*0.5,10)</f>
        <v/>
      </c>
      <c r="O481">
        <f>O480+0.1</f>
        <v/>
      </c>
      <c r="P481">
        <f>P480+0.2</f>
        <v/>
      </c>
      <c r="Q481">
        <f>Q480+0.3</f>
        <v/>
      </c>
      <c r="R481">
        <f>R480+0.05</f>
        <v/>
      </c>
      <c r="S481">
        <f>S480+0.01</f>
        <v/>
      </c>
      <c r="T481">
        <f>T480+0.7</f>
        <v/>
      </c>
      <c r="U481">
        <f>U480+1.1</f>
        <v/>
      </c>
      <c r="V481">
        <f>V480+0.25</f>
        <v/>
      </c>
      <c r="W481">
        <f>W480+0.5</f>
        <v/>
      </c>
    </row>
    <row r="482">
      <c r="E482">
        <f>O482=ROUND(471*0.1,10)</f>
        <v/>
      </c>
      <c r="F482">
        <f>P482=ROUND(471*0.2,10)</f>
        <v/>
      </c>
      <c r="G482">
        <f>Q482=ROUND(471*0.3,10)</f>
        <v/>
      </c>
      <c r="H482">
        <f>R482=ROUND(471*0.05,10)</f>
        <v/>
      </c>
      <c r="I482">
        <f>S482=ROUND(471*0.01,10)</f>
        <v/>
      </c>
      <c r="J482">
        <f>T482=ROUND(471*0.7,10)</f>
        <v/>
      </c>
      <c r="K482">
        <f>U482=ROUND(471*1.1,10)</f>
        <v/>
      </c>
      <c r="L482">
        <f>V482=ROUND(471*0.25,10)</f>
        <v/>
      </c>
      <c r="M482">
        <f>W482=ROUND(471*0.5,10)</f>
        <v/>
      </c>
      <c r="O482">
        <f>O481+0.1</f>
        <v/>
      </c>
      <c r="P482">
        <f>P481+0.2</f>
        <v/>
      </c>
      <c r="Q482">
        <f>Q481+0.3</f>
        <v/>
      </c>
      <c r="R482">
        <f>R481+0.05</f>
        <v/>
      </c>
      <c r="S482">
        <f>S481+0.01</f>
        <v/>
      </c>
      <c r="T482">
        <f>T481+0.7</f>
        <v/>
      </c>
      <c r="U482">
        <f>U481+1.1</f>
        <v/>
      </c>
      <c r="V482">
        <f>V481+0.25</f>
        <v/>
      </c>
      <c r="W482">
        <f>W481+0.5</f>
        <v/>
      </c>
    </row>
    <row r="483">
      <c r="E483">
        <f>O483=ROUND(472*0.1,10)</f>
        <v/>
      </c>
      <c r="F483">
        <f>P483=ROUND(472*0.2,10)</f>
        <v/>
      </c>
      <c r="G483">
        <f>Q483=ROUND(472*0.3,10)</f>
        <v/>
      </c>
      <c r="H483">
        <f>R483=ROUND(472*0.05,10)</f>
        <v/>
      </c>
      <c r="I483">
        <f>S483=ROUND(472*0.01,10)</f>
        <v/>
      </c>
      <c r="J483">
        <f>T483=ROUND(472*0.7,10)</f>
        <v/>
      </c>
      <c r="K483">
        <f>U483=ROUND(472*1.1,10)</f>
        <v/>
      </c>
      <c r="L483">
        <f>V483=ROUND(472*0.25,10)</f>
        <v/>
      </c>
      <c r="M483">
        <f>W483=ROUND(472*0.5,10)</f>
        <v/>
      </c>
      <c r="O483">
        <f>O482+0.1</f>
        <v/>
      </c>
      <c r="P483">
        <f>P482+0.2</f>
        <v/>
      </c>
      <c r="Q483">
        <f>Q482+0.3</f>
        <v/>
      </c>
      <c r="R483">
        <f>R482+0.05</f>
        <v/>
      </c>
      <c r="S483">
        <f>S482+0.01</f>
        <v/>
      </c>
      <c r="T483">
        <f>T482+0.7</f>
        <v/>
      </c>
      <c r="U483">
        <f>U482+1.1</f>
        <v/>
      </c>
      <c r="V483">
        <f>V482+0.25</f>
        <v/>
      </c>
      <c r="W483">
        <f>W482+0.5</f>
        <v/>
      </c>
    </row>
    <row r="484">
      <c r="E484">
        <f>O484=ROUND(473*0.1,10)</f>
        <v/>
      </c>
      <c r="F484">
        <f>P484=ROUND(473*0.2,10)</f>
        <v/>
      </c>
      <c r="G484">
        <f>Q484=ROUND(473*0.3,10)</f>
        <v/>
      </c>
      <c r="H484">
        <f>R484=ROUND(473*0.05,10)</f>
        <v/>
      </c>
      <c r="I484">
        <f>S484=ROUND(473*0.01,10)</f>
        <v/>
      </c>
      <c r="J484">
        <f>T484=ROUND(473*0.7,10)</f>
        <v/>
      </c>
      <c r="K484">
        <f>U484=ROUND(473*1.1,10)</f>
        <v/>
      </c>
      <c r="L484">
        <f>V484=ROUND(473*0.25,10)</f>
        <v/>
      </c>
      <c r="M484">
        <f>W484=ROUND(473*0.5,10)</f>
        <v/>
      </c>
      <c r="O484">
        <f>O483+0.1</f>
        <v/>
      </c>
      <c r="P484">
        <f>P483+0.2</f>
        <v/>
      </c>
      <c r="Q484">
        <f>Q483+0.3</f>
        <v/>
      </c>
      <c r="R484">
        <f>R483+0.05</f>
        <v/>
      </c>
      <c r="S484">
        <f>S483+0.01</f>
        <v/>
      </c>
      <c r="T484">
        <f>T483+0.7</f>
        <v/>
      </c>
      <c r="U484">
        <f>U483+1.1</f>
        <v/>
      </c>
      <c r="V484">
        <f>V483+0.25</f>
        <v/>
      </c>
      <c r="W484">
        <f>W483+0.5</f>
        <v/>
      </c>
    </row>
    <row r="485">
      <c r="E485">
        <f>O485=ROUND(474*0.1,10)</f>
        <v/>
      </c>
      <c r="F485">
        <f>P485=ROUND(474*0.2,10)</f>
        <v/>
      </c>
      <c r="G485">
        <f>Q485=ROUND(474*0.3,10)</f>
        <v/>
      </c>
      <c r="H485">
        <f>R485=ROUND(474*0.05,10)</f>
        <v/>
      </c>
      <c r="I485">
        <f>S485=ROUND(474*0.01,10)</f>
        <v/>
      </c>
      <c r="J485">
        <f>T485=ROUND(474*0.7,10)</f>
        <v/>
      </c>
      <c r="K485">
        <f>U485=ROUND(474*1.1,10)</f>
        <v/>
      </c>
      <c r="L485">
        <f>V485=ROUND(474*0.25,10)</f>
        <v/>
      </c>
      <c r="M485">
        <f>W485=ROUND(474*0.5,10)</f>
        <v/>
      </c>
      <c r="O485">
        <f>O484+0.1</f>
        <v/>
      </c>
      <c r="P485">
        <f>P484+0.2</f>
        <v/>
      </c>
      <c r="Q485">
        <f>Q484+0.3</f>
        <v/>
      </c>
      <c r="R485">
        <f>R484+0.05</f>
        <v/>
      </c>
      <c r="S485">
        <f>S484+0.01</f>
        <v/>
      </c>
      <c r="T485">
        <f>T484+0.7</f>
        <v/>
      </c>
      <c r="U485">
        <f>U484+1.1</f>
        <v/>
      </c>
      <c r="V485">
        <f>V484+0.25</f>
        <v/>
      </c>
      <c r="W485">
        <f>W484+0.5</f>
        <v/>
      </c>
    </row>
    <row r="486">
      <c r="E486">
        <f>O486=ROUND(475*0.1,10)</f>
        <v/>
      </c>
      <c r="F486">
        <f>P486=ROUND(475*0.2,10)</f>
        <v/>
      </c>
      <c r="G486">
        <f>Q486=ROUND(475*0.3,10)</f>
        <v/>
      </c>
      <c r="H486">
        <f>R486=ROUND(475*0.05,10)</f>
        <v/>
      </c>
      <c r="I486">
        <f>S486=ROUND(475*0.01,10)</f>
        <v/>
      </c>
      <c r="J486">
        <f>T486=ROUND(475*0.7,10)</f>
        <v/>
      </c>
      <c r="K486">
        <f>U486=ROUND(475*1.1,10)</f>
        <v/>
      </c>
      <c r="L486">
        <f>V486=ROUND(475*0.25,10)</f>
        <v/>
      </c>
      <c r="M486">
        <f>W486=ROUND(475*0.5,10)</f>
        <v/>
      </c>
      <c r="O486">
        <f>O485+0.1</f>
        <v/>
      </c>
      <c r="P486">
        <f>P485+0.2</f>
        <v/>
      </c>
      <c r="Q486">
        <f>Q485+0.3</f>
        <v/>
      </c>
      <c r="R486">
        <f>R485+0.05</f>
        <v/>
      </c>
      <c r="S486">
        <f>S485+0.01</f>
        <v/>
      </c>
      <c r="T486">
        <f>T485+0.7</f>
        <v/>
      </c>
      <c r="U486">
        <f>U485+1.1</f>
        <v/>
      </c>
      <c r="V486">
        <f>V485+0.25</f>
        <v/>
      </c>
      <c r="W486">
        <f>W485+0.5</f>
        <v/>
      </c>
    </row>
    <row r="487">
      <c r="E487">
        <f>O487=ROUND(476*0.1,10)</f>
        <v/>
      </c>
      <c r="F487">
        <f>P487=ROUND(476*0.2,10)</f>
        <v/>
      </c>
      <c r="G487">
        <f>Q487=ROUND(476*0.3,10)</f>
        <v/>
      </c>
      <c r="H487">
        <f>R487=ROUND(476*0.05,10)</f>
        <v/>
      </c>
      <c r="I487">
        <f>S487=ROUND(476*0.01,10)</f>
        <v/>
      </c>
      <c r="J487">
        <f>T487=ROUND(476*0.7,10)</f>
        <v/>
      </c>
      <c r="K487">
        <f>U487=ROUND(476*1.1,10)</f>
        <v/>
      </c>
      <c r="L487">
        <f>V487=ROUND(476*0.25,10)</f>
        <v/>
      </c>
      <c r="M487">
        <f>W487=ROUND(476*0.5,10)</f>
        <v/>
      </c>
      <c r="O487">
        <f>O486+0.1</f>
        <v/>
      </c>
      <c r="P487">
        <f>P486+0.2</f>
        <v/>
      </c>
      <c r="Q487">
        <f>Q486+0.3</f>
        <v/>
      </c>
      <c r="R487">
        <f>R486+0.05</f>
        <v/>
      </c>
      <c r="S487">
        <f>S486+0.01</f>
        <v/>
      </c>
      <c r="T487">
        <f>T486+0.7</f>
        <v/>
      </c>
      <c r="U487">
        <f>U486+1.1</f>
        <v/>
      </c>
      <c r="V487">
        <f>V486+0.25</f>
        <v/>
      </c>
      <c r="W487">
        <f>W486+0.5</f>
        <v/>
      </c>
    </row>
    <row r="488">
      <c r="E488">
        <f>O488=ROUND(477*0.1,10)</f>
        <v/>
      </c>
      <c r="F488">
        <f>P488=ROUND(477*0.2,10)</f>
        <v/>
      </c>
      <c r="G488">
        <f>Q488=ROUND(477*0.3,10)</f>
        <v/>
      </c>
      <c r="H488">
        <f>R488=ROUND(477*0.05,10)</f>
        <v/>
      </c>
      <c r="I488">
        <f>S488=ROUND(477*0.01,10)</f>
        <v/>
      </c>
      <c r="J488">
        <f>T488=ROUND(477*0.7,10)</f>
        <v/>
      </c>
      <c r="K488">
        <f>U488=ROUND(477*1.1,10)</f>
        <v/>
      </c>
      <c r="L488">
        <f>V488=ROUND(477*0.25,10)</f>
        <v/>
      </c>
      <c r="M488">
        <f>W488=ROUND(477*0.5,10)</f>
        <v/>
      </c>
      <c r="O488">
        <f>O487+0.1</f>
        <v/>
      </c>
      <c r="P488">
        <f>P487+0.2</f>
        <v/>
      </c>
      <c r="Q488">
        <f>Q487+0.3</f>
        <v/>
      </c>
      <c r="R488">
        <f>R487+0.05</f>
        <v/>
      </c>
      <c r="S488">
        <f>S487+0.01</f>
        <v/>
      </c>
      <c r="T488">
        <f>T487+0.7</f>
        <v/>
      </c>
      <c r="U488">
        <f>U487+1.1</f>
        <v/>
      </c>
      <c r="V488">
        <f>V487+0.25</f>
        <v/>
      </c>
      <c r="W488">
        <f>W487+0.5</f>
        <v/>
      </c>
    </row>
    <row r="489">
      <c r="E489">
        <f>O489=ROUND(478*0.1,10)</f>
        <v/>
      </c>
      <c r="F489">
        <f>P489=ROUND(478*0.2,10)</f>
        <v/>
      </c>
      <c r="G489">
        <f>Q489=ROUND(478*0.3,10)</f>
        <v/>
      </c>
      <c r="H489">
        <f>R489=ROUND(478*0.05,10)</f>
        <v/>
      </c>
      <c r="I489">
        <f>S489=ROUND(478*0.01,10)</f>
        <v/>
      </c>
      <c r="J489">
        <f>T489=ROUND(478*0.7,10)</f>
        <v/>
      </c>
      <c r="K489">
        <f>U489=ROUND(478*1.1,10)</f>
        <v/>
      </c>
      <c r="L489">
        <f>V489=ROUND(478*0.25,10)</f>
        <v/>
      </c>
      <c r="M489">
        <f>W489=ROUND(478*0.5,10)</f>
        <v/>
      </c>
      <c r="O489">
        <f>O488+0.1</f>
        <v/>
      </c>
      <c r="P489">
        <f>P488+0.2</f>
        <v/>
      </c>
      <c r="Q489">
        <f>Q488+0.3</f>
        <v/>
      </c>
      <c r="R489">
        <f>R488+0.05</f>
        <v/>
      </c>
      <c r="S489">
        <f>S488+0.01</f>
        <v/>
      </c>
      <c r="T489">
        <f>T488+0.7</f>
        <v/>
      </c>
      <c r="U489">
        <f>U488+1.1</f>
        <v/>
      </c>
      <c r="V489">
        <f>V488+0.25</f>
        <v/>
      </c>
      <c r="W489">
        <f>W488+0.5</f>
        <v/>
      </c>
    </row>
    <row r="490">
      <c r="E490">
        <f>O490=ROUND(479*0.1,10)</f>
        <v/>
      </c>
      <c r="F490">
        <f>P490=ROUND(479*0.2,10)</f>
        <v/>
      </c>
      <c r="G490">
        <f>Q490=ROUND(479*0.3,10)</f>
        <v/>
      </c>
      <c r="H490">
        <f>R490=ROUND(479*0.05,10)</f>
        <v/>
      </c>
      <c r="I490">
        <f>S490=ROUND(479*0.01,10)</f>
        <v/>
      </c>
      <c r="J490">
        <f>T490=ROUND(479*0.7,10)</f>
        <v/>
      </c>
      <c r="K490">
        <f>U490=ROUND(479*1.1,10)</f>
        <v/>
      </c>
      <c r="L490">
        <f>V490=ROUND(479*0.25,10)</f>
        <v/>
      </c>
      <c r="M490">
        <f>W490=ROUND(479*0.5,10)</f>
        <v/>
      </c>
      <c r="O490">
        <f>O489+0.1</f>
        <v/>
      </c>
      <c r="P490">
        <f>P489+0.2</f>
        <v/>
      </c>
      <c r="Q490">
        <f>Q489+0.3</f>
        <v/>
      </c>
      <c r="R490">
        <f>R489+0.05</f>
        <v/>
      </c>
      <c r="S490">
        <f>S489+0.01</f>
        <v/>
      </c>
      <c r="T490">
        <f>T489+0.7</f>
        <v/>
      </c>
      <c r="U490">
        <f>U489+1.1</f>
        <v/>
      </c>
      <c r="V490">
        <f>V489+0.25</f>
        <v/>
      </c>
      <c r="W490">
        <f>W489+0.5</f>
        <v/>
      </c>
    </row>
    <row r="491">
      <c r="E491">
        <f>O491=ROUND(480*0.1,10)</f>
        <v/>
      </c>
      <c r="F491">
        <f>P491=ROUND(480*0.2,10)</f>
        <v/>
      </c>
      <c r="G491">
        <f>Q491=ROUND(480*0.3,10)</f>
        <v/>
      </c>
      <c r="H491">
        <f>R491=ROUND(480*0.05,10)</f>
        <v/>
      </c>
      <c r="I491">
        <f>S491=ROUND(480*0.01,10)</f>
        <v/>
      </c>
      <c r="J491">
        <f>T491=ROUND(480*0.7,10)</f>
        <v/>
      </c>
      <c r="K491">
        <f>U491=ROUND(480*1.1,10)</f>
        <v/>
      </c>
      <c r="L491">
        <f>V491=ROUND(480*0.25,10)</f>
        <v/>
      </c>
      <c r="M491">
        <f>W491=ROUND(480*0.5,10)</f>
        <v/>
      </c>
      <c r="O491">
        <f>O490+0.1</f>
        <v/>
      </c>
      <c r="P491">
        <f>P490+0.2</f>
        <v/>
      </c>
      <c r="Q491">
        <f>Q490+0.3</f>
        <v/>
      </c>
      <c r="R491">
        <f>R490+0.05</f>
        <v/>
      </c>
      <c r="S491">
        <f>S490+0.01</f>
        <v/>
      </c>
      <c r="T491">
        <f>T490+0.7</f>
        <v/>
      </c>
      <c r="U491">
        <f>U490+1.1</f>
        <v/>
      </c>
      <c r="V491">
        <f>V490+0.25</f>
        <v/>
      </c>
      <c r="W491">
        <f>W490+0.5</f>
        <v/>
      </c>
    </row>
    <row r="492">
      <c r="E492">
        <f>O492=ROUND(481*0.1,10)</f>
        <v/>
      </c>
      <c r="F492">
        <f>P492=ROUND(481*0.2,10)</f>
        <v/>
      </c>
      <c r="G492">
        <f>Q492=ROUND(481*0.3,10)</f>
        <v/>
      </c>
      <c r="H492">
        <f>R492=ROUND(481*0.05,10)</f>
        <v/>
      </c>
      <c r="I492">
        <f>S492=ROUND(481*0.01,10)</f>
        <v/>
      </c>
      <c r="J492">
        <f>T492=ROUND(481*0.7,10)</f>
        <v/>
      </c>
      <c r="K492">
        <f>U492=ROUND(481*1.1,10)</f>
        <v/>
      </c>
      <c r="L492">
        <f>V492=ROUND(481*0.25,10)</f>
        <v/>
      </c>
      <c r="M492">
        <f>W492=ROUND(481*0.5,10)</f>
        <v/>
      </c>
      <c r="O492">
        <f>O491+0.1</f>
        <v/>
      </c>
      <c r="P492">
        <f>P491+0.2</f>
        <v/>
      </c>
      <c r="Q492">
        <f>Q491+0.3</f>
        <v/>
      </c>
      <c r="R492">
        <f>R491+0.05</f>
        <v/>
      </c>
      <c r="S492">
        <f>S491+0.01</f>
        <v/>
      </c>
      <c r="T492">
        <f>T491+0.7</f>
        <v/>
      </c>
      <c r="U492">
        <f>U491+1.1</f>
        <v/>
      </c>
      <c r="V492">
        <f>V491+0.25</f>
        <v/>
      </c>
      <c r="W492">
        <f>W491+0.5</f>
        <v/>
      </c>
    </row>
    <row r="493">
      <c r="E493">
        <f>O493=ROUND(482*0.1,10)</f>
        <v/>
      </c>
      <c r="F493">
        <f>P493=ROUND(482*0.2,10)</f>
        <v/>
      </c>
      <c r="G493">
        <f>Q493=ROUND(482*0.3,10)</f>
        <v/>
      </c>
      <c r="H493">
        <f>R493=ROUND(482*0.05,10)</f>
        <v/>
      </c>
      <c r="I493">
        <f>S493=ROUND(482*0.01,10)</f>
        <v/>
      </c>
      <c r="J493">
        <f>T493=ROUND(482*0.7,10)</f>
        <v/>
      </c>
      <c r="K493">
        <f>U493=ROUND(482*1.1,10)</f>
        <v/>
      </c>
      <c r="L493">
        <f>V493=ROUND(482*0.25,10)</f>
        <v/>
      </c>
      <c r="M493">
        <f>W493=ROUND(482*0.5,10)</f>
        <v/>
      </c>
      <c r="O493">
        <f>O492+0.1</f>
        <v/>
      </c>
      <c r="P493">
        <f>P492+0.2</f>
        <v/>
      </c>
      <c r="Q493">
        <f>Q492+0.3</f>
        <v/>
      </c>
      <c r="R493">
        <f>R492+0.05</f>
        <v/>
      </c>
      <c r="S493">
        <f>S492+0.01</f>
        <v/>
      </c>
      <c r="T493">
        <f>T492+0.7</f>
        <v/>
      </c>
      <c r="U493">
        <f>U492+1.1</f>
        <v/>
      </c>
      <c r="V493">
        <f>V492+0.25</f>
        <v/>
      </c>
      <c r="W493">
        <f>W492+0.5</f>
        <v/>
      </c>
    </row>
    <row r="494">
      <c r="E494">
        <f>O494=ROUND(483*0.1,10)</f>
        <v/>
      </c>
      <c r="F494">
        <f>P494=ROUND(483*0.2,10)</f>
        <v/>
      </c>
      <c r="G494">
        <f>Q494=ROUND(483*0.3,10)</f>
        <v/>
      </c>
      <c r="H494">
        <f>R494=ROUND(483*0.05,10)</f>
        <v/>
      </c>
      <c r="I494">
        <f>S494=ROUND(483*0.01,10)</f>
        <v/>
      </c>
      <c r="J494">
        <f>T494=ROUND(483*0.7,10)</f>
        <v/>
      </c>
      <c r="K494">
        <f>U494=ROUND(483*1.1,10)</f>
        <v/>
      </c>
      <c r="L494">
        <f>V494=ROUND(483*0.25,10)</f>
        <v/>
      </c>
      <c r="M494">
        <f>W494=ROUND(483*0.5,10)</f>
        <v/>
      </c>
      <c r="O494">
        <f>O493+0.1</f>
        <v/>
      </c>
      <c r="P494">
        <f>P493+0.2</f>
        <v/>
      </c>
      <c r="Q494">
        <f>Q493+0.3</f>
        <v/>
      </c>
      <c r="R494">
        <f>R493+0.05</f>
        <v/>
      </c>
      <c r="S494">
        <f>S493+0.01</f>
        <v/>
      </c>
      <c r="T494">
        <f>T493+0.7</f>
        <v/>
      </c>
      <c r="U494">
        <f>U493+1.1</f>
        <v/>
      </c>
      <c r="V494">
        <f>V493+0.25</f>
        <v/>
      </c>
      <c r="W494">
        <f>W493+0.5</f>
        <v/>
      </c>
    </row>
    <row r="495">
      <c r="E495">
        <f>O495=ROUND(484*0.1,10)</f>
        <v/>
      </c>
      <c r="F495">
        <f>P495=ROUND(484*0.2,10)</f>
        <v/>
      </c>
      <c r="G495">
        <f>Q495=ROUND(484*0.3,10)</f>
        <v/>
      </c>
      <c r="H495">
        <f>R495=ROUND(484*0.05,10)</f>
        <v/>
      </c>
      <c r="I495">
        <f>S495=ROUND(484*0.01,10)</f>
        <v/>
      </c>
      <c r="J495">
        <f>T495=ROUND(484*0.7,10)</f>
        <v/>
      </c>
      <c r="K495">
        <f>U495=ROUND(484*1.1,10)</f>
        <v/>
      </c>
      <c r="L495">
        <f>V495=ROUND(484*0.25,10)</f>
        <v/>
      </c>
      <c r="M495">
        <f>W495=ROUND(484*0.5,10)</f>
        <v/>
      </c>
      <c r="O495">
        <f>O494+0.1</f>
        <v/>
      </c>
      <c r="P495">
        <f>P494+0.2</f>
        <v/>
      </c>
      <c r="Q495">
        <f>Q494+0.3</f>
        <v/>
      </c>
      <c r="R495">
        <f>R494+0.05</f>
        <v/>
      </c>
      <c r="S495">
        <f>S494+0.01</f>
        <v/>
      </c>
      <c r="T495">
        <f>T494+0.7</f>
        <v/>
      </c>
      <c r="U495">
        <f>U494+1.1</f>
        <v/>
      </c>
      <c r="V495">
        <f>V494+0.25</f>
        <v/>
      </c>
      <c r="W495">
        <f>W494+0.5</f>
        <v/>
      </c>
    </row>
    <row r="496">
      <c r="E496">
        <f>O496=ROUND(485*0.1,10)</f>
        <v/>
      </c>
      <c r="F496">
        <f>P496=ROUND(485*0.2,10)</f>
        <v/>
      </c>
      <c r="G496">
        <f>Q496=ROUND(485*0.3,10)</f>
        <v/>
      </c>
      <c r="H496">
        <f>R496=ROUND(485*0.05,10)</f>
        <v/>
      </c>
      <c r="I496">
        <f>S496=ROUND(485*0.01,10)</f>
        <v/>
      </c>
      <c r="J496">
        <f>T496=ROUND(485*0.7,10)</f>
        <v/>
      </c>
      <c r="K496">
        <f>U496=ROUND(485*1.1,10)</f>
        <v/>
      </c>
      <c r="L496">
        <f>V496=ROUND(485*0.25,10)</f>
        <v/>
      </c>
      <c r="M496">
        <f>W496=ROUND(485*0.5,10)</f>
        <v/>
      </c>
      <c r="O496">
        <f>O495+0.1</f>
        <v/>
      </c>
      <c r="P496">
        <f>P495+0.2</f>
        <v/>
      </c>
      <c r="Q496">
        <f>Q495+0.3</f>
        <v/>
      </c>
      <c r="R496">
        <f>R495+0.05</f>
        <v/>
      </c>
      <c r="S496">
        <f>S495+0.01</f>
        <v/>
      </c>
      <c r="T496">
        <f>T495+0.7</f>
        <v/>
      </c>
      <c r="U496">
        <f>U495+1.1</f>
        <v/>
      </c>
      <c r="V496">
        <f>V495+0.25</f>
        <v/>
      </c>
      <c r="W496">
        <f>W495+0.5</f>
        <v/>
      </c>
    </row>
    <row r="497">
      <c r="E497">
        <f>O497=ROUND(486*0.1,10)</f>
        <v/>
      </c>
      <c r="F497">
        <f>P497=ROUND(486*0.2,10)</f>
        <v/>
      </c>
      <c r="G497">
        <f>Q497=ROUND(486*0.3,10)</f>
        <v/>
      </c>
      <c r="H497">
        <f>R497=ROUND(486*0.05,10)</f>
        <v/>
      </c>
      <c r="I497">
        <f>S497=ROUND(486*0.01,10)</f>
        <v/>
      </c>
      <c r="J497">
        <f>T497=ROUND(486*0.7,10)</f>
        <v/>
      </c>
      <c r="K497">
        <f>U497=ROUND(486*1.1,10)</f>
        <v/>
      </c>
      <c r="L497">
        <f>V497=ROUND(486*0.25,10)</f>
        <v/>
      </c>
      <c r="M497">
        <f>W497=ROUND(486*0.5,10)</f>
        <v/>
      </c>
      <c r="O497">
        <f>O496+0.1</f>
        <v/>
      </c>
      <c r="P497">
        <f>P496+0.2</f>
        <v/>
      </c>
      <c r="Q497">
        <f>Q496+0.3</f>
        <v/>
      </c>
      <c r="R497">
        <f>R496+0.05</f>
        <v/>
      </c>
      <c r="S497">
        <f>S496+0.01</f>
        <v/>
      </c>
      <c r="T497">
        <f>T496+0.7</f>
        <v/>
      </c>
      <c r="U497">
        <f>U496+1.1</f>
        <v/>
      </c>
      <c r="V497">
        <f>V496+0.25</f>
        <v/>
      </c>
      <c r="W497">
        <f>W496+0.5</f>
        <v/>
      </c>
    </row>
    <row r="498">
      <c r="E498">
        <f>O498=ROUND(487*0.1,10)</f>
        <v/>
      </c>
      <c r="F498">
        <f>P498=ROUND(487*0.2,10)</f>
        <v/>
      </c>
      <c r="G498">
        <f>Q498=ROUND(487*0.3,10)</f>
        <v/>
      </c>
      <c r="H498">
        <f>R498=ROUND(487*0.05,10)</f>
        <v/>
      </c>
      <c r="I498">
        <f>S498=ROUND(487*0.01,10)</f>
        <v/>
      </c>
      <c r="J498">
        <f>T498=ROUND(487*0.7,10)</f>
        <v/>
      </c>
      <c r="K498">
        <f>U498=ROUND(487*1.1,10)</f>
        <v/>
      </c>
      <c r="L498">
        <f>V498=ROUND(487*0.25,10)</f>
        <v/>
      </c>
      <c r="M498">
        <f>W498=ROUND(487*0.5,10)</f>
        <v/>
      </c>
      <c r="O498">
        <f>O497+0.1</f>
        <v/>
      </c>
      <c r="P498">
        <f>P497+0.2</f>
        <v/>
      </c>
      <c r="Q498">
        <f>Q497+0.3</f>
        <v/>
      </c>
      <c r="R498">
        <f>R497+0.05</f>
        <v/>
      </c>
      <c r="S498">
        <f>S497+0.01</f>
        <v/>
      </c>
      <c r="T498">
        <f>T497+0.7</f>
        <v/>
      </c>
      <c r="U498">
        <f>U497+1.1</f>
        <v/>
      </c>
      <c r="V498">
        <f>V497+0.25</f>
        <v/>
      </c>
      <c r="W498">
        <f>W497+0.5</f>
        <v/>
      </c>
    </row>
    <row r="499">
      <c r="E499">
        <f>O499=ROUND(488*0.1,10)</f>
        <v/>
      </c>
      <c r="F499">
        <f>P499=ROUND(488*0.2,10)</f>
        <v/>
      </c>
      <c r="G499">
        <f>Q499=ROUND(488*0.3,10)</f>
        <v/>
      </c>
      <c r="H499">
        <f>R499=ROUND(488*0.05,10)</f>
        <v/>
      </c>
      <c r="I499">
        <f>S499=ROUND(488*0.01,10)</f>
        <v/>
      </c>
      <c r="J499">
        <f>T499=ROUND(488*0.7,10)</f>
        <v/>
      </c>
      <c r="K499">
        <f>U499=ROUND(488*1.1,10)</f>
        <v/>
      </c>
      <c r="L499">
        <f>V499=ROUND(488*0.25,10)</f>
        <v/>
      </c>
      <c r="M499">
        <f>W499=ROUND(488*0.5,10)</f>
        <v/>
      </c>
      <c r="O499">
        <f>O498+0.1</f>
        <v/>
      </c>
      <c r="P499">
        <f>P498+0.2</f>
        <v/>
      </c>
      <c r="Q499">
        <f>Q498+0.3</f>
        <v/>
      </c>
      <c r="R499">
        <f>R498+0.05</f>
        <v/>
      </c>
      <c r="S499">
        <f>S498+0.01</f>
        <v/>
      </c>
      <c r="T499">
        <f>T498+0.7</f>
        <v/>
      </c>
      <c r="U499">
        <f>U498+1.1</f>
        <v/>
      </c>
      <c r="V499">
        <f>V498+0.25</f>
        <v/>
      </c>
      <c r="W499">
        <f>W498+0.5</f>
        <v/>
      </c>
    </row>
    <row r="500">
      <c r="E500">
        <f>O500=ROUND(489*0.1,10)</f>
        <v/>
      </c>
      <c r="F500">
        <f>P500=ROUND(489*0.2,10)</f>
        <v/>
      </c>
      <c r="G500">
        <f>Q500=ROUND(489*0.3,10)</f>
        <v/>
      </c>
      <c r="H500">
        <f>R500=ROUND(489*0.05,10)</f>
        <v/>
      </c>
      <c r="I500">
        <f>S500=ROUND(489*0.01,10)</f>
        <v/>
      </c>
      <c r="J500">
        <f>T500=ROUND(489*0.7,10)</f>
        <v/>
      </c>
      <c r="K500">
        <f>U500=ROUND(489*1.1,10)</f>
        <v/>
      </c>
      <c r="L500">
        <f>V500=ROUND(489*0.25,10)</f>
        <v/>
      </c>
      <c r="M500">
        <f>W500=ROUND(489*0.5,10)</f>
        <v/>
      </c>
      <c r="O500">
        <f>O499+0.1</f>
        <v/>
      </c>
      <c r="P500">
        <f>P499+0.2</f>
        <v/>
      </c>
      <c r="Q500">
        <f>Q499+0.3</f>
        <v/>
      </c>
      <c r="R500">
        <f>R499+0.05</f>
        <v/>
      </c>
      <c r="S500">
        <f>S499+0.01</f>
        <v/>
      </c>
      <c r="T500">
        <f>T499+0.7</f>
        <v/>
      </c>
      <c r="U500">
        <f>U499+1.1</f>
        <v/>
      </c>
      <c r="V500">
        <f>V499+0.25</f>
        <v/>
      </c>
      <c r="W500">
        <f>W499+0.5</f>
        <v/>
      </c>
    </row>
    <row r="501">
      <c r="E501">
        <f>O501=ROUND(490*0.1,10)</f>
        <v/>
      </c>
      <c r="F501">
        <f>P501=ROUND(490*0.2,10)</f>
        <v/>
      </c>
      <c r="G501">
        <f>Q501=ROUND(490*0.3,10)</f>
        <v/>
      </c>
      <c r="H501">
        <f>R501=ROUND(490*0.05,10)</f>
        <v/>
      </c>
      <c r="I501">
        <f>S501=ROUND(490*0.01,10)</f>
        <v/>
      </c>
      <c r="J501">
        <f>T501=ROUND(490*0.7,10)</f>
        <v/>
      </c>
      <c r="K501">
        <f>U501=ROUND(490*1.1,10)</f>
        <v/>
      </c>
      <c r="L501">
        <f>V501=ROUND(490*0.25,10)</f>
        <v/>
      </c>
      <c r="M501">
        <f>W501=ROUND(490*0.5,10)</f>
        <v/>
      </c>
      <c r="O501">
        <f>O500+0.1</f>
        <v/>
      </c>
      <c r="P501">
        <f>P500+0.2</f>
        <v/>
      </c>
      <c r="Q501">
        <f>Q500+0.3</f>
        <v/>
      </c>
      <c r="R501">
        <f>R500+0.05</f>
        <v/>
      </c>
      <c r="S501">
        <f>S500+0.01</f>
        <v/>
      </c>
      <c r="T501">
        <f>T500+0.7</f>
        <v/>
      </c>
      <c r="U501">
        <f>U500+1.1</f>
        <v/>
      </c>
      <c r="V501">
        <f>V500+0.25</f>
        <v/>
      </c>
      <c r="W501">
        <f>W500+0.5</f>
        <v/>
      </c>
    </row>
    <row r="502">
      <c r="E502">
        <f>O502=ROUND(491*0.1,10)</f>
        <v/>
      </c>
      <c r="F502">
        <f>P502=ROUND(491*0.2,10)</f>
        <v/>
      </c>
      <c r="G502">
        <f>Q502=ROUND(491*0.3,10)</f>
        <v/>
      </c>
      <c r="H502">
        <f>R502=ROUND(491*0.05,10)</f>
        <v/>
      </c>
      <c r="I502">
        <f>S502=ROUND(491*0.01,10)</f>
        <v/>
      </c>
      <c r="J502">
        <f>T502=ROUND(491*0.7,10)</f>
        <v/>
      </c>
      <c r="K502">
        <f>U502=ROUND(491*1.1,10)</f>
        <v/>
      </c>
      <c r="L502">
        <f>V502=ROUND(491*0.25,10)</f>
        <v/>
      </c>
      <c r="M502">
        <f>W502=ROUND(491*0.5,10)</f>
        <v/>
      </c>
      <c r="O502">
        <f>O501+0.1</f>
        <v/>
      </c>
      <c r="P502">
        <f>P501+0.2</f>
        <v/>
      </c>
      <c r="Q502">
        <f>Q501+0.3</f>
        <v/>
      </c>
      <c r="R502">
        <f>R501+0.05</f>
        <v/>
      </c>
      <c r="S502">
        <f>S501+0.01</f>
        <v/>
      </c>
      <c r="T502">
        <f>T501+0.7</f>
        <v/>
      </c>
      <c r="U502">
        <f>U501+1.1</f>
        <v/>
      </c>
      <c r="V502">
        <f>V501+0.25</f>
        <v/>
      </c>
      <c r="W502">
        <f>W501+0.5</f>
        <v/>
      </c>
    </row>
    <row r="503">
      <c r="E503">
        <f>O503=ROUND(492*0.1,10)</f>
        <v/>
      </c>
      <c r="F503">
        <f>P503=ROUND(492*0.2,10)</f>
        <v/>
      </c>
      <c r="G503">
        <f>Q503=ROUND(492*0.3,10)</f>
        <v/>
      </c>
      <c r="H503">
        <f>R503=ROUND(492*0.05,10)</f>
        <v/>
      </c>
      <c r="I503">
        <f>S503=ROUND(492*0.01,10)</f>
        <v/>
      </c>
      <c r="J503">
        <f>T503=ROUND(492*0.7,10)</f>
        <v/>
      </c>
      <c r="K503">
        <f>U503=ROUND(492*1.1,10)</f>
        <v/>
      </c>
      <c r="L503">
        <f>V503=ROUND(492*0.25,10)</f>
        <v/>
      </c>
      <c r="M503">
        <f>W503=ROUND(492*0.5,10)</f>
        <v/>
      </c>
      <c r="O503">
        <f>O502+0.1</f>
        <v/>
      </c>
      <c r="P503">
        <f>P502+0.2</f>
        <v/>
      </c>
      <c r="Q503">
        <f>Q502+0.3</f>
        <v/>
      </c>
      <c r="R503">
        <f>R502+0.05</f>
        <v/>
      </c>
      <c r="S503">
        <f>S502+0.01</f>
        <v/>
      </c>
      <c r="T503">
        <f>T502+0.7</f>
        <v/>
      </c>
      <c r="U503">
        <f>U502+1.1</f>
        <v/>
      </c>
      <c r="V503">
        <f>V502+0.25</f>
        <v/>
      </c>
      <c r="W503">
        <f>W502+0.5</f>
        <v/>
      </c>
    </row>
    <row r="504">
      <c r="E504">
        <f>O504=ROUND(493*0.1,10)</f>
        <v/>
      </c>
      <c r="F504">
        <f>P504=ROUND(493*0.2,10)</f>
        <v/>
      </c>
      <c r="G504">
        <f>Q504=ROUND(493*0.3,10)</f>
        <v/>
      </c>
      <c r="H504">
        <f>R504=ROUND(493*0.05,10)</f>
        <v/>
      </c>
      <c r="I504">
        <f>S504=ROUND(493*0.01,10)</f>
        <v/>
      </c>
      <c r="J504">
        <f>T504=ROUND(493*0.7,10)</f>
        <v/>
      </c>
      <c r="K504">
        <f>U504=ROUND(493*1.1,10)</f>
        <v/>
      </c>
      <c r="L504">
        <f>V504=ROUND(493*0.25,10)</f>
        <v/>
      </c>
      <c r="M504">
        <f>W504=ROUND(493*0.5,10)</f>
        <v/>
      </c>
      <c r="O504">
        <f>O503+0.1</f>
        <v/>
      </c>
      <c r="P504">
        <f>P503+0.2</f>
        <v/>
      </c>
      <c r="Q504">
        <f>Q503+0.3</f>
        <v/>
      </c>
      <c r="R504">
        <f>R503+0.05</f>
        <v/>
      </c>
      <c r="S504">
        <f>S503+0.01</f>
        <v/>
      </c>
      <c r="T504">
        <f>T503+0.7</f>
        <v/>
      </c>
      <c r="U504">
        <f>U503+1.1</f>
        <v/>
      </c>
      <c r="V504">
        <f>V503+0.25</f>
        <v/>
      </c>
      <c r="W504">
        <f>W503+0.5</f>
        <v/>
      </c>
    </row>
    <row r="505">
      <c r="E505">
        <f>O505=ROUND(494*0.1,10)</f>
        <v/>
      </c>
      <c r="F505">
        <f>P505=ROUND(494*0.2,10)</f>
        <v/>
      </c>
      <c r="G505">
        <f>Q505=ROUND(494*0.3,10)</f>
        <v/>
      </c>
      <c r="H505">
        <f>R505=ROUND(494*0.05,10)</f>
        <v/>
      </c>
      <c r="I505">
        <f>S505=ROUND(494*0.01,10)</f>
        <v/>
      </c>
      <c r="J505">
        <f>T505=ROUND(494*0.7,10)</f>
        <v/>
      </c>
      <c r="K505">
        <f>U505=ROUND(494*1.1,10)</f>
        <v/>
      </c>
      <c r="L505">
        <f>V505=ROUND(494*0.25,10)</f>
        <v/>
      </c>
      <c r="M505">
        <f>W505=ROUND(494*0.5,10)</f>
        <v/>
      </c>
      <c r="O505">
        <f>O504+0.1</f>
        <v/>
      </c>
      <c r="P505">
        <f>P504+0.2</f>
        <v/>
      </c>
      <c r="Q505">
        <f>Q504+0.3</f>
        <v/>
      </c>
      <c r="R505">
        <f>R504+0.05</f>
        <v/>
      </c>
      <c r="S505">
        <f>S504+0.01</f>
        <v/>
      </c>
      <c r="T505">
        <f>T504+0.7</f>
        <v/>
      </c>
      <c r="U505">
        <f>U504+1.1</f>
        <v/>
      </c>
      <c r="V505">
        <f>V504+0.25</f>
        <v/>
      </c>
      <c r="W505">
        <f>W504+0.5</f>
        <v/>
      </c>
    </row>
    <row r="506">
      <c r="E506">
        <f>O506=ROUND(495*0.1,10)</f>
        <v/>
      </c>
      <c r="F506">
        <f>P506=ROUND(495*0.2,10)</f>
        <v/>
      </c>
      <c r="G506">
        <f>Q506=ROUND(495*0.3,10)</f>
        <v/>
      </c>
      <c r="H506">
        <f>R506=ROUND(495*0.05,10)</f>
        <v/>
      </c>
      <c r="I506">
        <f>S506=ROUND(495*0.01,10)</f>
        <v/>
      </c>
      <c r="J506">
        <f>T506=ROUND(495*0.7,10)</f>
        <v/>
      </c>
      <c r="K506">
        <f>U506=ROUND(495*1.1,10)</f>
        <v/>
      </c>
      <c r="L506">
        <f>V506=ROUND(495*0.25,10)</f>
        <v/>
      </c>
      <c r="M506">
        <f>W506=ROUND(495*0.5,10)</f>
        <v/>
      </c>
      <c r="O506">
        <f>O505+0.1</f>
        <v/>
      </c>
      <c r="P506">
        <f>P505+0.2</f>
        <v/>
      </c>
      <c r="Q506">
        <f>Q505+0.3</f>
        <v/>
      </c>
      <c r="R506">
        <f>R505+0.05</f>
        <v/>
      </c>
      <c r="S506">
        <f>S505+0.01</f>
        <v/>
      </c>
      <c r="T506">
        <f>T505+0.7</f>
        <v/>
      </c>
      <c r="U506">
        <f>U505+1.1</f>
        <v/>
      </c>
      <c r="V506">
        <f>V505+0.25</f>
        <v/>
      </c>
      <c r="W506">
        <f>W505+0.5</f>
        <v/>
      </c>
    </row>
    <row r="507">
      <c r="E507">
        <f>O507=ROUND(496*0.1,10)</f>
        <v/>
      </c>
      <c r="F507">
        <f>P507=ROUND(496*0.2,10)</f>
        <v/>
      </c>
      <c r="G507">
        <f>Q507=ROUND(496*0.3,10)</f>
        <v/>
      </c>
      <c r="H507">
        <f>R507=ROUND(496*0.05,10)</f>
        <v/>
      </c>
      <c r="I507">
        <f>S507=ROUND(496*0.01,10)</f>
        <v/>
      </c>
      <c r="J507">
        <f>T507=ROUND(496*0.7,10)</f>
        <v/>
      </c>
      <c r="K507">
        <f>U507=ROUND(496*1.1,10)</f>
        <v/>
      </c>
      <c r="L507">
        <f>V507=ROUND(496*0.25,10)</f>
        <v/>
      </c>
      <c r="M507">
        <f>W507=ROUND(496*0.5,10)</f>
        <v/>
      </c>
      <c r="O507">
        <f>O506+0.1</f>
        <v/>
      </c>
      <c r="P507">
        <f>P506+0.2</f>
        <v/>
      </c>
      <c r="Q507">
        <f>Q506+0.3</f>
        <v/>
      </c>
      <c r="R507">
        <f>R506+0.05</f>
        <v/>
      </c>
      <c r="S507">
        <f>S506+0.01</f>
        <v/>
      </c>
      <c r="T507">
        <f>T506+0.7</f>
        <v/>
      </c>
      <c r="U507">
        <f>U506+1.1</f>
        <v/>
      </c>
      <c r="V507">
        <f>V506+0.25</f>
        <v/>
      </c>
      <c r="W507">
        <f>W506+0.5</f>
        <v/>
      </c>
    </row>
    <row r="508">
      <c r="E508">
        <f>O508=ROUND(497*0.1,10)</f>
        <v/>
      </c>
      <c r="F508">
        <f>P508=ROUND(497*0.2,10)</f>
        <v/>
      </c>
      <c r="G508">
        <f>Q508=ROUND(497*0.3,10)</f>
        <v/>
      </c>
      <c r="H508">
        <f>R508=ROUND(497*0.05,10)</f>
        <v/>
      </c>
      <c r="I508">
        <f>S508=ROUND(497*0.01,10)</f>
        <v/>
      </c>
      <c r="J508">
        <f>T508=ROUND(497*0.7,10)</f>
        <v/>
      </c>
      <c r="K508">
        <f>U508=ROUND(497*1.1,10)</f>
        <v/>
      </c>
      <c r="L508">
        <f>V508=ROUND(497*0.25,10)</f>
        <v/>
      </c>
      <c r="M508">
        <f>W508=ROUND(497*0.5,10)</f>
        <v/>
      </c>
      <c r="O508">
        <f>O507+0.1</f>
        <v/>
      </c>
      <c r="P508">
        <f>P507+0.2</f>
        <v/>
      </c>
      <c r="Q508">
        <f>Q507+0.3</f>
        <v/>
      </c>
      <c r="R508">
        <f>R507+0.05</f>
        <v/>
      </c>
      <c r="S508">
        <f>S507+0.01</f>
        <v/>
      </c>
      <c r="T508">
        <f>T507+0.7</f>
        <v/>
      </c>
      <c r="U508">
        <f>U507+1.1</f>
        <v/>
      </c>
      <c r="V508">
        <f>V507+0.25</f>
        <v/>
      </c>
      <c r="W508">
        <f>W507+0.5</f>
        <v/>
      </c>
    </row>
    <row r="509">
      <c r="E509">
        <f>O509=ROUND(498*0.1,10)</f>
        <v/>
      </c>
      <c r="F509">
        <f>P509=ROUND(498*0.2,10)</f>
        <v/>
      </c>
      <c r="G509">
        <f>Q509=ROUND(498*0.3,10)</f>
        <v/>
      </c>
      <c r="H509">
        <f>R509=ROUND(498*0.05,10)</f>
        <v/>
      </c>
      <c r="I509">
        <f>S509=ROUND(498*0.01,10)</f>
        <v/>
      </c>
      <c r="J509">
        <f>T509=ROUND(498*0.7,10)</f>
        <v/>
      </c>
      <c r="K509">
        <f>U509=ROUND(498*1.1,10)</f>
        <v/>
      </c>
      <c r="L509">
        <f>V509=ROUND(498*0.25,10)</f>
        <v/>
      </c>
      <c r="M509">
        <f>W509=ROUND(498*0.5,10)</f>
        <v/>
      </c>
      <c r="O509">
        <f>O508+0.1</f>
        <v/>
      </c>
      <c r="P509">
        <f>P508+0.2</f>
        <v/>
      </c>
      <c r="Q509">
        <f>Q508+0.3</f>
        <v/>
      </c>
      <c r="R509">
        <f>R508+0.05</f>
        <v/>
      </c>
      <c r="S509">
        <f>S508+0.01</f>
        <v/>
      </c>
      <c r="T509">
        <f>T508+0.7</f>
        <v/>
      </c>
      <c r="U509">
        <f>U508+1.1</f>
        <v/>
      </c>
      <c r="V509">
        <f>V508+0.25</f>
        <v/>
      </c>
      <c r="W509">
        <f>W508+0.5</f>
        <v/>
      </c>
    </row>
    <row r="510">
      <c r="E510">
        <f>O510=ROUND(499*0.1,10)</f>
        <v/>
      </c>
      <c r="F510">
        <f>P510=ROUND(499*0.2,10)</f>
        <v/>
      </c>
      <c r="G510">
        <f>Q510=ROUND(499*0.3,10)</f>
        <v/>
      </c>
      <c r="H510">
        <f>R510=ROUND(499*0.05,10)</f>
        <v/>
      </c>
      <c r="I510">
        <f>S510=ROUND(499*0.01,10)</f>
        <v/>
      </c>
      <c r="J510">
        <f>T510=ROUND(499*0.7,10)</f>
        <v/>
      </c>
      <c r="K510">
        <f>U510=ROUND(499*1.1,10)</f>
        <v/>
      </c>
      <c r="L510">
        <f>V510=ROUND(499*0.25,10)</f>
        <v/>
      </c>
      <c r="M510">
        <f>W510=ROUND(499*0.5,10)</f>
        <v/>
      </c>
      <c r="O510">
        <f>O509+0.1</f>
        <v/>
      </c>
      <c r="P510">
        <f>P509+0.2</f>
        <v/>
      </c>
      <c r="Q510">
        <f>Q509+0.3</f>
        <v/>
      </c>
      <c r="R510">
        <f>R509+0.05</f>
        <v/>
      </c>
      <c r="S510">
        <f>S509+0.01</f>
        <v/>
      </c>
      <c r="T510">
        <f>T509+0.7</f>
        <v/>
      </c>
      <c r="U510">
        <f>U509+1.1</f>
        <v/>
      </c>
      <c r="V510">
        <f>V509+0.25</f>
        <v/>
      </c>
      <c r="W510">
        <f>W509+0.5</f>
        <v/>
      </c>
    </row>
    <row r="511">
      <c r="E511">
        <f>O511=ROUND(500*0.1,10)</f>
        <v/>
      </c>
      <c r="F511">
        <f>P511=ROUND(500*0.2,10)</f>
        <v/>
      </c>
      <c r="G511">
        <f>Q511=ROUND(500*0.3,10)</f>
        <v/>
      </c>
      <c r="H511">
        <f>R511=ROUND(500*0.05,10)</f>
        <v/>
      </c>
      <c r="I511">
        <f>S511=ROUND(500*0.01,10)</f>
        <v/>
      </c>
      <c r="J511">
        <f>T511=ROUND(500*0.7,10)</f>
        <v/>
      </c>
      <c r="K511">
        <f>U511=ROUND(500*1.1,10)</f>
        <v/>
      </c>
      <c r="L511">
        <f>V511=ROUND(500*0.25,10)</f>
        <v/>
      </c>
      <c r="M511">
        <f>W511=ROUND(500*0.5,10)</f>
        <v/>
      </c>
      <c r="O511">
        <f>O510+0.1</f>
        <v/>
      </c>
      <c r="P511">
        <f>P510+0.2</f>
        <v/>
      </c>
      <c r="Q511">
        <f>Q510+0.3</f>
        <v/>
      </c>
      <c r="R511">
        <f>R510+0.05</f>
        <v/>
      </c>
      <c r="S511">
        <f>S510+0.01</f>
        <v/>
      </c>
      <c r="T511">
        <f>T510+0.7</f>
        <v/>
      </c>
      <c r="U511">
        <f>U510+1.1</f>
        <v/>
      </c>
      <c r="V511">
        <f>V510+0.25</f>
        <v/>
      </c>
      <c r="W511">
        <f>W510+0.5</f>
        <v/>
      </c>
    </row>
    <row r="512">
      <c r="E512">
        <f>O512=ROUND(501*0.1,10)</f>
        <v/>
      </c>
      <c r="F512">
        <f>P512=ROUND(501*0.2,10)</f>
        <v/>
      </c>
      <c r="G512">
        <f>Q512=ROUND(501*0.3,10)</f>
        <v/>
      </c>
      <c r="H512">
        <f>R512=ROUND(501*0.05,10)</f>
        <v/>
      </c>
      <c r="I512">
        <f>S512=ROUND(501*0.01,10)</f>
        <v/>
      </c>
      <c r="J512">
        <f>T512=ROUND(501*0.7,10)</f>
        <v/>
      </c>
      <c r="K512">
        <f>U512=ROUND(501*1.1,10)</f>
        <v/>
      </c>
      <c r="L512">
        <f>V512=ROUND(501*0.25,10)</f>
        <v/>
      </c>
      <c r="M512">
        <f>W512=ROUND(501*0.5,10)</f>
        <v/>
      </c>
      <c r="O512">
        <f>O511+0.1</f>
        <v/>
      </c>
      <c r="P512">
        <f>P511+0.2</f>
        <v/>
      </c>
      <c r="Q512">
        <f>Q511+0.3</f>
        <v/>
      </c>
      <c r="R512">
        <f>R511+0.05</f>
        <v/>
      </c>
      <c r="S512">
        <f>S511+0.01</f>
        <v/>
      </c>
      <c r="T512">
        <f>T511+0.7</f>
        <v/>
      </c>
      <c r="U512">
        <f>U511+1.1</f>
        <v/>
      </c>
      <c r="V512">
        <f>V511+0.25</f>
        <v/>
      </c>
      <c r="W512">
        <f>W511+0.5</f>
        <v/>
      </c>
    </row>
    <row r="513">
      <c r="E513">
        <f>O513=ROUND(502*0.1,10)</f>
        <v/>
      </c>
      <c r="F513">
        <f>P513=ROUND(502*0.2,10)</f>
        <v/>
      </c>
      <c r="G513">
        <f>Q513=ROUND(502*0.3,10)</f>
        <v/>
      </c>
      <c r="H513">
        <f>R513=ROUND(502*0.05,10)</f>
        <v/>
      </c>
      <c r="I513">
        <f>S513=ROUND(502*0.01,10)</f>
        <v/>
      </c>
      <c r="J513">
        <f>T513=ROUND(502*0.7,10)</f>
        <v/>
      </c>
      <c r="K513">
        <f>U513=ROUND(502*1.1,10)</f>
        <v/>
      </c>
      <c r="L513">
        <f>V513=ROUND(502*0.25,10)</f>
        <v/>
      </c>
      <c r="M513">
        <f>W513=ROUND(502*0.5,10)</f>
        <v/>
      </c>
      <c r="O513">
        <f>O512+0.1</f>
        <v/>
      </c>
      <c r="P513">
        <f>P512+0.2</f>
        <v/>
      </c>
      <c r="Q513">
        <f>Q512+0.3</f>
        <v/>
      </c>
      <c r="R513">
        <f>R512+0.05</f>
        <v/>
      </c>
      <c r="S513">
        <f>S512+0.01</f>
        <v/>
      </c>
      <c r="T513">
        <f>T512+0.7</f>
        <v/>
      </c>
      <c r="U513">
        <f>U512+1.1</f>
        <v/>
      </c>
      <c r="V513">
        <f>V512+0.25</f>
        <v/>
      </c>
      <c r="W513">
        <f>W512+0.5</f>
        <v/>
      </c>
    </row>
    <row r="514">
      <c r="E514">
        <f>O514=ROUND(503*0.1,10)</f>
        <v/>
      </c>
      <c r="F514">
        <f>P514=ROUND(503*0.2,10)</f>
        <v/>
      </c>
      <c r="G514">
        <f>Q514=ROUND(503*0.3,10)</f>
        <v/>
      </c>
      <c r="H514">
        <f>R514=ROUND(503*0.05,10)</f>
        <v/>
      </c>
      <c r="I514">
        <f>S514=ROUND(503*0.01,10)</f>
        <v/>
      </c>
      <c r="J514">
        <f>T514=ROUND(503*0.7,10)</f>
        <v/>
      </c>
      <c r="K514">
        <f>U514=ROUND(503*1.1,10)</f>
        <v/>
      </c>
      <c r="L514">
        <f>V514=ROUND(503*0.25,10)</f>
        <v/>
      </c>
      <c r="M514">
        <f>W514=ROUND(503*0.5,10)</f>
        <v/>
      </c>
      <c r="O514">
        <f>O513+0.1</f>
        <v/>
      </c>
      <c r="P514">
        <f>P513+0.2</f>
        <v/>
      </c>
      <c r="Q514">
        <f>Q513+0.3</f>
        <v/>
      </c>
      <c r="R514">
        <f>R513+0.05</f>
        <v/>
      </c>
      <c r="S514">
        <f>S513+0.01</f>
        <v/>
      </c>
      <c r="T514">
        <f>T513+0.7</f>
        <v/>
      </c>
      <c r="U514">
        <f>U513+1.1</f>
        <v/>
      </c>
      <c r="V514">
        <f>V513+0.25</f>
        <v/>
      </c>
      <c r="W514">
        <f>W513+0.5</f>
        <v/>
      </c>
    </row>
    <row r="515">
      <c r="E515">
        <f>O515=ROUND(504*0.1,10)</f>
        <v/>
      </c>
      <c r="F515">
        <f>P515=ROUND(504*0.2,10)</f>
        <v/>
      </c>
      <c r="G515">
        <f>Q515=ROUND(504*0.3,10)</f>
        <v/>
      </c>
      <c r="H515">
        <f>R515=ROUND(504*0.05,10)</f>
        <v/>
      </c>
      <c r="I515">
        <f>S515=ROUND(504*0.01,10)</f>
        <v/>
      </c>
      <c r="J515">
        <f>T515=ROUND(504*0.7,10)</f>
        <v/>
      </c>
      <c r="K515">
        <f>U515=ROUND(504*1.1,10)</f>
        <v/>
      </c>
      <c r="L515">
        <f>V515=ROUND(504*0.25,10)</f>
        <v/>
      </c>
      <c r="M515">
        <f>W515=ROUND(504*0.5,10)</f>
        <v/>
      </c>
      <c r="O515">
        <f>O514+0.1</f>
        <v/>
      </c>
      <c r="P515">
        <f>P514+0.2</f>
        <v/>
      </c>
      <c r="Q515">
        <f>Q514+0.3</f>
        <v/>
      </c>
      <c r="R515">
        <f>R514+0.05</f>
        <v/>
      </c>
      <c r="S515">
        <f>S514+0.01</f>
        <v/>
      </c>
      <c r="T515">
        <f>T514+0.7</f>
        <v/>
      </c>
      <c r="U515">
        <f>U514+1.1</f>
        <v/>
      </c>
      <c r="V515">
        <f>V514+0.25</f>
        <v/>
      </c>
      <c r="W515">
        <f>W514+0.5</f>
        <v/>
      </c>
    </row>
    <row r="516">
      <c r="E516">
        <f>O516=ROUND(505*0.1,10)</f>
        <v/>
      </c>
      <c r="F516">
        <f>P516=ROUND(505*0.2,10)</f>
        <v/>
      </c>
      <c r="G516">
        <f>Q516=ROUND(505*0.3,10)</f>
        <v/>
      </c>
      <c r="H516">
        <f>R516=ROUND(505*0.05,10)</f>
        <v/>
      </c>
      <c r="I516">
        <f>S516=ROUND(505*0.01,10)</f>
        <v/>
      </c>
      <c r="J516">
        <f>T516=ROUND(505*0.7,10)</f>
        <v/>
      </c>
      <c r="K516">
        <f>U516=ROUND(505*1.1,10)</f>
        <v/>
      </c>
      <c r="L516">
        <f>V516=ROUND(505*0.25,10)</f>
        <v/>
      </c>
      <c r="M516">
        <f>W516=ROUND(505*0.5,10)</f>
        <v/>
      </c>
      <c r="O516">
        <f>O515+0.1</f>
        <v/>
      </c>
      <c r="P516">
        <f>P515+0.2</f>
        <v/>
      </c>
      <c r="Q516">
        <f>Q515+0.3</f>
        <v/>
      </c>
      <c r="R516">
        <f>R515+0.05</f>
        <v/>
      </c>
      <c r="S516">
        <f>S515+0.01</f>
        <v/>
      </c>
      <c r="T516">
        <f>T515+0.7</f>
        <v/>
      </c>
      <c r="U516">
        <f>U515+1.1</f>
        <v/>
      </c>
      <c r="V516">
        <f>V515+0.25</f>
        <v/>
      </c>
      <c r="W516">
        <f>W515+0.5</f>
        <v/>
      </c>
    </row>
    <row r="517">
      <c r="E517">
        <f>O517=ROUND(506*0.1,10)</f>
        <v/>
      </c>
      <c r="F517">
        <f>P517=ROUND(506*0.2,10)</f>
        <v/>
      </c>
      <c r="G517">
        <f>Q517=ROUND(506*0.3,10)</f>
        <v/>
      </c>
      <c r="H517">
        <f>R517=ROUND(506*0.05,10)</f>
        <v/>
      </c>
      <c r="I517">
        <f>S517=ROUND(506*0.01,10)</f>
        <v/>
      </c>
      <c r="J517">
        <f>T517=ROUND(506*0.7,10)</f>
        <v/>
      </c>
      <c r="K517">
        <f>U517=ROUND(506*1.1,10)</f>
        <v/>
      </c>
      <c r="L517">
        <f>V517=ROUND(506*0.25,10)</f>
        <v/>
      </c>
      <c r="M517">
        <f>W517=ROUND(506*0.5,10)</f>
        <v/>
      </c>
      <c r="O517">
        <f>O516+0.1</f>
        <v/>
      </c>
      <c r="P517">
        <f>P516+0.2</f>
        <v/>
      </c>
      <c r="Q517">
        <f>Q516+0.3</f>
        <v/>
      </c>
      <c r="R517">
        <f>R516+0.05</f>
        <v/>
      </c>
      <c r="S517">
        <f>S516+0.01</f>
        <v/>
      </c>
      <c r="T517">
        <f>T516+0.7</f>
        <v/>
      </c>
      <c r="U517">
        <f>U516+1.1</f>
        <v/>
      </c>
      <c r="V517">
        <f>V516+0.25</f>
        <v/>
      </c>
      <c r="W517">
        <f>W516+0.5</f>
        <v/>
      </c>
    </row>
    <row r="518">
      <c r="E518">
        <f>O518=ROUND(507*0.1,10)</f>
        <v/>
      </c>
      <c r="F518">
        <f>P518=ROUND(507*0.2,10)</f>
        <v/>
      </c>
      <c r="G518">
        <f>Q518=ROUND(507*0.3,10)</f>
        <v/>
      </c>
      <c r="H518">
        <f>R518=ROUND(507*0.05,10)</f>
        <v/>
      </c>
      <c r="I518">
        <f>S518=ROUND(507*0.01,10)</f>
        <v/>
      </c>
      <c r="J518">
        <f>T518=ROUND(507*0.7,10)</f>
        <v/>
      </c>
      <c r="K518">
        <f>U518=ROUND(507*1.1,10)</f>
        <v/>
      </c>
      <c r="L518">
        <f>V518=ROUND(507*0.25,10)</f>
        <v/>
      </c>
      <c r="M518">
        <f>W518=ROUND(507*0.5,10)</f>
        <v/>
      </c>
      <c r="O518">
        <f>O517+0.1</f>
        <v/>
      </c>
      <c r="P518">
        <f>P517+0.2</f>
        <v/>
      </c>
      <c r="Q518">
        <f>Q517+0.3</f>
        <v/>
      </c>
      <c r="R518">
        <f>R517+0.05</f>
        <v/>
      </c>
      <c r="S518">
        <f>S517+0.01</f>
        <v/>
      </c>
      <c r="T518">
        <f>T517+0.7</f>
        <v/>
      </c>
      <c r="U518">
        <f>U517+1.1</f>
        <v/>
      </c>
      <c r="V518">
        <f>V517+0.25</f>
        <v/>
      </c>
      <c r="W518">
        <f>W517+0.5</f>
        <v/>
      </c>
    </row>
    <row r="519">
      <c r="E519">
        <f>O519=ROUND(508*0.1,10)</f>
        <v/>
      </c>
      <c r="F519">
        <f>P519=ROUND(508*0.2,10)</f>
        <v/>
      </c>
      <c r="G519">
        <f>Q519=ROUND(508*0.3,10)</f>
        <v/>
      </c>
      <c r="H519">
        <f>R519=ROUND(508*0.05,10)</f>
        <v/>
      </c>
      <c r="I519">
        <f>S519=ROUND(508*0.01,10)</f>
        <v/>
      </c>
      <c r="J519">
        <f>T519=ROUND(508*0.7,10)</f>
        <v/>
      </c>
      <c r="K519">
        <f>U519=ROUND(508*1.1,10)</f>
        <v/>
      </c>
      <c r="L519">
        <f>V519=ROUND(508*0.25,10)</f>
        <v/>
      </c>
      <c r="M519">
        <f>W519=ROUND(508*0.5,10)</f>
        <v/>
      </c>
      <c r="O519">
        <f>O518+0.1</f>
        <v/>
      </c>
      <c r="P519">
        <f>P518+0.2</f>
        <v/>
      </c>
      <c r="Q519">
        <f>Q518+0.3</f>
        <v/>
      </c>
      <c r="R519">
        <f>R518+0.05</f>
        <v/>
      </c>
      <c r="S519">
        <f>S518+0.01</f>
        <v/>
      </c>
      <c r="T519">
        <f>T518+0.7</f>
        <v/>
      </c>
      <c r="U519">
        <f>U518+1.1</f>
        <v/>
      </c>
      <c r="V519">
        <f>V518+0.25</f>
        <v/>
      </c>
      <c r="W519">
        <f>W518+0.5</f>
        <v/>
      </c>
    </row>
    <row r="520">
      <c r="E520">
        <f>O520=ROUND(509*0.1,10)</f>
        <v/>
      </c>
      <c r="F520">
        <f>P520=ROUND(509*0.2,10)</f>
        <v/>
      </c>
      <c r="G520">
        <f>Q520=ROUND(509*0.3,10)</f>
        <v/>
      </c>
      <c r="H520">
        <f>R520=ROUND(509*0.05,10)</f>
        <v/>
      </c>
      <c r="I520">
        <f>S520=ROUND(509*0.01,10)</f>
        <v/>
      </c>
      <c r="J520">
        <f>T520=ROUND(509*0.7,10)</f>
        <v/>
      </c>
      <c r="K520">
        <f>U520=ROUND(509*1.1,10)</f>
        <v/>
      </c>
      <c r="L520">
        <f>V520=ROUND(509*0.25,10)</f>
        <v/>
      </c>
      <c r="M520">
        <f>W520=ROUND(509*0.5,10)</f>
        <v/>
      </c>
      <c r="O520">
        <f>O519+0.1</f>
        <v/>
      </c>
      <c r="P520">
        <f>P519+0.2</f>
        <v/>
      </c>
      <c r="Q520">
        <f>Q519+0.3</f>
        <v/>
      </c>
      <c r="R520">
        <f>R519+0.05</f>
        <v/>
      </c>
      <c r="S520">
        <f>S519+0.01</f>
        <v/>
      </c>
      <c r="T520">
        <f>T519+0.7</f>
        <v/>
      </c>
      <c r="U520">
        <f>U519+1.1</f>
        <v/>
      </c>
      <c r="V520">
        <f>V519+0.25</f>
        <v/>
      </c>
      <c r="W520">
        <f>W519+0.5</f>
        <v/>
      </c>
    </row>
    <row r="521">
      <c r="E521">
        <f>O521=ROUND(510*0.1,10)</f>
        <v/>
      </c>
      <c r="F521">
        <f>P521=ROUND(510*0.2,10)</f>
        <v/>
      </c>
      <c r="G521">
        <f>Q521=ROUND(510*0.3,10)</f>
        <v/>
      </c>
      <c r="H521">
        <f>R521=ROUND(510*0.05,10)</f>
        <v/>
      </c>
      <c r="I521">
        <f>S521=ROUND(510*0.01,10)</f>
        <v/>
      </c>
      <c r="J521">
        <f>T521=ROUND(510*0.7,10)</f>
        <v/>
      </c>
      <c r="K521">
        <f>U521=ROUND(510*1.1,10)</f>
        <v/>
      </c>
      <c r="L521">
        <f>V521=ROUND(510*0.25,10)</f>
        <v/>
      </c>
      <c r="M521">
        <f>W521=ROUND(510*0.5,10)</f>
        <v/>
      </c>
      <c r="O521">
        <f>O520+0.1</f>
        <v/>
      </c>
      <c r="P521">
        <f>P520+0.2</f>
        <v/>
      </c>
      <c r="Q521">
        <f>Q520+0.3</f>
        <v/>
      </c>
      <c r="R521">
        <f>R520+0.05</f>
        <v/>
      </c>
      <c r="S521">
        <f>S520+0.01</f>
        <v/>
      </c>
      <c r="T521">
        <f>T520+0.7</f>
        <v/>
      </c>
      <c r="U521">
        <f>U520+1.1</f>
        <v/>
      </c>
      <c r="V521">
        <f>V520+0.25</f>
        <v/>
      </c>
      <c r="W521">
        <f>W520+0.5</f>
        <v/>
      </c>
    </row>
    <row r="522">
      <c r="E522">
        <f>O522=ROUND(511*0.1,10)</f>
        <v/>
      </c>
      <c r="F522">
        <f>P522=ROUND(511*0.2,10)</f>
        <v/>
      </c>
      <c r="G522">
        <f>Q522=ROUND(511*0.3,10)</f>
        <v/>
      </c>
      <c r="H522">
        <f>R522=ROUND(511*0.05,10)</f>
        <v/>
      </c>
      <c r="I522">
        <f>S522=ROUND(511*0.01,10)</f>
        <v/>
      </c>
      <c r="J522">
        <f>T522=ROUND(511*0.7,10)</f>
        <v/>
      </c>
      <c r="K522">
        <f>U522=ROUND(511*1.1,10)</f>
        <v/>
      </c>
      <c r="L522">
        <f>V522=ROUND(511*0.25,10)</f>
        <v/>
      </c>
      <c r="M522">
        <f>W522=ROUND(511*0.5,10)</f>
        <v/>
      </c>
      <c r="O522">
        <f>O521+0.1</f>
        <v/>
      </c>
      <c r="P522">
        <f>P521+0.2</f>
        <v/>
      </c>
      <c r="Q522">
        <f>Q521+0.3</f>
        <v/>
      </c>
      <c r="R522">
        <f>R521+0.05</f>
        <v/>
      </c>
      <c r="S522">
        <f>S521+0.01</f>
        <v/>
      </c>
      <c r="T522">
        <f>T521+0.7</f>
        <v/>
      </c>
      <c r="U522">
        <f>U521+1.1</f>
        <v/>
      </c>
      <c r="V522">
        <f>V521+0.25</f>
        <v/>
      </c>
      <c r="W522">
        <f>W521+0.5</f>
        <v/>
      </c>
    </row>
    <row r="523">
      <c r="E523">
        <f>O523=ROUND(512*0.1,10)</f>
        <v/>
      </c>
      <c r="F523">
        <f>P523=ROUND(512*0.2,10)</f>
        <v/>
      </c>
      <c r="G523">
        <f>Q523=ROUND(512*0.3,10)</f>
        <v/>
      </c>
      <c r="H523">
        <f>R523=ROUND(512*0.05,10)</f>
        <v/>
      </c>
      <c r="I523">
        <f>S523=ROUND(512*0.01,10)</f>
        <v/>
      </c>
      <c r="J523">
        <f>T523=ROUND(512*0.7,10)</f>
        <v/>
      </c>
      <c r="K523">
        <f>U523=ROUND(512*1.1,10)</f>
        <v/>
      </c>
      <c r="L523">
        <f>V523=ROUND(512*0.25,10)</f>
        <v/>
      </c>
      <c r="M523">
        <f>W523=ROUND(512*0.5,10)</f>
        <v/>
      </c>
      <c r="O523">
        <f>O522+0.1</f>
        <v/>
      </c>
      <c r="P523">
        <f>P522+0.2</f>
        <v/>
      </c>
      <c r="Q523">
        <f>Q522+0.3</f>
        <v/>
      </c>
      <c r="R523">
        <f>R522+0.05</f>
        <v/>
      </c>
      <c r="S523">
        <f>S522+0.01</f>
        <v/>
      </c>
      <c r="T523">
        <f>T522+0.7</f>
        <v/>
      </c>
      <c r="U523">
        <f>U522+1.1</f>
        <v/>
      </c>
      <c r="V523">
        <f>V522+0.25</f>
        <v/>
      </c>
      <c r="W523">
        <f>W522+0.5</f>
        <v/>
      </c>
    </row>
    <row r="524">
      <c r="E524">
        <f>O524=ROUND(513*0.1,10)</f>
        <v/>
      </c>
      <c r="F524">
        <f>P524=ROUND(513*0.2,10)</f>
        <v/>
      </c>
      <c r="G524">
        <f>Q524=ROUND(513*0.3,10)</f>
        <v/>
      </c>
      <c r="H524">
        <f>R524=ROUND(513*0.05,10)</f>
        <v/>
      </c>
      <c r="I524">
        <f>S524=ROUND(513*0.01,10)</f>
        <v/>
      </c>
      <c r="J524">
        <f>T524=ROUND(513*0.7,10)</f>
        <v/>
      </c>
      <c r="K524">
        <f>U524=ROUND(513*1.1,10)</f>
        <v/>
      </c>
      <c r="L524">
        <f>V524=ROUND(513*0.25,10)</f>
        <v/>
      </c>
      <c r="M524">
        <f>W524=ROUND(513*0.5,10)</f>
        <v/>
      </c>
      <c r="O524">
        <f>O523+0.1</f>
        <v/>
      </c>
      <c r="P524">
        <f>P523+0.2</f>
        <v/>
      </c>
      <c r="Q524">
        <f>Q523+0.3</f>
        <v/>
      </c>
      <c r="R524">
        <f>R523+0.05</f>
        <v/>
      </c>
      <c r="S524">
        <f>S523+0.01</f>
        <v/>
      </c>
      <c r="T524">
        <f>T523+0.7</f>
        <v/>
      </c>
      <c r="U524">
        <f>U523+1.1</f>
        <v/>
      </c>
      <c r="V524">
        <f>V523+0.25</f>
        <v/>
      </c>
      <c r="W524">
        <f>W523+0.5</f>
        <v/>
      </c>
    </row>
    <row r="525">
      <c r="E525">
        <f>O525=ROUND(514*0.1,10)</f>
        <v/>
      </c>
      <c r="F525">
        <f>P525=ROUND(514*0.2,10)</f>
        <v/>
      </c>
      <c r="G525">
        <f>Q525=ROUND(514*0.3,10)</f>
        <v/>
      </c>
      <c r="H525">
        <f>R525=ROUND(514*0.05,10)</f>
        <v/>
      </c>
      <c r="I525">
        <f>S525=ROUND(514*0.01,10)</f>
        <v/>
      </c>
      <c r="J525">
        <f>T525=ROUND(514*0.7,10)</f>
        <v/>
      </c>
      <c r="K525">
        <f>U525=ROUND(514*1.1,10)</f>
        <v/>
      </c>
      <c r="L525">
        <f>V525=ROUND(514*0.25,10)</f>
        <v/>
      </c>
      <c r="M525">
        <f>W525=ROUND(514*0.5,10)</f>
        <v/>
      </c>
      <c r="O525">
        <f>O524+0.1</f>
        <v/>
      </c>
      <c r="P525">
        <f>P524+0.2</f>
        <v/>
      </c>
      <c r="Q525">
        <f>Q524+0.3</f>
        <v/>
      </c>
      <c r="R525">
        <f>R524+0.05</f>
        <v/>
      </c>
      <c r="S525">
        <f>S524+0.01</f>
        <v/>
      </c>
      <c r="T525">
        <f>T524+0.7</f>
        <v/>
      </c>
      <c r="U525">
        <f>U524+1.1</f>
        <v/>
      </c>
      <c r="V525">
        <f>V524+0.25</f>
        <v/>
      </c>
      <c r="W525">
        <f>W524+0.5</f>
        <v/>
      </c>
    </row>
    <row r="526">
      <c r="E526">
        <f>O526=ROUND(515*0.1,10)</f>
        <v/>
      </c>
      <c r="F526">
        <f>P526=ROUND(515*0.2,10)</f>
        <v/>
      </c>
      <c r="G526">
        <f>Q526=ROUND(515*0.3,10)</f>
        <v/>
      </c>
      <c r="H526">
        <f>R526=ROUND(515*0.05,10)</f>
        <v/>
      </c>
      <c r="I526">
        <f>S526=ROUND(515*0.01,10)</f>
        <v/>
      </c>
      <c r="J526">
        <f>T526=ROUND(515*0.7,10)</f>
        <v/>
      </c>
      <c r="K526">
        <f>U526=ROUND(515*1.1,10)</f>
        <v/>
      </c>
      <c r="L526">
        <f>V526=ROUND(515*0.25,10)</f>
        <v/>
      </c>
      <c r="M526">
        <f>W526=ROUND(515*0.5,10)</f>
        <v/>
      </c>
      <c r="O526">
        <f>O525+0.1</f>
        <v/>
      </c>
      <c r="P526">
        <f>P525+0.2</f>
        <v/>
      </c>
      <c r="Q526">
        <f>Q525+0.3</f>
        <v/>
      </c>
      <c r="R526">
        <f>R525+0.05</f>
        <v/>
      </c>
      <c r="S526">
        <f>S525+0.01</f>
        <v/>
      </c>
      <c r="T526">
        <f>T525+0.7</f>
        <v/>
      </c>
      <c r="U526">
        <f>U525+1.1</f>
        <v/>
      </c>
      <c r="V526">
        <f>V525+0.25</f>
        <v/>
      </c>
      <c r="W526">
        <f>W525+0.5</f>
        <v/>
      </c>
    </row>
    <row r="527">
      <c r="E527">
        <f>O527=ROUND(516*0.1,10)</f>
        <v/>
      </c>
      <c r="F527">
        <f>P527=ROUND(516*0.2,10)</f>
        <v/>
      </c>
      <c r="G527">
        <f>Q527=ROUND(516*0.3,10)</f>
        <v/>
      </c>
      <c r="H527">
        <f>R527=ROUND(516*0.05,10)</f>
        <v/>
      </c>
      <c r="I527">
        <f>S527=ROUND(516*0.01,10)</f>
        <v/>
      </c>
      <c r="J527">
        <f>T527=ROUND(516*0.7,10)</f>
        <v/>
      </c>
      <c r="K527">
        <f>U527=ROUND(516*1.1,10)</f>
        <v/>
      </c>
      <c r="L527">
        <f>V527=ROUND(516*0.25,10)</f>
        <v/>
      </c>
      <c r="M527">
        <f>W527=ROUND(516*0.5,10)</f>
        <v/>
      </c>
      <c r="O527">
        <f>O526+0.1</f>
        <v/>
      </c>
      <c r="P527">
        <f>P526+0.2</f>
        <v/>
      </c>
      <c r="Q527">
        <f>Q526+0.3</f>
        <v/>
      </c>
      <c r="R527">
        <f>R526+0.05</f>
        <v/>
      </c>
      <c r="S527">
        <f>S526+0.01</f>
        <v/>
      </c>
      <c r="T527">
        <f>T526+0.7</f>
        <v/>
      </c>
      <c r="U527">
        <f>U526+1.1</f>
        <v/>
      </c>
      <c r="V527">
        <f>V526+0.25</f>
        <v/>
      </c>
      <c r="W527">
        <f>W526+0.5</f>
        <v/>
      </c>
    </row>
    <row r="528">
      <c r="E528">
        <f>O528=ROUND(517*0.1,10)</f>
        <v/>
      </c>
      <c r="F528">
        <f>P528=ROUND(517*0.2,10)</f>
        <v/>
      </c>
      <c r="G528">
        <f>Q528=ROUND(517*0.3,10)</f>
        <v/>
      </c>
      <c r="H528">
        <f>R528=ROUND(517*0.05,10)</f>
        <v/>
      </c>
      <c r="I528">
        <f>S528=ROUND(517*0.01,10)</f>
        <v/>
      </c>
      <c r="J528">
        <f>T528=ROUND(517*0.7,10)</f>
        <v/>
      </c>
      <c r="K528">
        <f>U528=ROUND(517*1.1,10)</f>
        <v/>
      </c>
      <c r="L528">
        <f>V528=ROUND(517*0.25,10)</f>
        <v/>
      </c>
      <c r="M528">
        <f>W528=ROUND(517*0.5,10)</f>
        <v/>
      </c>
      <c r="O528">
        <f>O527+0.1</f>
        <v/>
      </c>
      <c r="P528">
        <f>P527+0.2</f>
        <v/>
      </c>
      <c r="Q528">
        <f>Q527+0.3</f>
        <v/>
      </c>
      <c r="R528">
        <f>R527+0.05</f>
        <v/>
      </c>
      <c r="S528">
        <f>S527+0.01</f>
        <v/>
      </c>
      <c r="T528">
        <f>T527+0.7</f>
        <v/>
      </c>
      <c r="U528">
        <f>U527+1.1</f>
        <v/>
      </c>
      <c r="V528">
        <f>V527+0.25</f>
        <v/>
      </c>
      <c r="W528">
        <f>W527+0.5</f>
        <v/>
      </c>
    </row>
    <row r="529">
      <c r="E529">
        <f>O529=ROUND(518*0.1,10)</f>
        <v/>
      </c>
      <c r="F529">
        <f>P529=ROUND(518*0.2,10)</f>
        <v/>
      </c>
      <c r="G529">
        <f>Q529=ROUND(518*0.3,10)</f>
        <v/>
      </c>
      <c r="H529">
        <f>R529=ROUND(518*0.05,10)</f>
        <v/>
      </c>
      <c r="I529">
        <f>S529=ROUND(518*0.01,10)</f>
        <v/>
      </c>
      <c r="J529">
        <f>T529=ROUND(518*0.7,10)</f>
        <v/>
      </c>
      <c r="K529">
        <f>U529=ROUND(518*1.1,10)</f>
        <v/>
      </c>
      <c r="L529">
        <f>V529=ROUND(518*0.25,10)</f>
        <v/>
      </c>
      <c r="M529">
        <f>W529=ROUND(518*0.5,10)</f>
        <v/>
      </c>
      <c r="O529">
        <f>O528+0.1</f>
        <v/>
      </c>
      <c r="P529">
        <f>P528+0.2</f>
        <v/>
      </c>
      <c r="Q529">
        <f>Q528+0.3</f>
        <v/>
      </c>
      <c r="R529">
        <f>R528+0.05</f>
        <v/>
      </c>
      <c r="S529">
        <f>S528+0.01</f>
        <v/>
      </c>
      <c r="T529">
        <f>T528+0.7</f>
        <v/>
      </c>
      <c r="U529">
        <f>U528+1.1</f>
        <v/>
      </c>
      <c r="V529">
        <f>V528+0.25</f>
        <v/>
      </c>
      <c r="W529">
        <f>W528+0.5</f>
        <v/>
      </c>
    </row>
    <row r="530">
      <c r="E530">
        <f>O530=ROUND(519*0.1,10)</f>
        <v/>
      </c>
      <c r="F530">
        <f>P530=ROUND(519*0.2,10)</f>
        <v/>
      </c>
      <c r="G530">
        <f>Q530=ROUND(519*0.3,10)</f>
        <v/>
      </c>
      <c r="H530">
        <f>R530=ROUND(519*0.05,10)</f>
        <v/>
      </c>
      <c r="I530">
        <f>S530=ROUND(519*0.01,10)</f>
        <v/>
      </c>
      <c r="J530">
        <f>T530=ROUND(519*0.7,10)</f>
        <v/>
      </c>
      <c r="K530">
        <f>U530=ROUND(519*1.1,10)</f>
        <v/>
      </c>
      <c r="L530">
        <f>V530=ROUND(519*0.25,10)</f>
        <v/>
      </c>
      <c r="M530">
        <f>W530=ROUND(519*0.5,10)</f>
        <v/>
      </c>
      <c r="O530">
        <f>O529+0.1</f>
        <v/>
      </c>
      <c r="P530">
        <f>P529+0.2</f>
        <v/>
      </c>
      <c r="Q530">
        <f>Q529+0.3</f>
        <v/>
      </c>
      <c r="R530">
        <f>R529+0.05</f>
        <v/>
      </c>
      <c r="S530">
        <f>S529+0.01</f>
        <v/>
      </c>
      <c r="T530">
        <f>T529+0.7</f>
        <v/>
      </c>
      <c r="U530">
        <f>U529+1.1</f>
        <v/>
      </c>
      <c r="V530">
        <f>V529+0.25</f>
        <v/>
      </c>
      <c r="W530">
        <f>W529+0.5</f>
        <v/>
      </c>
    </row>
    <row r="531">
      <c r="E531">
        <f>O531=ROUND(520*0.1,10)</f>
        <v/>
      </c>
      <c r="F531">
        <f>P531=ROUND(520*0.2,10)</f>
        <v/>
      </c>
      <c r="G531">
        <f>Q531=ROUND(520*0.3,10)</f>
        <v/>
      </c>
      <c r="H531">
        <f>R531=ROUND(520*0.05,10)</f>
        <v/>
      </c>
      <c r="I531">
        <f>S531=ROUND(520*0.01,10)</f>
        <v/>
      </c>
      <c r="J531">
        <f>T531=ROUND(520*0.7,10)</f>
        <v/>
      </c>
      <c r="K531">
        <f>U531=ROUND(520*1.1,10)</f>
        <v/>
      </c>
      <c r="L531">
        <f>V531=ROUND(520*0.25,10)</f>
        <v/>
      </c>
      <c r="M531">
        <f>W531=ROUND(520*0.5,10)</f>
        <v/>
      </c>
      <c r="O531">
        <f>O530+0.1</f>
        <v/>
      </c>
      <c r="P531">
        <f>P530+0.2</f>
        <v/>
      </c>
      <c r="Q531">
        <f>Q530+0.3</f>
        <v/>
      </c>
      <c r="R531">
        <f>R530+0.05</f>
        <v/>
      </c>
      <c r="S531">
        <f>S530+0.01</f>
        <v/>
      </c>
      <c r="T531">
        <f>T530+0.7</f>
        <v/>
      </c>
      <c r="U531">
        <f>U530+1.1</f>
        <v/>
      </c>
      <c r="V531">
        <f>V530+0.25</f>
        <v/>
      </c>
      <c r="W531">
        <f>W530+0.5</f>
        <v/>
      </c>
    </row>
    <row r="532">
      <c r="E532">
        <f>O532=ROUND(521*0.1,10)</f>
        <v/>
      </c>
      <c r="F532">
        <f>P532=ROUND(521*0.2,10)</f>
        <v/>
      </c>
      <c r="G532">
        <f>Q532=ROUND(521*0.3,10)</f>
        <v/>
      </c>
      <c r="H532">
        <f>R532=ROUND(521*0.05,10)</f>
        <v/>
      </c>
      <c r="I532">
        <f>S532=ROUND(521*0.01,10)</f>
        <v/>
      </c>
      <c r="J532">
        <f>T532=ROUND(521*0.7,10)</f>
        <v/>
      </c>
      <c r="K532">
        <f>U532=ROUND(521*1.1,10)</f>
        <v/>
      </c>
      <c r="L532">
        <f>V532=ROUND(521*0.25,10)</f>
        <v/>
      </c>
      <c r="M532">
        <f>W532=ROUND(521*0.5,10)</f>
        <v/>
      </c>
      <c r="O532">
        <f>O531+0.1</f>
        <v/>
      </c>
      <c r="P532">
        <f>P531+0.2</f>
        <v/>
      </c>
      <c r="Q532">
        <f>Q531+0.3</f>
        <v/>
      </c>
      <c r="R532">
        <f>R531+0.05</f>
        <v/>
      </c>
      <c r="S532">
        <f>S531+0.01</f>
        <v/>
      </c>
      <c r="T532">
        <f>T531+0.7</f>
        <v/>
      </c>
      <c r="U532">
        <f>U531+1.1</f>
        <v/>
      </c>
      <c r="V532">
        <f>V531+0.25</f>
        <v/>
      </c>
      <c r="W532">
        <f>W531+0.5</f>
        <v/>
      </c>
    </row>
    <row r="533">
      <c r="E533">
        <f>O533=ROUND(522*0.1,10)</f>
        <v/>
      </c>
      <c r="F533">
        <f>P533=ROUND(522*0.2,10)</f>
        <v/>
      </c>
      <c r="G533">
        <f>Q533=ROUND(522*0.3,10)</f>
        <v/>
      </c>
      <c r="H533">
        <f>R533=ROUND(522*0.05,10)</f>
        <v/>
      </c>
      <c r="I533">
        <f>S533=ROUND(522*0.01,10)</f>
        <v/>
      </c>
      <c r="J533">
        <f>T533=ROUND(522*0.7,10)</f>
        <v/>
      </c>
      <c r="K533">
        <f>U533=ROUND(522*1.1,10)</f>
        <v/>
      </c>
      <c r="L533">
        <f>V533=ROUND(522*0.25,10)</f>
        <v/>
      </c>
      <c r="M533">
        <f>W533=ROUND(522*0.5,10)</f>
        <v/>
      </c>
      <c r="O533">
        <f>O532+0.1</f>
        <v/>
      </c>
      <c r="P533">
        <f>P532+0.2</f>
        <v/>
      </c>
      <c r="Q533">
        <f>Q532+0.3</f>
        <v/>
      </c>
      <c r="R533">
        <f>R532+0.05</f>
        <v/>
      </c>
      <c r="S533">
        <f>S532+0.01</f>
        <v/>
      </c>
      <c r="T533">
        <f>T532+0.7</f>
        <v/>
      </c>
      <c r="U533">
        <f>U532+1.1</f>
        <v/>
      </c>
      <c r="V533">
        <f>V532+0.25</f>
        <v/>
      </c>
      <c r="W533">
        <f>W532+0.5</f>
        <v/>
      </c>
    </row>
    <row r="534">
      <c r="E534">
        <f>O534=ROUND(523*0.1,10)</f>
        <v/>
      </c>
      <c r="F534">
        <f>P534=ROUND(523*0.2,10)</f>
        <v/>
      </c>
      <c r="G534">
        <f>Q534=ROUND(523*0.3,10)</f>
        <v/>
      </c>
      <c r="H534">
        <f>R534=ROUND(523*0.05,10)</f>
        <v/>
      </c>
      <c r="I534">
        <f>S534=ROUND(523*0.01,10)</f>
        <v/>
      </c>
      <c r="J534">
        <f>T534=ROUND(523*0.7,10)</f>
        <v/>
      </c>
      <c r="K534">
        <f>U534=ROUND(523*1.1,10)</f>
        <v/>
      </c>
      <c r="L534">
        <f>V534=ROUND(523*0.25,10)</f>
        <v/>
      </c>
      <c r="M534">
        <f>W534=ROUND(523*0.5,10)</f>
        <v/>
      </c>
      <c r="O534">
        <f>O533+0.1</f>
        <v/>
      </c>
      <c r="P534">
        <f>P533+0.2</f>
        <v/>
      </c>
      <c r="Q534">
        <f>Q533+0.3</f>
        <v/>
      </c>
      <c r="R534">
        <f>R533+0.05</f>
        <v/>
      </c>
      <c r="S534">
        <f>S533+0.01</f>
        <v/>
      </c>
      <c r="T534">
        <f>T533+0.7</f>
        <v/>
      </c>
      <c r="U534">
        <f>U533+1.1</f>
        <v/>
      </c>
      <c r="V534">
        <f>V533+0.25</f>
        <v/>
      </c>
      <c r="W534">
        <f>W533+0.5</f>
        <v/>
      </c>
    </row>
    <row r="535">
      <c r="E535">
        <f>O535=ROUND(524*0.1,10)</f>
        <v/>
      </c>
      <c r="F535">
        <f>P535=ROUND(524*0.2,10)</f>
        <v/>
      </c>
      <c r="G535">
        <f>Q535=ROUND(524*0.3,10)</f>
        <v/>
      </c>
      <c r="H535">
        <f>R535=ROUND(524*0.05,10)</f>
        <v/>
      </c>
      <c r="I535">
        <f>S535=ROUND(524*0.01,10)</f>
        <v/>
      </c>
      <c r="J535">
        <f>T535=ROUND(524*0.7,10)</f>
        <v/>
      </c>
      <c r="K535">
        <f>U535=ROUND(524*1.1,10)</f>
        <v/>
      </c>
      <c r="L535">
        <f>V535=ROUND(524*0.25,10)</f>
        <v/>
      </c>
      <c r="M535">
        <f>W535=ROUND(524*0.5,10)</f>
        <v/>
      </c>
      <c r="O535">
        <f>O534+0.1</f>
        <v/>
      </c>
      <c r="P535">
        <f>P534+0.2</f>
        <v/>
      </c>
      <c r="Q535">
        <f>Q534+0.3</f>
        <v/>
      </c>
      <c r="R535">
        <f>R534+0.05</f>
        <v/>
      </c>
      <c r="S535">
        <f>S534+0.01</f>
        <v/>
      </c>
      <c r="T535">
        <f>T534+0.7</f>
        <v/>
      </c>
      <c r="U535">
        <f>U534+1.1</f>
        <v/>
      </c>
      <c r="V535">
        <f>V534+0.25</f>
        <v/>
      </c>
      <c r="W535">
        <f>W534+0.5</f>
        <v/>
      </c>
    </row>
    <row r="536">
      <c r="E536">
        <f>O536=ROUND(525*0.1,10)</f>
        <v/>
      </c>
      <c r="F536">
        <f>P536=ROUND(525*0.2,10)</f>
        <v/>
      </c>
      <c r="G536">
        <f>Q536=ROUND(525*0.3,10)</f>
        <v/>
      </c>
      <c r="H536">
        <f>R536=ROUND(525*0.05,10)</f>
        <v/>
      </c>
      <c r="I536">
        <f>S536=ROUND(525*0.01,10)</f>
        <v/>
      </c>
      <c r="J536">
        <f>T536=ROUND(525*0.7,10)</f>
        <v/>
      </c>
      <c r="K536">
        <f>U536=ROUND(525*1.1,10)</f>
        <v/>
      </c>
      <c r="L536">
        <f>V536=ROUND(525*0.25,10)</f>
        <v/>
      </c>
      <c r="M536">
        <f>W536=ROUND(525*0.5,10)</f>
        <v/>
      </c>
      <c r="O536">
        <f>O535+0.1</f>
        <v/>
      </c>
      <c r="P536">
        <f>P535+0.2</f>
        <v/>
      </c>
      <c r="Q536">
        <f>Q535+0.3</f>
        <v/>
      </c>
      <c r="R536">
        <f>R535+0.05</f>
        <v/>
      </c>
      <c r="S536">
        <f>S535+0.01</f>
        <v/>
      </c>
      <c r="T536">
        <f>T535+0.7</f>
        <v/>
      </c>
      <c r="U536">
        <f>U535+1.1</f>
        <v/>
      </c>
      <c r="V536">
        <f>V535+0.25</f>
        <v/>
      </c>
      <c r="W536">
        <f>W535+0.5</f>
        <v/>
      </c>
    </row>
    <row r="537">
      <c r="E537">
        <f>O537=ROUND(526*0.1,10)</f>
        <v/>
      </c>
      <c r="F537">
        <f>P537=ROUND(526*0.2,10)</f>
        <v/>
      </c>
      <c r="G537">
        <f>Q537=ROUND(526*0.3,10)</f>
        <v/>
      </c>
      <c r="H537">
        <f>R537=ROUND(526*0.05,10)</f>
        <v/>
      </c>
      <c r="I537">
        <f>S537=ROUND(526*0.01,10)</f>
        <v/>
      </c>
      <c r="J537">
        <f>T537=ROUND(526*0.7,10)</f>
        <v/>
      </c>
      <c r="K537">
        <f>U537=ROUND(526*1.1,10)</f>
        <v/>
      </c>
      <c r="L537">
        <f>V537=ROUND(526*0.25,10)</f>
        <v/>
      </c>
      <c r="M537">
        <f>W537=ROUND(526*0.5,10)</f>
        <v/>
      </c>
      <c r="O537">
        <f>O536+0.1</f>
        <v/>
      </c>
      <c r="P537">
        <f>P536+0.2</f>
        <v/>
      </c>
      <c r="Q537">
        <f>Q536+0.3</f>
        <v/>
      </c>
      <c r="R537">
        <f>R536+0.05</f>
        <v/>
      </c>
      <c r="S537">
        <f>S536+0.01</f>
        <v/>
      </c>
      <c r="T537">
        <f>T536+0.7</f>
        <v/>
      </c>
      <c r="U537">
        <f>U536+1.1</f>
        <v/>
      </c>
      <c r="V537">
        <f>V536+0.25</f>
        <v/>
      </c>
      <c r="W537">
        <f>W536+0.5</f>
        <v/>
      </c>
    </row>
    <row r="538">
      <c r="E538">
        <f>O538=ROUND(527*0.1,10)</f>
        <v/>
      </c>
      <c r="F538">
        <f>P538=ROUND(527*0.2,10)</f>
        <v/>
      </c>
      <c r="G538">
        <f>Q538=ROUND(527*0.3,10)</f>
        <v/>
      </c>
      <c r="H538">
        <f>R538=ROUND(527*0.05,10)</f>
        <v/>
      </c>
      <c r="I538">
        <f>S538=ROUND(527*0.01,10)</f>
        <v/>
      </c>
      <c r="J538">
        <f>T538=ROUND(527*0.7,10)</f>
        <v/>
      </c>
      <c r="K538">
        <f>U538=ROUND(527*1.1,10)</f>
        <v/>
      </c>
      <c r="L538">
        <f>V538=ROUND(527*0.25,10)</f>
        <v/>
      </c>
      <c r="M538">
        <f>W538=ROUND(527*0.5,10)</f>
        <v/>
      </c>
      <c r="O538">
        <f>O537+0.1</f>
        <v/>
      </c>
      <c r="P538">
        <f>P537+0.2</f>
        <v/>
      </c>
      <c r="Q538">
        <f>Q537+0.3</f>
        <v/>
      </c>
      <c r="R538">
        <f>R537+0.05</f>
        <v/>
      </c>
      <c r="S538">
        <f>S537+0.01</f>
        <v/>
      </c>
      <c r="T538">
        <f>T537+0.7</f>
        <v/>
      </c>
      <c r="U538">
        <f>U537+1.1</f>
        <v/>
      </c>
      <c r="V538">
        <f>V537+0.25</f>
        <v/>
      </c>
      <c r="W538">
        <f>W537+0.5</f>
        <v/>
      </c>
    </row>
    <row r="539">
      <c r="E539">
        <f>O539=ROUND(528*0.1,10)</f>
        <v/>
      </c>
      <c r="F539">
        <f>P539=ROUND(528*0.2,10)</f>
        <v/>
      </c>
      <c r="G539">
        <f>Q539=ROUND(528*0.3,10)</f>
        <v/>
      </c>
      <c r="H539">
        <f>R539=ROUND(528*0.05,10)</f>
        <v/>
      </c>
      <c r="I539">
        <f>S539=ROUND(528*0.01,10)</f>
        <v/>
      </c>
      <c r="J539">
        <f>T539=ROUND(528*0.7,10)</f>
        <v/>
      </c>
      <c r="K539">
        <f>U539=ROUND(528*1.1,10)</f>
        <v/>
      </c>
      <c r="L539">
        <f>V539=ROUND(528*0.25,10)</f>
        <v/>
      </c>
      <c r="M539">
        <f>W539=ROUND(528*0.5,10)</f>
        <v/>
      </c>
      <c r="O539">
        <f>O538+0.1</f>
        <v/>
      </c>
      <c r="P539">
        <f>P538+0.2</f>
        <v/>
      </c>
      <c r="Q539">
        <f>Q538+0.3</f>
        <v/>
      </c>
      <c r="R539">
        <f>R538+0.05</f>
        <v/>
      </c>
      <c r="S539">
        <f>S538+0.01</f>
        <v/>
      </c>
      <c r="T539">
        <f>T538+0.7</f>
        <v/>
      </c>
      <c r="U539">
        <f>U538+1.1</f>
        <v/>
      </c>
      <c r="V539">
        <f>V538+0.25</f>
        <v/>
      </c>
      <c r="W539">
        <f>W538+0.5</f>
        <v/>
      </c>
    </row>
    <row r="540">
      <c r="E540">
        <f>O540=ROUND(529*0.1,10)</f>
        <v/>
      </c>
      <c r="F540">
        <f>P540=ROUND(529*0.2,10)</f>
        <v/>
      </c>
      <c r="G540">
        <f>Q540=ROUND(529*0.3,10)</f>
        <v/>
      </c>
      <c r="H540">
        <f>R540=ROUND(529*0.05,10)</f>
        <v/>
      </c>
      <c r="I540">
        <f>S540=ROUND(529*0.01,10)</f>
        <v/>
      </c>
      <c r="J540">
        <f>T540=ROUND(529*0.7,10)</f>
        <v/>
      </c>
      <c r="K540">
        <f>U540=ROUND(529*1.1,10)</f>
        <v/>
      </c>
      <c r="L540">
        <f>V540=ROUND(529*0.25,10)</f>
        <v/>
      </c>
      <c r="M540">
        <f>W540=ROUND(529*0.5,10)</f>
        <v/>
      </c>
      <c r="O540">
        <f>O539+0.1</f>
        <v/>
      </c>
      <c r="P540">
        <f>P539+0.2</f>
        <v/>
      </c>
      <c r="Q540">
        <f>Q539+0.3</f>
        <v/>
      </c>
      <c r="R540">
        <f>R539+0.05</f>
        <v/>
      </c>
      <c r="S540">
        <f>S539+0.01</f>
        <v/>
      </c>
      <c r="T540">
        <f>T539+0.7</f>
        <v/>
      </c>
      <c r="U540">
        <f>U539+1.1</f>
        <v/>
      </c>
      <c r="V540">
        <f>V539+0.25</f>
        <v/>
      </c>
      <c r="W540">
        <f>W539+0.5</f>
        <v/>
      </c>
    </row>
    <row r="541">
      <c r="E541">
        <f>O541=ROUND(530*0.1,10)</f>
        <v/>
      </c>
      <c r="F541">
        <f>P541=ROUND(530*0.2,10)</f>
        <v/>
      </c>
      <c r="G541">
        <f>Q541=ROUND(530*0.3,10)</f>
        <v/>
      </c>
      <c r="H541">
        <f>R541=ROUND(530*0.05,10)</f>
        <v/>
      </c>
      <c r="I541">
        <f>S541=ROUND(530*0.01,10)</f>
        <v/>
      </c>
      <c r="J541">
        <f>T541=ROUND(530*0.7,10)</f>
        <v/>
      </c>
      <c r="K541">
        <f>U541=ROUND(530*1.1,10)</f>
        <v/>
      </c>
      <c r="L541">
        <f>V541=ROUND(530*0.25,10)</f>
        <v/>
      </c>
      <c r="M541">
        <f>W541=ROUND(530*0.5,10)</f>
        <v/>
      </c>
      <c r="O541">
        <f>O540+0.1</f>
        <v/>
      </c>
      <c r="P541">
        <f>P540+0.2</f>
        <v/>
      </c>
      <c r="Q541">
        <f>Q540+0.3</f>
        <v/>
      </c>
      <c r="R541">
        <f>R540+0.05</f>
        <v/>
      </c>
      <c r="S541">
        <f>S540+0.01</f>
        <v/>
      </c>
      <c r="T541">
        <f>T540+0.7</f>
        <v/>
      </c>
      <c r="U541">
        <f>U540+1.1</f>
        <v/>
      </c>
      <c r="V541">
        <f>V540+0.25</f>
        <v/>
      </c>
      <c r="W541">
        <f>W540+0.5</f>
        <v/>
      </c>
    </row>
    <row r="542">
      <c r="E542">
        <f>O542=ROUND(531*0.1,10)</f>
        <v/>
      </c>
      <c r="F542">
        <f>P542=ROUND(531*0.2,10)</f>
        <v/>
      </c>
      <c r="G542">
        <f>Q542=ROUND(531*0.3,10)</f>
        <v/>
      </c>
      <c r="H542">
        <f>R542=ROUND(531*0.05,10)</f>
        <v/>
      </c>
      <c r="I542">
        <f>S542=ROUND(531*0.01,10)</f>
        <v/>
      </c>
      <c r="J542">
        <f>T542=ROUND(531*0.7,10)</f>
        <v/>
      </c>
      <c r="K542">
        <f>U542=ROUND(531*1.1,10)</f>
        <v/>
      </c>
      <c r="L542">
        <f>V542=ROUND(531*0.25,10)</f>
        <v/>
      </c>
      <c r="M542">
        <f>W542=ROUND(531*0.5,10)</f>
        <v/>
      </c>
      <c r="O542">
        <f>O541+0.1</f>
        <v/>
      </c>
      <c r="P542">
        <f>P541+0.2</f>
        <v/>
      </c>
      <c r="Q542">
        <f>Q541+0.3</f>
        <v/>
      </c>
      <c r="R542">
        <f>R541+0.05</f>
        <v/>
      </c>
      <c r="S542">
        <f>S541+0.01</f>
        <v/>
      </c>
      <c r="T542">
        <f>T541+0.7</f>
        <v/>
      </c>
      <c r="U542">
        <f>U541+1.1</f>
        <v/>
      </c>
      <c r="V542">
        <f>V541+0.25</f>
        <v/>
      </c>
      <c r="W542">
        <f>W541+0.5</f>
        <v/>
      </c>
    </row>
    <row r="543">
      <c r="E543">
        <f>O543=ROUND(532*0.1,10)</f>
        <v/>
      </c>
      <c r="F543">
        <f>P543=ROUND(532*0.2,10)</f>
        <v/>
      </c>
      <c r="G543">
        <f>Q543=ROUND(532*0.3,10)</f>
        <v/>
      </c>
      <c r="H543">
        <f>R543=ROUND(532*0.05,10)</f>
        <v/>
      </c>
      <c r="I543">
        <f>S543=ROUND(532*0.01,10)</f>
        <v/>
      </c>
      <c r="J543">
        <f>T543=ROUND(532*0.7,10)</f>
        <v/>
      </c>
      <c r="K543">
        <f>U543=ROUND(532*1.1,10)</f>
        <v/>
      </c>
      <c r="L543">
        <f>V543=ROUND(532*0.25,10)</f>
        <v/>
      </c>
      <c r="M543">
        <f>W543=ROUND(532*0.5,10)</f>
        <v/>
      </c>
      <c r="O543">
        <f>O542+0.1</f>
        <v/>
      </c>
      <c r="P543">
        <f>P542+0.2</f>
        <v/>
      </c>
      <c r="Q543">
        <f>Q542+0.3</f>
        <v/>
      </c>
      <c r="R543">
        <f>R542+0.05</f>
        <v/>
      </c>
      <c r="S543">
        <f>S542+0.01</f>
        <v/>
      </c>
      <c r="T543">
        <f>T542+0.7</f>
        <v/>
      </c>
      <c r="U543">
        <f>U542+1.1</f>
        <v/>
      </c>
      <c r="V543">
        <f>V542+0.25</f>
        <v/>
      </c>
      <c r="W543">
        <f>W542+0.5</f>
        <v/>
      </c>
    </row>
    <row r="544">
      <c r="E544">
        <f>O544=ROUND(533*0.1,10)</f>
        <v/>
      </c>
      <c r="F544">
        <f>P544=ROUND(533*0.2,10)</f>
        <v/>
      </c>
      <c r="G544">
        <f>Q544=ROUND(533*0.3,10)</f>
        <v/>
      </c>
      <c r="H544">
        <f>R544=ROUND(533*0.05,10)</f>
        <v/>
      </c>
      <c r="I544">
        <f>S544=ROUND(533*0.01,10)</f>
        <v/>
      </c>
      <c r="J544">
        <f>T544=ROUND(533*0.7,10)</f>
        <v/>
      </c>
      <c r="K544">
        <f>U544=ROUND(533*1.1,10)</f>
        <v/>
      </c>
      <c r="L544">
        <f>V544=ROUND(533*0.25,10)</f>
        <v/>
      </c>
      <c r="M544">
        <f>W544=ROUND(533*0.5,10)</f>
        <v/>
      </c>
      <c r="O544">
        <f>O543+0.1</f>
        <v/>
      </c>
      <c r="P544">
        <f>P543+0.2</f>
        <v/>
      </c>
      <c r="Q544">
        <f>Q543+0.3</f>
        <v/>
      </c>
      <c r="R544">
        <f>R543+0.05</f>
        <v/>
      </c>
      <c r="S544">
        <f>S543+0.01</f>
        <v/>
      </c>
      <c r="T544">
        <f>T543+0.7</f>
        <v/>
      </c>
      <c r="U544">
        <f>U543+1.1</f>
        <v/>
      </c>
      <c r="V544">
        <f>V543+0.25</f>
        <v/>
      </c>
      <c r="W544">
        <f>W543+0.5</f>
        <v/>
      </c>
    </row>
    <row r="545">
      <c r="E545">
        <f>O545=ROUND(534*0.1,10)</f>
        <v/>
      </c>
      <c r="F545">
        <f>P545=ROUND(534*0.2,10)</f>
        <v/>
      </c>
      <c r="G545">
        <f>Q545=ROUND(534*0.3,10)</f>
        <v/>
      </c>
      <c r="H545">
        <f>R545=ROUND(534*0.05,10)</f>
        <v/>
      </c>
      <c r="I545">
        <f>S545=ROUND(534*0.01,10)</f>
        <v/>
      </c>
      <c r="J545">
        <f>T545=ROUND(534*0.7,10)</f>
        <v/>
      </c>
      <c r="K545">
        <f>U545=ROUND(534*1.1,10)</f>
        <v/>
      </c>
      <c r="L545">
        <f>V545=ROUND(534*0.25,10)</f>
        <v/>
      </c>
      <c r="M545">
        <f>W545=ROUND(534*0.5,10)</f>
        <v/>
      </c>
      <c r="O545">
        <f>O544+0.1</f>
        <v/>
      </c>
      <c r="P545">
        <f>P544+0.2</f>
        <v/>
      </c>
      <c r="Q545">
        <f>Q544+0.3</f>
        <v/>
      </c>
      <c r="R545">
        <f>R544+0.05</f>
        <v/>
      </c>
      <c r="S545">
        <f>S544+0.01</f>
        <v/>
      </c>
      <c r="T545">
        <f>T544+0.7</f>
        <v/>
      </c>
      <c r="U545">
        <f>U544+1.1</f>
        <v/>
      </c>
      <c r="V545">
        <f>V544+0.25</f>
        <v/>
      </c>
      <c r="W545">
        <f>W544+0.5</f>
        <v/>
      </c>
    </row>
    <row r="546">
      <c r="E546">
        <f>O546=ROUND(535*0.1,10)</f>
        <v/>
      </c>
      <c r="F546">
        <f>P546=ROUND(535*0.2,10)</f>
        <v/>
      </c>
      <c r="G546">
        <f>Q546=ROUND(535*0.3,10)</f>
        <v/>
      </c>
      <c r="H546">
        <f>R546=ROUND(535*0.05,10)</f>
        <v/>
      </c>
      <c r="I546">
        <f>S546=ROUND(535*0.01,10)</f>
        <v/>
      </c>
      <c r="J546">
        <f>T546=ROUND(535*0.7,10)</f>
        <v/>
      </c>
      <c r="K546">
        <f>U546=ROUND(535*1.1,10)</f>
        <v/>
      </c>
      <c r="L546">
        <f>V546=ROUND(535*0.25,10)</f>
        <v/>
      </c>
      <c r="M546">
        <f>W546=ROUND(535*0.5,10)</f>
        <v/>
      </c>
      <c r="O546">
        <f>O545+0.1</f>
        <v/>
      </c>
      <c r="P546">
        <f>P545+0.2</f>
        <v/>
      </c>
      <c r="Q546">
        <f>Q545+0.3</f>
        <v/>
      </c>
      <c r="R546">
        <f>R545+0.05</f>
        <v/>
      </c>
      <c r="S546">
        <f>S545+0.01</f>
        <v/>
      </c>
      <c r="T546">
        <f>T545+0.7</f>
        <v/>
      </c>
      <c r="U546">
        <f>U545+1.1</f>
        <v/>
      </c>
      <c r="V546">
        <f>V545+0.25</f>
        <v/>
      </c>
      <c r="W546">
        <f>W545+0.5</f>
        <v/>
      </c>
    </row>
    <row r="547">
      <c r="E547">
        <f>O547=ROUND(536*0.1,10)</f>
        <v/>
      </c>
      <c r="F547">
        <f>P547=ROUND(536*0.2,10)</f>
        <v/>
      </c>
      <c r="G547">
        <f>Q547=ROUND(536*0.3,10)</f>
        <v/>
      </c>
      <c r="H547">
        <f>R547=ROUND(536*0.05,10)</f>
        <v/>
      </c>
      <c r="I547">
        <f>S547=ROUND(536*0.01,10)</f>
        <v/>
      </c>
      <c r="J547">
        <f>T547=ROUND(536*0.7,10)</f>
        <v/>
      </c>
      <c r="K547">
        <f>U547=ROUND(536*1.1,10)</f>
        <v/>
      </c>
      <c r="L547">
        <f>V547=ROUND(536*0.25,10)</f>
        <v/>
      </c>
      <c r="M547">
        <f>W547=ROUND(536*0.5,10)</f>
        <v/>
      </c>
      <c r="O547">
        <f>O546+0.1</f>
        <v/>
      </c>
      <c r="P547">
        <f>P546+0.2</f>
        <v/>
      </c>
      <c r="Q547">
        <f>Q546+0.3</f>
        <v/>
      </c>
      <c r="R547">
        <f>R546+0.05</f>
        <v/>
      </c>
      <c r="S547">
        <f>S546+0.01</f>
        <v/>
      </c>
      <c r="T547">
        <f>T546+0.7</f>
        <v/>
      </c>
      <c r="U547">
        <f>U546+1.1</f>
        <v/>
      </c>
      <c r="V547">
        <f>V546+0.25</f>
        <v/>
      </c>
      <c r="W547">
        <f>W546+0.5</f>
        <v/>
      </c>
    </row>
    <row r="548">
      <c r="E548">
        <f>O548=ROUND(537*0.1,10)</f>
        <v/>
      </c>
      <c r="F548">
        <f>P548=ROUND(537*0.2,10)</f>
        <v/>
      </c>
      <c r="G548">
        <f>Q548=ROUND(537*0.3,10)</f>
        <v/>
      </c>
      <c r="H548">
        <f>R548=ROUND(537*0.05,10)</f>
        <v/>
      </c>
      <c r="I548">
        <f>S548=ROUND(537*0.01,10)</f>
        <v/>
      </c>
      <c r="J548">
        <f>T548=ROUND(537*0.7,10)</f>
        <v/>
      </c>
      <c r="K548">
        <f>U548=ROUND(537*1.1,10)</f>
        <v/>
      </c>
      <c r="L548">
        <f>V548=ROUND(537*0.25,10)</f>
        <v/>
      </c>
      <c r="M548">
        <f>W548=ROUND(537*0.5,10)</f>
        <v/>
      </c>
      <c r="O548">
        <f>O547+0.1</f>
        <v/>
      </c>
      <c r="P548">
        <f>P547+0.2</f>
        <v/>
      </c>
      <c r="Q548">
        <f>Q547+0.3</f>
        <v/>
      </c>
      <c r="R548">
        <f>R547+0.05</f>
        <v/>
      </c>
      <c r="S548">
        <f>S547+0.01</f>
        <v/>
      </c>
      <c r="T548">
        <f>T547+0.7</f>
        <v/>
      </c>
      <c r="U548">
        <f>U547+1.1</f>
        <v/>
      </c>
      <c r="V548">
        <f>V547+0.25</f>
        <v/>
      </c>
      <c r="W548">
        <f>W547+0.5</f>
        <v/>
      </c>
    </row>
    <row r="549">
      <c r="E549">
        <f>O549=ROUND(538*0.1,10)</f>
        <v/>
      </c>
      <c r="F549">
        <f>P549=ROUND(538*0.2,10)</f>
        <v/>
      </c>
      <c r="G549">
        <f>Q549=ROUND(538*0.3,10)</f>
        <v/>
      </c>
      <c r="H549">
        <f>R549=ROUND(538*0.05,10)</f>
        <v/>
      </c>
      <c r="I549">
        <f>S549=ROUND(538*0.01,10)</f>
        <v/>
      </c>
      <c r="J549">
        <f>T549=ROUND(538*0.7,10)</f>
        <v/>
      </c>
      <c r="K549">
        <f>U549=ROUND(538*1.1,10)</f>
        <v/>
      </c>
      <c r="L549">
        <f>V549=ROUND(538*0.25,10)</f>
        <v/>
      </c>
      <c r="M549">
        <f>W549=ROUND(538*0.5,10)</f>
        <v/>
      </c>
      <c r="O549">
        <f>O548+0.1</f>
        <v/>
      </c>
      <c r="P549">
        <f>P548+0.2</f>
        <v/>
      </c>
      <c r="Q549">
        <f>Q548+0.3</f>
        <v/>
      </c>
      <c r="R549">
        <f>R548+0.05</f>
        <v/>
      </c>
      <c r="S549">
        <f>S548+0.01</f>
        <v/>
      </c>
      <c r="T549">
        <f>T548+0.7</f>
        <v/>
      </c>
      <c r="U549">
        <f>U548+1.1</f>
        <v/>
      </c>
      <c r="V549">
        <f>V548+0.25</f>
        <v/>
      </c>
      <c r="W549">
        <f>W548+0.5</f>
        <v/>
      </c>
    </row>
    <row r="550">
      <c r="E550">
        <f>O550=ROUND(539*0.1,10)</f>
        <v/>
      </c>
      <c r="F550">
        <f>P550=ROUND(539*0.2,10)</f>
        <v/>
      </c>
      <c r="G550">
        <f>Q550=ROUND(539*0.3,10)</f>
        <v/>
      </c>
      <c r="H550">
        <f>R550=ROUND(539*0.05,10)</f>
        <v/>
      </c>
      <c r="I550">
        <f>S550=ROUND(539*0.01,10)</f>
        <v/>
      </c>
      <c r="J550">
        <f>T550=ROUND(539*0.7,10)</f>
        <v/>
      </c>
      <c r="K550">
        <f>U550=ROUND(539*1.1,10)</f>
        <v/>
      </c>
      <c r="L550">
        <f>V550=ROUND(539*0.25,10)</f>
        <v/>
      </c>
      <c r="M550">
        <f>W550=ROUND(539*0.5,10)</f>
        <v/>
      </c>
      <c r="O550">
        <f>O549+0.1</f>
        <v/>
      </c>
      <c r="P550">
        <f>P549+0.2</f>
        <v/>
      </c>
      <c r="Q550">
        <f>Q549+0.3</f>
        <v/>
      </c>
      <c r="R550">
        <f>R549+0.05</f>
        <v/>
      </c>
      <c r="S550">
        <f>S549+0.01</f>
        <v/>
      </c>
      <c r="T550">
        <f>T549+0.7</f>
        <v/>
      </c>
      <c r="U550">
        <f>U549+1.1</f>
        <v/>
      </c>
      <c r="V550">
        <f>V549+0.25</f>
        <v/>
      </c>
      <c r="W550">
        <f>W549+0.5</f>
        <v/>
      </c>
    </row>
    <row r="551">
      <c r="E551">
        <f>O551=ROUND(540*0.1,10)</f>
        <v/>
      </c>
      <c r="F551">
        <f>P551=ROUND(540*0.2,10)</f>
        <v/>
      </c>
      <c r="G551">
        <f>Q551=ROUND(540*0.3,10)</f>
        <v/>
      </c>
      <c r="H551">
        <f>R551=ROUND(540*0.05,10)</f>
        <v/>
      </c>
      <c r="I551">
        <f>S551=ROUND(540*0.01,10)</f>
        <v/>
      </c>
      <c r="J551">
        <f>T551=ROUND(540*0.7,10)</f>
        <v/>
      </c>
      <c r="K551">
        <f>U551=ROUND(540*1.1,10)</f>
        <v/>
      </c>
      <c r="L551">
        <f>V551=ROUND(540*0.25,10)</f>
        <v/>
      </c>
      <c r="M551">
        <f>W551=ROUND(540*0.5,10)</f>
        <v/>
      </c>
      <c r="O551">
        <f>O550+0.1</f>
        <v/>
      </c>
      <c r="P551">
        <f>P550+0.2</f>
        <v/>
      </c>
      <c r="Q551">
        <f>Q550+0.3</f>
        <v/>
      </c>
      <c r="R551">
        <f>R550+0.05</f>
        <v/>
      </c>
      <c r="S551">
        <f>S550+0.01</f>
        <v/>
      </c>
      <c r="T551">
        <f>T550+0.7</f>
        <v/>
      </c>
      <c r="U551">
        <f>U550+1.1</f>
        <v/>
      </c>
      <c r="V551">
        <f>V550+0.25</f>
        <v/>
      </c>
      <c r="W551">
        <f>W550+0.5</f>
        <v/>
      </c>
    </row>
    <row r="552">
      <c r="E552">
        <f>O552=ROUND(541*0.1,10)</f>
        <v/>
      </c>
      <c r="F552">
        <f>P552=ROUND(541*0.2,10)</f>
        <v/>
      </c>
      <c r="G552">
        <f>Q552=ROUND(541*0.3,10)</f>
        <v/>
      </c>
      <c r="H552">
        <f>R552=ROUND(541*0.05,10)</f>
        <v/>
      </c>
      <c r="I552">
        <f>S552=ROUND(541*0.01,10)</f>
        <v/>
      </c>
      <c r="J552">
        <f>T552=ROUND(541*0.7,10)</f>
        <v/>
      </c>
      <c r="K552">
        <f>U552=ROUND(541*1.1,10)</f>
        <v/>
      </c>
      <c r="L552">
        <f>V552=ROUND(541*0.25,10)</f>
        <v/>
      </c>
      <c r="M552">
        <f>W552=ROUND(541*0.5,10)</f>
        <v/>
      </c>
      <c r="O552">
        <f>O551+0.1</f>
        <v/>
      </c>
      <c r="P552">
        <f>P551+0.2</f>
        <v/>
      </c>
      <c r="Q552">
        <f>Q551+0.3</f>
        <v/>
      </c>
      <c r="R552">
        <f>R551+0.05</f>
        <v/>
      </c>
      <c r="S552">
        <f>S551+0.01</f>
        <v/>
      </c>
      <c r="T552">
        <f>T551+0.7</f>
        <v/>
      </c>
      <c r="U552">
        <f>U551+1.1</f>
        <v/>
      </c>
      <c r="V552">
        <f>V551+0.25</f>
        <v/>
      </c>
      <c r="W552">
        <f>W551+0.5</f>
        <v/>
      </c>
    </row>
    <row r="553">
      <c r="E553">
        <f>O553=ROUND(542*0.1,10)</f>
        <v/>
      </c>
      <c r="F553">
        <f>P553=ROUND(542*0.2,10)</f>
        <v/>
      </c>
      <c r="G553">
        <f>Q553=ROUND(542*0.3,10)</f>
        <v/>
      </c>
      <c r="H553">
        <f>R553=ROUND(542*0.05,10)</f>
        <v/>
      </c>
      <c r="I553">
        <f>S553=ROUND(542*0.01,10)</f>
        <v/>
      </c>
      <c r="J553">
        <f>T553=ROUND(542*0.7,10)</f>
        <v/>
      </c>
      <c r="K553">
        <f>U553=ROUND(542*1.1,10)</f>
        <v/>
      </c>
      <c r="L553">
        <f>V553=ROUND(542*0.25,10)</f>
        <v/>
      </c>
      <c r="M553">
        <f>W553=ROUND(542*0.5,10)</f>
        <v/>
      </c>
      <c r="O553">
        <f>O552+0.1</f>
        <v/>
      </c>
      <c r="P553">
        <f>P552+0.2</f>
        <v/>
      </c>
      <c r="Q553">
        <f>Q552+0.3</f>
        <v/>
      </c>
      <c r="R553">
        <f>R552+0.05</f>
        <v/>
      </c>
      <c r="S553">
        <f>S552+0.01</f>
        <v/>
      </c>
      <c r="T553">
        <f>T552+0.7</f>
        <v/>
      </c>
      <c r="U553">
        <f>U552+1.1</f>
        <v/>
      </c>
      <c r="V553">
        <f>V552+0.25</f>
        <v/>
      </c>
      <c r="W553">
        <f>W552+0.5</f>
        <v/>
      </c>
    </row>
    <row r="554">
      <c r="E554">
        <f>O554=ROUND(543*0.1,10)</f>
        <v/>
      </c>
      <c r="F554">
        <f>P554=ROUND(543*0.2,10)</f>
        <v/>
      </c>
      <c r="G554">
        <f>Q554=ROUND(543*0.3,10)</f>
        <v/>
      </c>
      <c r="H554">
        <f>R554=ROUND(543*0.05,10)</f>
        <v/>
      </c>
      <c r="I554">
        <f>S554=ROUND(543*0.01,10)</f>
        <v/>
      </c>
      <c r="J554">
        <f>T554=ROUND(543*0.7,10)</f>
        <v/>
      </c>
      <c r="K554">
        <f>U554=ROUND(543*1.1,10)</f>
        <v/>
      </c>
      <c r="L554">
        <f>V554=ROUND(543*0.25,10)</f>
        <v/>
      </c>
      <c r="M554">
        <f>W554=ROUND(543*0.5,10)</f>
        <v/>
      </c>
      <c r="O554">
        <f>O553+0.1</f>
        <v/>
      </c>
      <c r="P554">
        <f>P553+0.2</f>
        <v/>
      </c>
      <c r="Q554">
        <f>Q553+0.3</f>
        <v/>
      </c>
      <c r="R554">
        <f>R553+0.05</f>
        <v/>
      </c>
      <c r="S554">
        <f>S553+0.01</f>
        <v/>
      </c>
      <c r="T554">
        <f>T553+0.7</f>
        <v/>
      </c>
      <c r="U554">
        <f>U553+1.1</f>
        <v/>
      </c>
      <c r="V554">
        <f>V553+0.25</f>
        <v/>
      </c>
      <c r="W554">
        <f>W553+0.5</f>
        <v/>
      </c>
    </row>
    <row r="555">
      <c r="E555">
        <f>O555=ROUND(544*0.1,10)</f>
        <v/>
      </c>
      <c r="F555">
        <f>P555=ROUND(544*0.2,10)</f>
        <v/>
      </c>
      <c r="G555">
        <f>Q555=ROUND(544*0.3,10)</f>
        <v/>
      </c>
      <c r="H555">
        <f>R555=ROUND(544*0.05,10)</f>
        <v/>
      </c>
      <c r="I555">
        <f>S555=ROUND(544*0.01,10)</f>
        <v/>
      </c>
      <c r="J555">
        <f>T555=ROUND(544*0.7,10)</f>
        <v/>
      </c>
      <c r="K555">
        <f>U555=ROUND(544*1.1,10)</f>
        <v/>
      </c>
      <c r="L555">
        <f>V555=ROUND(544*0.25,10)</f>
        <v/>
      </c>
      <c r="M555">
        <f>W555=ROUND(544*0.5,10)</f>
        <v/>
      </c>
      <c r="O555">
        <f>O554+0.1</f>
        <v/>
      </c>
      <c r="P555">
        <f>P554+0.2</f>
        <v/>
      </c>
      <c r="Q555">
        <f>Q554+0.3</f>
        <v/>
      </c>
      <c r="R555">
        <f>R554+0.05</f>
        <v/>
      </c>
      <c r="S555">
        <f>S554+0.01</f>
        <v/>
      </c>
      <c r="T555">
        <f>T554+0.7</f>
        <v/>
      </c>
      <c r="U555">
        <f>U554+1.1</f>
        <v/>
      </c>
      <c r="V555">
        <f>V554+0.25</f>
        <v/>
      </c>
      <c r="W555">
        <f>W554+0.5</f>
        <v/>
      </c>
    </row>
    <row r="556">
      <c r="E556">
        <f>O556=ROUND(545*0.1,10)</f>
        <v/>
      </c>
      <c r="F556">
        <f>P556=ROUND(545*0.2,10)</f>
        <v/>
      </c>
      <c r="G556">
        <f>Q556=ROUND(545*0.3,10)</f>
        <v/>
      </c>
      <c r="H556">
        <f>R556=ROUND(545*0.05,10)</f>
        <v/>
      </c>
      <c r="I556">
        <f>S556=ROUND(545*0.01,10)</f>
        <v/>
      </c>
      <c r="J556">
        <f>T556=ROUND(545*0.7,10)</f>
        <v/>
      </c>
      <c r="K556">
        <f>U556=ROUND(545*1.1,10)</f>
        <v/>
      </c>
      <c r="L556">
        <f>V556=ROUND(545*0.25,10)</f>
        <v/>
      </c>
      <c r="M556">
        <f>W556=ROUND(545*0.5,10)</f>
        <v/>
      </c>
      <c r="O556">
        <f>O555+0.1</f>
        <v/>
      </c>
      <c r="P556">
        <f>P555+0.2</f>
        <v/>
      </c>
      <c r="Q556">
        <f>Q555+0.3</f>
        <v/>
      </c>
      <c r="R556">
        <f>R555+0.05</f>
        <v/>
      </c>
      <c r="S556">
        <f>S555+0.01</f>
        <v/>
      </c>
      <c r="T556">
        <f>T555+0.7</f>
        <v/>
      </c>
      <c r="U556">
        <f>U555+1.1</f>
        <v/>
      </c>
      <c r="V556">
        <f>V555+0.25</f>
        <v/>
      </c>
      <c r="W556">
        <f>W555+0.5</f>
        <v/>
      </c>
    </row>
    <row r="557">
      <c r="E557">
        <f>O557=ROUND(546*0.1,10)</f>
        <v/>
      </c>
      <c r="F557">
        <f>P557=ROUND(546*0.2,10)</f>
        <v/>
      </c>
      <c r="G557">
        <f>Q557=ROUND(546*0.3,10)</f>
        <v/>
      </c>
      <c r="H557">
        <f>R557=ROUND(546*0.05,10)</f>
        <v/>
      </c>
      <c r="I557">
        <f>S557=ROUND(546*0.01,10)</f>
        <v/>
      </c>
      <c r="J557">
        <f>T557=ROUND(546*0.7,10)</f>
        <v/>
      </c>
      <c r="K557">
        <f>U557=ROUND(546*1.1,10)</f>
        <v/>
      </c>
      <c r="L557">
        <f>V557=ROUND(546*0.25,10)</f>
        <v/>
      </c>
      <c r="M557">
        <f>W557=ROUND(546*0.5,10)</f>
        <v/>
      </c>
      <c r="O557">
        <f>O556+0.1</f>
        <v/>
      </c>
      <c r="P557">
        <f>P556+0.2</f>
        <v/>
      </c>
      <c r="Q557">
        <f>Q556+0.3</f>
        <v/>
      </c>
      <c r="R557">
        <f>R556+0.05</f>
        <v/>
      </c>
      <c r="S557">
        <f>S556+0.01</f>
        <v/>
      </c>
      <c r="T557">
        <f>T556+0.7</f>
        <v/>
      </c>
      <c r="U557">
        <f>U556+1.1</f>
        <v/>
      </c>
      <c r="V557">
        <f>V556+0.25</f>
        <v/>
      </c>
      <c r="W557">
        <f>W556+0.5</f>
        <v/>
      </c>
    </row>
    <row r="558">
      <c r="E558">
        <f>O558=ROUND(547*0.1,10)</f>
        <v/>
      </c>
      <c r="F558">
        <f>P558=ROUND(547*0.2,10)</f>
        <v/>
      </c>
      <c r="G558">
        <f>Q558=ROUND(547*0.3,10)</f>
        <v/>
      </c>
      <c r="H558">
        <f>R558=ROUND(547*0.05,10)</f>
        <v/>
      </c>
      <c r="I558">
        <f>S558=ROUND(547*0.01,10)</f>
        <v/>
      </c>
      <c r="J558">
        <f>T558=ROUND(547*0.7,10)</f>
        <v/>
      </c>
      <c r="K558">
        <f>U558=ROUND(547*1.1,10)</f>
        <v/>
      </c>
      <c r="L558">
        <f>V558=ROUND(547*0.25,10)</f>
        <v/>
      </c>
      <c r="M558">
        <f>W558=ROUND(547*0.5,10)</f>
        <v/>
      </c>
      <c r="O558">
        <f>O557+0.1</f>
        <v/>
      </c>
      <c r="P558">
        <f>P557+0.2</f>
        <v/>
      </c>
      <c r="Q558">
        <f>Q557+0.3</f>
        <v/>
      </c>
      <c r="R558">
        <f>R557+0.05</f>
        <v/>
      </c>
      <c r="S558">
        <f>S557+0.01</f>
        <v/>
      </c>
      <c r="T558">
        <f>T557+0.7</f>
        <v/>
      </c>
      <c r="U558">
        <f>U557+1.1</f>
        <v/>
      </c>
      <c r="V558">
        <f>V557+0.25</f>
        <v/>
      </c>
      <c r="W558">
        <f>W557+0.5</f>
        <v/>
      </c>
    </row>
    <row r="559">
      <c r="E559">
        <f>O559=ROUND(548*0.1,10)</f>
        <v/>
      </c>
      <c r="F559">
        <f>P559=ROUND(548*0.2,10)</f>
        <v/>
      </c>
      <c r="G559">
        <f>Q559=ROUND(548*0.3,10)</f>
        <v/>
      </c>
      <c r="H559">
        <f>R559=ROUND(548*0.05,10)</f>
        <v/>
      </c>
      <c r="I559">
        <f>S559=ROUND(548*0.01,10)</f>
        <v/>
      </c>
      <c r="J559">
        <f>T559=ROUND(548*0.7,10)</f>
        <v/>
      </c>
      <c r="K559">
        <f>U559=ROUND(548*1.1,10)</f>
        <v/>
      </c>
      <c r="L559">
        <f>V559=ROUND(548*0.25,10)</f>
        <v/>
      </c>
      <c r="M559">
        <f>W559=ROUND(548*0.5,10)</f>
        <v/>
      </c>
      <c r="O559">
        <f>O558+0.1</f>
        <v/>
      </c>
      <c r="P559">
        <f>P558+0.2</f>
        <v/>
      </c>
      <c r="Q559">
        <f>Q558+0.3</f>
        <v/>
      </c>
      <c r="R559">
        <f>R558+0.05</f>
        <v/>
      </c>
      <c r="S559">
        <f>S558+0.01</f>
        <v/>
      </c>
      <c r="T559">
        <f>T558+0.7</f>
        <v/>
      </c>
      <c r="U559">
        <f>U558+1.1</f>
        <v/>
      </c>
      <c r="V559">
        <f>V558+0.25</f>
        <v/>
      </c>
      <c r="W559">
        <f>W558+0.5</f>
        <v/>
      </c>
    </row>
    <row r="560">
      <c r="E560">
        <f>O560=ROUND(549*0.1,10)</f>
        <v/>
      </c>
      <c r="F560">
        <f>P560=ROUND(549*0.2,10)</f>
        <v/>
      </c>
      <c r="G560">
        <f>Q560=ROUND(549*0.3,10)</f>
        <v/>
      </c>
      <c r="H560">
        <f>R560=ROUND(549*0.05,10)</f>
        <v/>
      </c>
      <c r="I560">
        <f>S560=ROUND(549*0.01,10)</f>
        <v/>
      </c>
      <c r="J560">
        <f>T560=ROUND(549*0.7,10)</f>
        <v/>
      </c>
      <c r="K560">
        <f>U560=ROUND(549*1.1,10)</f>
        <v/>
      </c>
      <c r="L560">
        <f>V560=ROUND(549*0.25,10)</f>
        <v/>
      </c>
      <c r="M560">
        <f>W560=ROUND(549*0.5,10)</f>
        <v/>
      </c>
      <c r="O560">
        <f>O559+0.1</f>
        <v/>
      </c>
      <c r="P560">
        <f>P559+0.2</f>
        <v/>
      </c>
      <c r="Q560">
        <f>Q559+0.3</f>
        <v/>
      </c>
      <c r="R560">
        <f>R559+0.05</f>
        <v/>
      </c>
      <c r="S560">
        <f>S559+0.01</f>
        <v/>
      </c>
      <c r="T560">
        <f>T559+0.7</f>
        <v/>
      </c>
      <c r="U560">
        <f>U559+1.1</f>
        <v/>
      </c>
      <c r="V560">
        <f>V559+0.25</f>
        <v/>
      </c>
      <c r="W560">
        <f>W559+0.5</f>
        <v/>
      </c>
    </row>
    <row r="561">
      <c r="E561">
        <f>O561=ROUND(550*0.1,10)</f>
        <v/>
      </c>
      <c r="F561">
        <f>P561=ROUND(550*0.2,10)</f>
        <v/>
      </c>
      <c r="G561">
        <f>Q561=ROUND(550*0.3,10)</f>
        <v/>
      </c>
      <c r="H561">
        <f>R561=ROUND(550*0.05,10)</f>
        <v/>
      </c>
      <c r="I561">
        <f>S561=ROUND(550*0.01,10)</f>
        <v/>
      </c>
      <c r="J561">
        <f>T561=ROUND(550*0.7,10)</f>
        <v/>
      </c>
      <c r="K561">
        <f>U561=ROUND(550*1.1,10)</f>
        <v/>
      </c>
      <c r="L561">
        <f>V561=ROUND(550*0.25,10)</f>
        <v/>
      </c>
      <c r="M561">
        <f>W561=ROUND(550*0.5,10)</f>
        <v/>
      </c>
      <c r="O561">
        <f>O560+0.1</f>
        <v/>
      </c>
      <c r="P561">
        <f>P560+0.2</f>
        <v/>
      </c>
      <c r="Q561">
        <f>Q560+0.3</f>
        <v/>
      </c>
      <c r="R561">
        <f>R560+0.05</f>
        <v/>
      </c>
      <c r="S561">
        <f>S560+0.01</f>
        <v/>
      </c>
      <c r="T561">
        <f>T560+0.7</f>
        <v/>
      </c>
      <c r="U561">
        <f>U560+1.1</f>
        <v/>
      </c>
      <c r="V561">
        <f>V560+0.25</f>
        <v/>
      </c>
      <c r="W561">
        <f>W560+0.5</f>
        <v/>
      </c>
    </row>
    <row r="562">
      <c r="E562">
        <f>O562=ROUND(551*0.1,10)</f>
        <v/>
      </c>
      <c r="F562">
        <f>P562=ROUND(551*0.2,10)</f>
        <v/>
      </c>
      <c r="G562">
        <f>Q562=ROUND(551*0.3,10)</f>
        <v/>
      </c>
      <c r="H562">
        <f>R562=ROUND(551*0.05,10)</f>
        <v/>
      </c>
      <c r="I562">
        <f>S562=ROUND(551*0.01,10)</f>
        <v/>
      </c>
      <c r="J562">
        <f>T562=ROUND(551*0.7,10)</f>
        <v/>
      </c>
      <c r="K562">
        <f>U562=ROUND(551*1.1,10)</f>
        <v/>
      </c>
      <c r="L562">
        <f>V562=ROUND(551*0.25,10)</f>
        <v/>
      </c>
      <c r="M562">
        <f>W562=ROUND(551*0.5,10)</f>
        <v/>
      </c>
      <c r="O562">
        <f>O561+0.1</f>
        <v/>
      </c>
      <c r="P562">
        <f>P561+0.2</f>
        <v/>
      </c>
      <c r="Q562">
        <f>Q561+0.3</f>
        <v/>
      </c>
      <c r="R562">
        <f>R561+0.05</f>
        <v/>
      </c>
      <c r="S562">
        <f>S561+0.01</f>
        <v/>
      </c>
      <c r="T562">
        <f>T561+0.7</f>
        <v/>
      </c>
      <c r="U562">
        <f>U561+1.1</f>
        <v/>
      </c>
      <c r="V562">
        <f>V561+0.25</f>
        <v/>
      </c>
      <c r="W562">
        <f>W561+0.5</f>
        <v/>
      </c>
    </row>
    <row r="563">
      <c r="E563">
        <f>O563=ROUND(552*0.1,10)</f>
        <v/>
      </c>
      <c r="F563">
        <f>P563=ROUND(552*0.2,10)</f>
        <v/>
      </c>
      <c r="G563">
        <f>Q563=ROUND(552*0.3,10)</f>
        <v/>
      </c>
      <c r="H563">
        <f>R563=ROUND(552*0.05,10)</f>
        <v/>
      </c>
      <c r="I563">
        <f>S563=ROUND(552*0.01,10)</f>
        <v/>
      </c>
      <c r="J563">
        <f>T563=ROUND(552*0.7,10)</f>
        <v/>
      </c>
      <c r="K563">
        <f>U563=ROUND(552*1.1,10)</f>
        <v/>
      </c>
      <c r="L563">
        <f>V563=ROUND(552*0.25,10)</f>
        <v/>
      </c>
      <c r="M563">
        <f>W563=ROUND(552*0.5,10)</f>
        <v/>
      </c>
      <c r="O563">
        <f>O562+0.1</f>
        <v/>
      </c>
      <c r="P563">
        <f>P562+0.2</f>
        <v/>
      </c>
      <c r="Q563">
        <f>Q562+0.3</f>
        <v/>
      </c>
      <c r="R563">
        <f>R562+0.05</f>
        <v/>
      </c>
      <c r="S563">
        <f>S562+0.01</f>
        <v/>
      </c>
      <c r="T563">
        <f>T562+0.7</f>
        <v/>
      </c>
      <c r="U563">
        <f>U562+1.1</f>
        <v/>
      </c>
      <c r="V563">
        <f>V562+0.25</f>
        <v/>
      </c>
      <c r="W563">
        <f>W562+0.5</f>
        <v/>
      </c>
    </row>
    <row r="564">
      <c r="E564">
        <f>O564=ROUND(553*0.1,10)</f>
        <v/>
      </c>
      <c r="F564">
        <f>P564=ROUND(553*0.2,10)</f>
        <v/>
      </c>
      <c r="G564">
        <f>Q564=ROUND(553*0.3,10)</f>
        <v/>
      </c>
      <c r="H564">
        <f>R564=ROUND(553*0.05,10)</f>
        <v/>
      </c>
      <c r="I564">
        <f>S564=ROUND(553*0.01,10)</f>
        <v/>
      </c>
      <c r="J564">
        <f>T564=ROUND(553*0.7,10)</f>
        <v/>
      </c>
      <c r="K564">
        <f>U564=ROUND(553*1.1,10)</f>
        <v/>
      </c>
      <c r="L564">
        <f>V564=ROUND(553*0.25,10)</f>
        <v/>
      </c>
      <c r="M564">
        <f>W564=ROUND(553*0.5,10)</f>
        <v/>
      </c>
      <c r="O564">
        <f>O563+0.1</f>
        <v/>
      </c>
      <c r="P564">
        <f>P563+0.2</f>
        <v/>
      </c>
      <c r="Q564">
        <f>Q563+0.3</f>
        <v/>
      </c>
      <c r="R564">
        <f>R563+0.05</f>
        <v/>
      </c>
      <c r="S564">
        <f>S563+0.01</f>
        <v/>
      </c>
      <c r="T564">
        <f>T563+0.7</f>
        <v/>
      </c>
      <c r="U564">
        <f>U563+1.1</f>
        <v/>
      </c>
      <c r="V564">
        <f>V563+0.25</f>
        <v/>
      </c>
      <c r="W564">
        <f>W563+0.5</f>
        <v/>
      </c>
    </row>
    <row r="565">
      <c r="E565">
        <f>O565=ROUND(554*0.1,10)</f>
        <v/>
      </c>
      <c r="F565">
        <f>P565=ROUND(554*0.2,10)</f>
        <v/>
      </c>
      <c r="G565">
        <f>Q565=ROUND(554*0.3,10)</f>
        <v/>
      </c>
      <c r="H565">
        <f>R565=ROUND(554*0.05,10)</f>
        <v/>
      </c>
      <c r="I565">
        <f>S565=ROUND(554*0.01,10)</f>
        <v/>
      </c>
      <c r="J565">
        <f>T565=ROUND(554*0.7,10)</f>
        <v/>
      </c>
      <c r="K565">
        <f>U565=ROUND(554*1.1,10)</f>
        <v/>
      </c>
      <c r="L565">
        <f>V565=ROUND(554*0.25,10)</f>
        <v/>
      </c>
      <c r="M565">
        <f>W565=ROUND(554*0.5,10)</f>
        <v/>
      </c>
      <c r="O565">
        <f>O564+0.1</f>
        <v/>
      </c>
      <c r="P565">
        <f>P564+0.2</f>
        <v/>
      </c>
      <c r="Q565">
        <f>Q564+0.3</f>
        <v/>
      </c>
      <c r="R565">
        <f>R564+0.05</f>
        <v/>
      </c>
      <c r="S565">
        <f>S564+0.01</f>
        <v/>
      </c>
      <c r="T565">
        <f>T564+0.7</f>
        <v/>
      </c>
      <c r="U565">
        <f>U564+1.1</f>
        <v/>
      </c>
      <c r="V565">
        <f>V564+0.25</f>
        <v/>
      </c>
      <c r="W565">
        <f>W564+0.5</f>
        <v/>
      </c>
    </row>
    <row r="566">
      <c r="E566">
        <f>O566=ROUND(555*0.1,10)</f>
        <v/>
      </c>
      <c r="F566">
        <f>P566=ROUND(555*0.2,10)</f>
        <v/>
      </c>
      <c r="G566">
        <f>Q566=ROUND(555*0.3,10)</f>
        <v/>
      </c>
      <c r="H566">
        <f>R566=ROUND(555*0.05,10)</f>
        <v/>
      </c>
      <c r="I566">
        <f>S566=ROUND(555*0.01,10)</f>
        <v/>
      </c>
      <c r="J566">
        <f>T566=ROUND(555*0.7,10)</f>
        <v/>
      </c>
      <c r="K566">
        <f>U566=ROUND(555*1.1,10)</f>
        <v/>
      </c>
      <c r="L566">
        <f>V566=ROUND(555*0.25,10)</f>
        <v/>
      </c>
      <c r="M566">
        <f>W566=ROUND(555*0.5,10)</f>
        <v/>
      </c>
      <c r="O566">
        <f>O565+0.1</f>
        <v/>
      </c>
      <c r="P566">
        <f>P565+0.2</f>
        <v/>
      </c>
      <c r="Q566">
        <f>Q565+0.3</f>
        <v/>
      </c>
      <c r="R566">
        <f>R565+0.05</f>
        <v/>
      </c>
      <c r="S566">
        <f>S565+0.01</f>
        <v/>
      </c>
      <c r="T566">
        <f>T565+0.7</f>
        <v/>
      </c>
      <c r="U566">
        <f>U565+1.1</f>
        <v/>
      </c>
      <c r="V566">
        <f>V565+0.25</f>
        <v/>
      </c>
      <c r="W566">
        <f>W565+0.5</f>
        <v/>
      </c>
    </row>
    <row r="567">
      <c r="E567">
        <f>O567=ROUND(556*0.1,10)</f>
        <v/>
      </c>
      <c r="F567">
        <f>P567=ROUND(556*0.2,10)</f>
        <v/>
      </c>
      <c r="G567">
        <f>Q567=ROUND(556*0.3,10)</f>
        <v/>
      </c>
      <c r="H567">
        <f>R567=ROUND(556*0.05,10)</f>
        <v/>
      </c>
      <c r="I567">
        <f>S567=ROUND(556*0.01,10)</f>
        <v/>
      </c>
      <c r="J567">
        <f>T567=ROUND(556*0.7,10)</f>
        <v/>
      </c>
      <c r="K567">
        <f>U567=ROUND(556*1.1,10)</f>
        <v/>
      </c>
      <c r="L567">
        <f>V567=ROUND(556*0.25,10)</f>
        <v/>
      </c>
      <c r="M567">
        <f>W567=ROUND(556*0.5,10)</f>
        <v/>
      </c>
      <c r="O567">
        <f>O566+0.1</f>
        <v/>
      </c>
      <c r="P567">
        <f>P566+0.2</f>
        <v/>
      </c>
      <c r="Q567">
        <f>Q566+0.3</f>
        <v/>
      </c>
      <c r="R567">
        <f>R566+0.05</f>
        <v/>
      </c>
      <c r="S567">
        <f>S566+0.01</f>
        <v/>
      </c>
      <c r="T567">
        <f>T566+0.7</f>
        <v/>
      </c>
      <c r="U567">
        <f>U566+1.1</f>
        <v/>
      </c>
      <c r="V567">
        <f>V566+0.25</f>
        <v/>
      </c>
      <c r="W567">
        <f>W566+0.5</f>
        <v/>
      </c>
    </row>
    <row r="568">
      <c r="E568">
        <f>O568=ROUND(557*0.1,10)</f>
        <v/>
      </c>
      <c r="F568">
        <f>P568=ROUND(557*0.2,10)</f>
        <v/>
      </c>
      <c r="G568">
        <f>Q568=ROUND(557*0.3,10)</f>
        <v/>
      </c>
      <c r="H568">
        <f>R568=ROUND(557*0.05,10)</f>
        <v/>
      </c>
      <c r="I568">
        <f>S568=ROUND(557*0.01,10)</f>
        <v/>
      </c>
      <c r="J568">
        <f>T568=ROUND(557*0.7,10)</f>
        <v/>
      </c>
      <c r="K568">
        <f>U568=ROUND(557*1.1,10)</f>
        <v/>
      </c>
      <c r="L568">
        <f>V568=ROUND(557*0.25,10)</f>
        <v/>
      </c>
      <c r="M568">
        <f>W568=ROUND(557*0.5,10)</f>
        <v/>
      </c>
      <c r="O568">
        <f>O567+0.1</f>
        <v/>
      </c>
      <c r="P568">
        <f>P567+0.2</f>
        <v/>
      </c>
      <c r="Q568">
        <f>Q567+0.3</f>
        <v/>
      </c>
      <c r="R568">
        <f>R567+0.05</f>
        <v/>
      </c>
      <c r="S568">
        <f>S567+0.01</f>
        <v/>
      </c>
      <c r="T568">
        <f>T567+0.7</f>
        <v/>
      </c>
      <c r="U568">
        <f>U567+1.1</f>
        <v/>
      </c>
      <c r="V568">
        <f>V567+0.25</f>
        <v/>
      </c>
      <c r="W568">
        <f>W567+0.5</f>
        <v/>
      </c>
    </row>
    <row r="569">
      <c r="E569">
        <f>O569=ROUND(558*0.1,10)</f>
        <v/>
      </c>
      <c r="F569">
        <f>P569=ROUND(558*0.2,10)</f>
        <v/>
      </c>
      <c r="G569">
        <f>Q569=ROUND(558*0.3,10)</f>
        <v/>
      </c>
      <c r="H569">
        <f>R569=ROUND(558*0.05,10)</f>
        <v/>
      </c>
      <c r="I569">
        <f>S569=ROUND(558*0.01,10)</f>
        <v/>
      </c>
      <c r="J569">
        <f>T569=ROUND(558*0.7,10)</f>
        <v/>
      </c>
      <c r="K569">
        <f>U569=ROUND(558*1.1,10)</f>
        <v/>
      </c>
      <c r="L569">
        <f>V569=ROUND(558*0.25,10)</f>
        <v/>
      </c>
      <c r="M569">
        <f>W569=ROUND(558*0.5,10)</f>
        <v/>
      </c>
      <c r="O569">
        <f>O568+0.1</f>
        <v/>
      </c>
      <c r="P569">
        <f>P568+0.2</f>
        <v/>
      </c>
      <c r="Q569">
        <f>Q568+0.3</f>
        <v/>
      </c>
      <c r="R569">
        <f>R568+0.05</f>
        <v/>
      </c>
      <c r="S569">
        <f>S568+0.01</f>
        <v/>
      </c>
      <c r="T569">
        <f>T568+0.7</f>
        <v/>
      </c>
      <c r="U569">
        <f>U568+1.1</f>
        <v/>
      </c>
      <c r="V569">
        <f>V568+0.25</f>
        <v/>
      </c>
      <c r="W569">
        <f>W568+0.5</f>
        <v/>
      </c>
    </row>
    <row r="570">
      <c r="E570">
        <f>O570=ROUND(559*0.1,10)</f>
        <v/>
      </c>
      <c r="F570">
        <f>P570=ROUND(559*0.2,10)</f>
        <v/>
      </c>
      <c r="G570">
        <f>Q570=ROUND(559*0.3,10)</f>
        <v/>
      </c>
      <c r="H570">
        <f>R570=ROUND(559*0.05,10)</f>
        <v/>
      </c>
      <c r="I570">
        <f>S570=ROUND(559*0.01,10)</f>
        <v/>
      </c>
      <c r="J570">
        <f>T570=ROUND(559*0.7,10)</f>
        <v/>
      </c>
      <c r="K570">
        <f>U570=ROUND(559*1.1,10)</f>
        <v/>
      </c>
      <c r="L570">
        <f>V570=ROUND(559*0.25,10)</f>
        <v/>
      </c>
      <c r="M570">
        <f>W570=ROUND(559*0.5,10)</f>
        <v/>
      </c>
      <c r="O570">
        <f>O569+0.1</f>
        <v/>
      </c>
      <c r="P570">
        <f>P569+0.2</f>
        <v/>
      </c>
      <c r="Q570">
        <f>Q569+0.3</f>
        <v/>
      </c>
      <c r="R570">
        <f>R569+0.05</f>
        <v/>
      </c>
      <c r="S570">
        <f>S569+0.01</f>
        <v/>
      </c>
      <c r="T570">
        <f>T569+0.7</f>
        <v/>
      </c>
      <c r="U570">
        <f>U569+1.1</f>
        <v/>
      </c>
      <c r="V570">
        <f>V569+0.25</f>
        <v/>
      </c>
      <c r="W570">
        <f>W569+0.5</f>
        <v/>
      </c>
    </row>
    <row r="571">
      <c r="E571">
        <f>O571=ROUND(560*0.1,10)</f>
        <v/>
      </c>
      <c r="F571">
        <f>P571=ROUND(560*0.2,10)</f>
        <v/>
      </c>
      <c r="G571">
        <f>Q571=ROUND(560*0.3,10)</f>
        <v/>
      </c>
      <c r="H571">
        <f>R571=ROUND(560*0.05,10)</f>
        <v/>
      </c>
      <c r="I571">
        <f>S571=ROUND(560*0.01,10)</f>
        <v/>
      </c>
      <c r="J571">
        <f>T571=ROUND(560*0.7,10)</f>
        <v/>
      </c>
      <c r="K571">
        <f>U571=ROUND(560*1.1,10)</f>
        <v/>
      </c>
      <c r="L571">
        <f>V571=ROUND(560*0.25,10)</f>
        <v/>
      </c>
      <c r="M571">
        <f>W571=ROUND(560*0.5,10)</f>
        <v/>
      </c>
      <c r="O571">
        <f>O570+0.1</f>
        <v/>
      </c>
      <c r="P571">
        <f>P570+0.2</f>
        <v/>
      </c>
      <c r="Q571">
        <f>Q570+0.3</f>
        <v/>
      </c>
      <c r="R571">
        <f>R570+0.05</f>
        <v/>
      </c>
      <c r="S571">
        <f>S570+0.01</f>
        <v/>
      </c>
      <c r="T571">
        <f>T570+0.7</f>
        <v/>
      </c>
      <c r="U571">
        <f>U570+1.1</f>
        <v/>
      </c>
      <c r="V571">
        <f>V570+0.25</f>
        <v/>
      </c>
      <c r="W571">
        <f>W570+0.5</f>
        <v/>
      </c>
    </row>
    <row r="572">
      <c r="E572">
        <f>O572=ROUND(561*0.1,10)</f>
        <v/>
      </c>
      <c r="F572">
        <f>P572=ROUND(561*0.2,10)</f>
        <v/>
      </c>
      <c r="G572">
        <f>Q572=ROUND(561*0.3,10)</f>
        <v/>
      </c>
      <c r="H572">
        <f>R572=ROUND(561*0.05,10)</f>
        <v/>
      </c>
      <c r="I572">
        <f>S572=ROUND(561*0.01,10)</f>
        <v/>
      </c>
      <c r="J572">
        <f>T572=ROUND(561*0.7,10)</f>
        <v/>
      </c>
      <c r="K572">
        <f>U572=ROUND(561*1.1,10)</f>
        <v/>
      </c>
      <c r="L572">
        <f>V572=ROUND(561*0.25,10)</f>
        <v/>
      </c>
      <c r="M572">
        <f>W572=ROUND(561*0.5,10)</f>
        <v/>
      </c>
      <c r="O572">
        <f>O571+0.1</f>
        <v/>
      </c>
      <c r="P572">
        <f>P571+0.2</f>
        <v/>
      </c>
      <c r="Q572">
        <f>Q571+0.3</f>
        <v/>
      </c>
      <c r="R572">
        <f>R571+0.05</f>
        <v/>
      </c>
      <c r="S572">
        <f>S571+0.01</f>
        <v/>
      </c>
      <c r="T572">
        <f>T571+0.7</f>
        <v/>
      </c>
      <c r="U572">
        <f>U571+1.1</f>
        <v/>
      </c>
      <c r="V572">
        <f>V571+0.25</f>
        <v/>
      </c>
      <c r="W572">
        <f>W571+0.5</f>
        <v/>
      </c>
    </row>
    <row r="573">
      <c r="E573">
        <f>O573=ROUND(562*0.1,10)</f>
        <v/>
      </c>
      <c r="F573">
        <f>P573=ROUND(562*0.2,10)</f>
        <v/>
      </c>
      <c r="G573">
        <f>Q573=ROUND(562*0.3,10)</f>
        <v/>
      </c>
      <c r="H573">
        <f>R573=ROUND(562*0.05,10)</f>
        <v/>
      </c>
      <c r="I573">
        <f>S573=ROUND(562*0.01,10)</f>
        <v/>
      </c>
      <c r="J573">
        <f>T573=ROUND(562*0.7,10)</f>
        <v/>
      </c>
      <c r="K573">
        <f>U573=ROUND(562*1.1,10)</f>
        <v/>
      </c>
      <c r="L573">
        <f>V573=ROUND(562*0.25,10)</f>
        <v/>
      </c>
      <c r="M573">
        <f>W573=ROUND(562*0.5,10)</f>
        <v/>
      </c>
      <c r="O573">
        <f>O572+0.1</f>
        <v/>
      </c>
      <c r="P573">
        <f>P572+0.2</f>
        <v/>
      </c>
      <c r="Q573">
        <f>Q572+0.3</f>
        <v/>
      </c>
      <c r="R573">
        <f>R572+0.05</f>
        <v/>
      </c>
      <c r="S573">
        <f>S572+0.01</f>
        <v/>
      </c>
      <c r="T573">
        <f>T572+0.7</f>
        <v/>
      </c>
      <c r="U573">
        <f>U572+1.1</f>
        <v/>
      </c>
      <c r="V573">
        <f>V572+0.25</f>
        <v/>
      </c>
      <c r="W573">
        <f>W572+0.5</f>
        <v/>
      </c>
    </row>
    <row r="574">
      <c r="E574">
        <f>O574=ROUND(563*0.1,10)</f>
        <v/>
      </c>
      <c r="F574">
        <f>P574=ROUND(563*0.2,10)</f>
        <v/>
      </c>
      <c r="G574">
        <f>Q574=ROUND(563*0.3,10)</f>
        <v/>
      </c>
      <c r="H574">
        <f>R574=ROUND(563*0.05,10)</f>
        <v/>
      </c>
      <c r="I574">
        <f>S574=ROUND(563*0.01,10)</f>
        <v/>
      </c>
      <c r="J574">
        <f>T574=ROUND(563*0.7,10)</f>
        <v/>
      </c>
      <c r="K574">
        <f>U574=ROUND(563*1.1,10)</f>
        <v/>
      </c>
      <c r="L574">
        <f>V574=ROUND(563*0.25,10)</f>
        <v/>
      </c>
      <c r="M574">
        <f>W574=ROUND(563*0.5,10)</f>
        <v/>
      </c>
      <c r="O574">
        <f>O573+0.1</f>
        <v/>
      </c>
      <c r="P574">
        <f>P573+0.2</f>
        <v/>
      </c>
      <c r="Q574">
        <f>Q573+0.3</f>
        <v/>
      </c>
      <c r="R574">
        <f>R573+0.05</f>
        <v/>
      </c>
      <c r="S574">
        <f>S573+0.01</f>
        <v/>
      </c>
      <c r="T574">
        <f>T573+0.7</f>
        <v/>
      </c>
      <c r="U574">
        <f>U573+1.1</f>
        <v/>
      </c>
      <c r="V574">
        <f>V573+0.25</f>
        <v/>
      </c>
      <c r="W574">
        <f>W573+0.5</f>
        <v/>
      </c>
    </row>
    <row r="575">
      <c r="E575">
        <f>O575=ROUND(564*0.1,10)</f>
        <v/>
      </c>
      <c r="F575">
        <f>P575=ROUND(564*0.2,10)</f>
        <v/>
      </c>
      <c r="G575">
        <f>Q575=ROUND(564*0.3,10)</f>
        <v/>
      </c>
      <c r="H575">
        <f>R575=ROUND(564*0.05,10)</f>
        <v/>
      </c>
      <c r="I575">
        <f>S575=ROUND(564*0.01,10)</f>
        <v/>
      </c>
      <c r="J575">
        <f>T575=ROUND(564*0.7,10)</f>
        <v/>
      </c>
      <c r="K575">
        <f>U575=ROUND(564*1.1,10)</f>
        <v/>
      </c>
      <c r="L575">
        <f>V575=ROUND(564*0.25,10)</f>
        <v/>
      </c>
      <c r="M575">
        <f>W575=ROUND(564*0.5,10)</f>
        <v/>
      </c>
      <c r="O575">
        <f>O574+0.1</f>
        <v/>
      </c>
      <c r="P575">
        <f>P574+0.2</f>
        <v/>
      </c>
      <c r="Q575">
        <f>Q574+0.3</f>
        <v/>
      </c>
      <c r="R575">
        <f>R574+0.05</f>
        <v/>
      </c>
      <c r="S575">
        <f>S574+0.01</f>
        <v/>
      </c>
      <c r="T575">
        <f>T574+0.7</f>
        <v/>
      </c>
      <c r="U575">
        <f>U574+1.1</f>
        <v/>
      </c>
      <c r="V575">
        <f>V574+0.25</f>
        <v/>
      </c>
      <c r="W575">
        <f>W574+0.5</f>
        <v/>
      </c>
    </row>
    <row r="576">
      <c r="E576">
        <f>O576=ROUND(565*0.1,10)</f>
        <v/>
      </c>
      <c r="F576">
        <f>P576=ROUND(565*0.2,10)</f>
        <v/>
      </c>
      <c r="G576">
        <f>Q576=ROUND(565*0.3,10)</f>
        <v/>
      </c>
      <c r="H576">
        <f>R576=ROUND(565*0.05,10)</f>
        <v/>
      </c>
      <c r="I576">
        <f>S576=ROUND(565*0.01,10)</f>
        <v/>
      </c>
      <c r="J576">
        <f>T576=ROUND(565*0.7,10)</f>
        <v/>
      </c>
      <c r="K576">
        <f>U576=ROUND(565*1.1,10)</f>
        <v/>
      </c>
      <c r="L576">
        <f>V576=ROUND(565*0.25,10)</f>
        <v/>
      </c>
      <c r="M576">
        <f>W576=ROUND(565*0.5,10)</f>
        <v/>
      </c>
      <c r="O576">
        <f>O575+0.1</f>
        <v/>
      </c>
      <c r="P576">
        <f>P575+0.2</f>
        <v/>
      </c>
      <c r="Q576">
        <f>Q575+0.3</f>
        <v/>
      </c>
      <c r="R576">
        <f>R575+0.05</f>
        <v/>
      </c>
      <c r="S576">
        <f>S575+0.01</f>
        <v/>
      </c>
      <c r="T576">
        <f>T575+0.7</f>
        <v/>
      </c>
      <c r="U576">
        <f>U575+1.1</f>
        <v/>
      </c>
      <c r="V576">
        <f>V575+0.25</f>
        <v/>
      </c>
      <c r="W576">
        <f>W575+0.5</f>
        <v/>
      </c>
    </row>
    <row r="577">
      <c r="E577">
        <f>O577=ROUND(566*0.1,10)</f>
        <v/>
      </c>
      <c r="F577">
        <f>P577=ROUND(566*0.2,10)</f>
        <v/>
      </c>
      <c r="G577">
        <f>Q577=ROUND(566*0.3,10)</f>
        <v/>
      </c>
      <c r="H577">
        <f>R577=ROUND(566*0.05,10)</f>
        <v/>
      </c>
      <c r="I577">
        <f>S577=ROUND(566*0.01,10)</f>
        <v/>
      </c>
      <c r="J577">
        <f>T577=ROUND(566*0.7,10)</f>
        <v/>
      </c>
      <c r="K577">
        <f>U577=ROUND(566*1.1,10)</f>
        <v/>
      </c>
      <c r="L577">
        <f>V577=ROUND(566*0.25,10)</f>
        <v/>
      </c>
      <c r="M577">
        <f>W577=ROUND(566*0.5,10)</f>
        <v/>
      </c>
      <c r="O577">
        <f>O576+0.1</f>
        <v/>
      </c>
      <c r="P577">
        <f>P576+0.2</f>
        <v/>
      </c>
      <c r="Q577">
        <f>Q576+0.3</f>
        <v/>
      </c>
      <c r="R577">
        <f>R576+0.05</f>
        <v/>
      </c>
      <c r="S577">
        <f>S576+0.01</f>
        <v/>
      </c>
      <c r="T577">
        <f>T576+0.7</f>
        <v/>
      </c>
      <c r="U577">
        <f>U576+1.1</f>
        <v/>
      </c>
      <c r="V577">
        <f>V576+0.25</f>
        <v/>
      </c>
      <c r="W577">
        <f>W576+0.5</f>
        <v/>
      </c>
    </row>
    <row r="578">
      <c r="E578">
        <f>O578=ROUND(567*0.1,10)</f>
        <v/>
      </c>
      <c r="F578">
        <f>P578=ROUND(567*0.2,10)</f>
        <v/>
      </c>
      <c r="G578">
        <f>Q578=ROUND(567*0.3,10)</f>
        <v/>
      </c>
      <c r="H578">
        <f>R578=ROUND(567*0.05,10)</f>
        <v/>
      </c>
      <c r="I578">
        <f>S578=ROUND(567*0.01,10)</f>
        <v/>
      </c>
      <c r="J578">
        <f>T578=ROUND(567*0.7,10)</f>
        <v/>
      </c>
      <c r="K578">
        <f>U578=ROUND(567*1.1,10)</f>
        <v/>
      </c>
      <c r="L578">
        <f>V578=ROUND(567*0.25,10)</f>
        <v/>
      </c>
      <c r="M578">
        <f>W578=ROUND(567*0.5,10)</f>
        <v/>
      </c>
      <c r="O578">
        <f>O577+0.1</f>
        <v/>
      </c>
      <c r="P578">
        <f>P577+0.2</f>
        <v/>
      </c>
      <c r="Q578">
        <f>Q577+0.3</f>
        <v/>
      </c>
      <c r="R578">
        <f>R577+0.05</f>
        <v/>
      </c>
      <c r="S578">
        <f>S577+0.01</f>
        <v/>
      </c>
      <c r="T578">
        <f>T577+0.7</f>
        <v/>
      </c>
      <c r="U578">
        <f>U577+1.1</f>
        <v/>
      </c>
      <c r="V578">
        <f>V577+0.25</f>
        <v/>
      </c>
      <c r="W578">
        <f>W577+0.5</f>
        <v/>
      </c>
    </row>
    <row r="579">
      <c r="E579">
        <f>O579=ROUND(568*0.1,10)</f>
        <v/>
      </c>
      <c r="F579">
        <f>P579=ROUND(568*0.2,10)</f>
        <v/>
      </c>
      <c r="G579">
        <f>Q579=ROUND(568*0.3,10)</f>
        <v/>
      </c>
      <c r="H579">
        <f>R579=ROUND(568*0.05,10)</f>
        <v/>
      </c>
      <c r="I579">
        <f>S579=ROUND(568*0.01,10)</f>
        <v/>
      </c>
      <c r="J579">
        <f>T579=ROUND(568*0.7,10)</f>
        <v/>
      </c>
      <c r="K579">
        <f>U579=ROUND(568*1.1,10)</f>
        <v/>
      </c>
      <c r="L579">
        <f>V579=ROUND(568*0.25,10)</f>
        <v/>
      </c>
      <c r="M579">
        <f>W579=ROUND(568*0.5,10)</f>
        <v/>
      </c>
      <c r="O579">
        <f>O578+0.1</f>
        <v/>
      </c>
      <c r="P579">
        <f>P578+0.2</f>
        <v/>
      </c>
      <c r="Q579">
        <f>Q578+0.3</f>
        <v/>
      </c>
      <c r="R579">
        <f>R578+0.05</f>
        <v/>
      </c>
      <c r="S579">
        <f>S578+0.01</f>
        <v/>
      </c>
      <c r="T579">
        <f>T578+0.7</f>
        <v/>
      </c>
      <c r="U579">
        <f>U578+1.1</f>
        <v/>
      </c>
      <c r="V579">
        <f>V578+0.25</f>
        <v/>
      </c>
      <c r="W579">
        <f>W578+0.5</f>
        <v/>
      </c>
    </row>
    <row r="580">
      <c r="E580">
        <f>O580=ROUND(569*0.1,10)</f>
        <v/>
      </c>
      <c r="F580">
        <f>P580=ROUND(569*0.2,10)</f>
        <v/>
      </c>
      <c r="G580">
        <f>Q580=ROUND(569*0.3,10)</f>
        <v/>
      </c>
      <c r="H580">
        <f>R580=ROUND(569*0.05,10)</f>
        <v/>
      </c>
      <c r="I580">
        <f>S580=ROUND(569*0.01,10)</f>
        <v/>
      </c>
      <c r="J580">
        <f>T580=ROUND(569*0.7,10)</f>
        <v/>
      </c>
      <c r="K580">
        <f>U580=ROUND(569*1.1,10)</f>
        <v/>
      </c>
      <c r="L580">
        <f>V580=ROUND(569*0.25,10)</f>
        <v/>
      </c>
      <c r="M580">
        <f>W580=ROUND(569*0.5,10)</f>
        <v/>
      </c>
      <c r="O580">
        <f>O579+0.1</f>
        <v/>
      </c>
      <c r="P580">
        <f>P579+0.2</f>
        <v/>
      </c>
      <c r="Q580">
        <f>Q579+0.3</f>
        <v/>
      </c>
      <c r="R580">
        <f>R579+0.05</f>
        <v/>
      </c>
      <c r="S580">
        <f>S579+0.01</f>
        <v/>
      </c>
      <c r="T580">
        <f>T579+0.7</f>
        <v/>
      </c>
      <c r="U580">
        <f>U579+1.1</f>
        <v/>
      </c>
      <c r="V580">
        <f>V579+0.25</f>
        <v/>
      </c>
      <c r="W580">
        <f>W579+0.5</f>
        <v/>
      </c>
    </row>
    <row r="581">
      <c r="E581">
        <f>O581=ROUND(570*0.1,10)</f>
        <v/>
      </c>
      <c r="F581">
        <f>P581=ROUND(570*0.2,10)</f>
        <v/>
      </c>
      <c r="G581">
        <f>Q581=ROUND(570*0.3,10)</f>
        <v/>
      </c>
      <c r="H581">
        <f>R581=ROUND(570*0.05,10)</f>
        <v/>
      </c>
      <c r="I581">
        <f>S581=ROUND(570*0.01,10)</f>
        <v/>
      </c>
      <c r="J581">
        <f>T581=ROUND(570*0.7,10)</f>
        <v/>
      </c>
      <c r="K581">
        <f>U581=ROUND(570*1.1,10)</f>
        <v/>
      </c>
      <c r="L581">
        <f>V581=ROUND(570*0.25,10)</f>
        <v/>
      </c>
      <c r="M581">
        <f>W581=ROUND(570*0.5,10)</f>
        <v/>
      </c>
      <c r="O581">
        <f>O580+0.1</f>
        <v/>
      </c>
      <c r="P581">
        <f>P580+0.2</f>
        <v/>
      </c>
      <c r="Q581">
        <f>Q580+0.3</f>
        <v/>
      </c>
      <c r="R581">
        <f>R580+0.05</f>
        <v/>
      </c>
      <c r="S581">
        <f>S580+0.01</f>
        <v/>
      </c>
      <c r="T581">
        <f>T580+0.7</f>
        <v/>
      </c>
      <c r="U581">
        <f>U580+1.1</f>
        <v/>
      </c>
      <c r="V581">
        <f>V580+0.25</f>
        <v/>
      </c>
      <c r="W581">
        <f>W580+0.5</f>
        <v/>
      </c>
    </row>
    <row r="582">
      <c r="E582">
        <f>O582=ROUND(571*0.1,10)</f>
        <v/>
      </c>
      <c r="F582">
        <f>P582=ROUND(571*0.2,10)</f>
        <v/>
      </c>
      <c r="G582">
        <f>Q582=ROUND(571*0.3,10)</f>
        <v/>
      </c>
      <c r="H582">
        <f>R582=ROUND(571*0.05,10)</f>
        <v/>
      </c>
      <c r="I582">
        <f>S582=ROUND(571*0.01,10)</f>
        <v/>
      </c>
      <c r="J582">
        <f>T582=ROUND(571*0.7,10)</f>
        <v/>
      </c>
      <c r="K582">
        <f>U582=ROUND(571*1.1,10)</f>
        <v/>
      </c>
      <c r="L582">
        <f>V582=ROUND(571*0.25,10)</f>
        <v/>
      </c>
      <c r="M582">
        <f>W582=ROUND(571*0.5,10)</f>
        <v/>
      </c>
      <c r="O582">
        <f>O581+0.1</f>
        <v/>
      </c>
      <c r="P582">
        <f>P581+0.2</f>
        <v/>
      </c>
      <c r="Q582">
        <f>Q581+0.3</f>
        <v/>
      </c>
      <c r="R582">
        <f>R581+0.05</f>
        <v/>
      </c>
      <c r="S582">
        <f>S581+0.01</f>
        <v/>
      </c>
      <c r="T582">
        <f>T581+0.7</f>
        <v/>
      </c>
      <c r="U582">
        <f>U581+1.1</f>
        <v/>
      </c>
      <c r="V582">
        <f>V581+0.25</f>
        <v/>
      </c>
      <c r="W582">
        <f>W581+0.5</f>
        <v/>
      </c>
    </row>
    <row r="583">
      <c r="E583">
        <f>O583=ROUND(572*0.1,10)</f>
        <v/>
      </c>
      <c r="F583">
        <f>P583=ROUND(572*0.2,10)</f>
        <v/>
      </c>
      <c r="G583">
        <f>Q583=ROUND(572*0.3,10)</f>
        <v/>
      </c>
      <c r="H583">
        <f>R583=ROUND(572*0.05,10)</f>
        <v/>
      </c>
      <c r="I583">
        <f>S583=ROUND(572*0.01,10)</f>
        <v/>
      </c>
      <c r="J583">
        <f>T583=ROUND(572*0.7,10)</f>
        <v/>
      </c>
      <c r="K583">
        <f>U583=ROUND(572*1.1,10)</f>
        <v/>
      </c>
      <c r="L583">
        <f>V583=ROUND(572*0.25,10)</f>
        <v/>
      </c>
      <c r="M583">
        <f>W583=ROUND(572*0.5,10)</f>
        <v/>
      </c>
      <c r="O583">
        <f>O582+0.1</f>
        <v/>
      </c>
      <c r="P583">
        <f>P582+0.2</f>
        <v/>
      </c>
      <c r="Q583">
        <f>Q582+0.3</f>
        <v/>
      </c>
      <c r="R583">
        <f>R582+0.05</f>
        <v/>
      </c>
      <c r="S583">
        <f>S582+0.01</f>
        <v/>
      </c>
      <c r="T583">
        <f>T582+0.7</f>
        <v/>
      </c>
      <c r="U583">
        <f>U582+1.1</f>
        <v/>
      </c>
      <c r="V583">
        <f>V582+0.25</f>
        <v/>
      </c>
      <c r="W583">
        <f>W582+0.5</f>
        <v/>
      </c>
    </row>
    <row r="584">
      <c r="E584">
        <f>O584=ROUND(573*0.1,10)</f>
        <v/>
      </c>
      <c r="F584">
        <f>P584=ROUND(573*0.2,10)</f>
        <v/>
      </c>
      <c r="G584">
        <f>Q584=ROUND(573*0.3,10)</f>
        <v/>
      </c>
      <c r="H584">
        <f>R584=ROUND(573*0.05,10)</f>
        <v/>
      </c>
      <c r="I584">
        <f>S584=ROUND(573*0.01,10)</f>
        <v/>
      </c>
      <c r="J584">
        <f>T584=ROUND(573*0.7,10)</f>
        <v/>
      </c>
      <c r="K584">
        <f>U584=ROUND(573*1.1,10)</f>
        <v/>
      </c>
      <c r="L584">
        <f>V584=ROUND(573*0.25,10)</f>
        <v/>
      </c>
      <c r="M584">
        <f>W584=ROUND(573*0.5,10)</f>
        <v/>
      </c>
      <c r="O584">
        <f>O583+0.1</f>
        <v/>
      </c>
      <c r="P584">
        <f>P583+0.2</f>
        <v/>
      </c>
      <c r="Q584">
        <f>Q583+0.3</f>
        <v/>
      </c>
      <c r="R584">
        <f>R583+0.05</f>
        <v/>
      </c>
      <c r="S584">
        <f>S583+0.01</f>
        <v/>
      </c>
      <c r="T584">
        <f>T583+0.7</f>
        <v/>
      </c>
      <c r="U584">
        <f>U583+1.1</f>
        <v/>
      </c>
      <c r="V584">
        <f>V583+0.25</f>
        <v/>
      </c>
      <c r="W584">
        <f>W583+0.5</f>
        <v/>
      </c>
    </row>
    <row r="585">
      <c r="E585">
        <f>O585=ROUND(574*0.1,10)</f>
        <v/>
      </c>
      <c r="F585">
        <f>P585=ROUND(574*0.2,10)</f>
        <v/>
      </c>
      <c r="G585">
        <f>Q585=ROUND(574*0.3,10)</f>
        <v/>
      </c>
      <c r="H585">
        <f>R585=ROUND(574*0.05,10)</f>
        <v/>
      </c>
      <c r="I585">
        <f>S585=ROUND(574*0.01,10)</f>
        <v/>
      </c>
      <c r="J585">
        <f>T585=ROUND(574*0.7,10)</f>
        <v/>
      </c>
      <c r="K585">
        <f>U585=ROUND(574*1.1,10)</f>
        <v/>
      </c>
      <c r="L585">
        <f>V585=ROUND(574*0.25,10)</f>
        <v/>
      </c>
      <c r="M585">
        <f>W585=ROUND(574*0.5,10)</f>
        <v/>
      </c>
      <c r="O585">
        <f>O584+0.1</f>
        <v/>
      </c>
      <c r="P585">
        <f>P584+0.2</f>
        <v/>
      </c>
      <c r="Q585">
        <f>Q584+0.3</f>
        <v/>
      </c>
      <c r="R585">
        <f>R584+0.05</f>
        <v/>
      </c>
      <c r="S585">
        <f>S584+0.01</f>
        <v/>
      </c>
      <c r="T585">
        <f>T584+0.7</f>
        <v/>
      </c>
      <c r="U585">
        <f>U584+1.1</f>
        <v/>
      </c>
      <c r="V585">
        <f>V584+0.25</f>
        <v/>
      </c>
      <c r="W585">
        <f>W584+0.5</f>
        <v/>
      </c>
    </row>
    <row r="586">
      <c r="E586">
        <f>O586=ROUND(575*0.1,10)</f>
        <v/>
      </c>
      <c r="F586">
        <f>P586=ROUND(575*0.2,10)</f>
        <v/>
      </c>
      <c r="G586">
        <f>Q586=ROUND(575*0.3,10)</f>
        <v/>
      </c>
      <c r="H586">
        <f>R586=ROUND(575*0.05,10)</f>
        <v/>
      </c>
      <c r="I586">
        <f>S586=ROUND(575*0.01,10)</f>
        <v/>
      </c>
      <c r="J586">
        <f>T586=ROUND(575*0.7,10)</f>
        <v/>
      </c>
      <c r="K586">
        <f>U586=ROUND(575*1.1,10)</f>
        <v/>
      </c>
      <c r="L586">
        <f>V586=ROUND(575*0.25,10)</f>
        <v/>
      </c>
      <c r="M586">
        <f>W586=ROUND(575*0.5,10)</f>
        <v/>
      </c>
      <c r="O586">
        <f>O585+0.1</f>
        <v/>
      </c>
      <c r="P586">
        <f>P585+0.2</f>
        <v/>
      </c>
      <c r="Q586">
        <f>Q585+0.3</f>
        <v/>
      </c>
      <c r="R586">
        <f>R585+0.05</f>
        <v/>
      </c>
      <c r="S586">
        <f>S585+0.01</f>
        <v/>
      </c>
      <c r="T586">
        <f>T585+0.7</f>
        <v/>
      </c>
      <c r="U586">
        <f>U585+1.1</f>
        <v/>
      </c>
      <c r="V586">
        <f>V585+0.25</f>
        <v/>
      </c>
      <c r="W586">
        <f>W585+0.5</f>
        <v/>
      </c>
    </row>
    <row r="587">
      <c r="E587">
        <f>O587=ROUND(576*0.1,10)</f>
        <v/>
      </c>
      <c r="F587">
        <f>P587=ROUND(576*0.2,10)</f>
        <v/>
      </c>
      <c r="G587">
        <f>Q587=ROUND(576*0.3,10)</f>
        <v/>
      </c>
      <c r="H587">
        <f>R587=ROUND(576*0.05,10)</f>
        <v/>
      </c>
      <c r="I587">
        <f>S587=ROUND(576*0.01,10)</f>
        <v/>
      </c>
      <c r="J587">
        <f>T587=ROUND(576*0.7,10)</f>
        <v/>
      </c>
      <c r="K587">
        <f>U587=ROUND(576*1.1,10)</f>
        <v/>
      </c>
      <c r="L587">
        <f>V587=ROUND(576*0.25,10)</f>
        <v/>
      </c>
      <c r="M587">
        <f>W587=ROUND(576*0.5,10)</f>
        <v/>
      </c>
      <c r="O587">
        <f>O586+0.1</f>
        <v/>
      </c>
      <c r="P587">
        <f>P586+0.2</f>
        <v/>
      </c>
      <c r="Q587">
        <f>Q586+0.3</f>
        <v/>
      </c>
      <c r="R587">
        <f>R586+0.05</f>
        <v/>
      </c>
      <c r="S587">
        <f>S586+0.01</f>
        <v/>
      </c>
      <c r="T587">
        <f>T586+0.7</f>
        <v/>
      </c>
      <c r="U587">
        <f>U586+1.1</f>
        <v/>
      </c>
      <c r="V587">
        <f>V586+0.25</f>
        <v/>
      </c>
      <c r="W587">
        <f>W586+0.5</f>
        <v/>
      </c>
    </row>
    <row r="588">
      <c r="E588">
        <f>O588=ROUND(577*0.1,10)</f>
        <v/>
      </c>
      <c r="F588">
        <f>P588=ROUND(577*0.2,10)</f>
        <v/>
      </c>
      <c r="G588">
        <f>Q588=ROUND(577*0.3,10)</f>
        <v/>
      </c>
      <c r="H588">
        <f>R588=ROUND(577*0.05,10)</f>
        <v/>
      </c>
      <c r="I588">
        <f>S588=ROUND(577*0.01,10)</f>
        <v/>
      </c>
      <c r="J588">
        <f>T588=ROUND(577*0.7,10)</f>
        <v/>
      </c>
      <c r="K588">
        <f>U588=ROUND(577*1.1,10)</f>
        <v/>
      </c>
      <c r="L588">
        <f>V588=ROUND(577*0.25,10)</f>
        <v/>
      </c>
      <c r="M588">
        <f>W588=ROUND(577*0.5,10)</f>
        <v/>
      </c>
      <c r="O588">
        <f>O587+0.1</f>
        <v/>
      </c>
      <c r="P588">
        <f>P587+0.2</f>
        <v/>
      </c>
      <c r="Q588">
        <f>Q587+0.3</f>
        <v/>
      </c>
      <c r="R588">
        <f>R587+0.05</f>
        <v/>
      </c>
      <c r="S588">
        <f>S587+0.01</f>
        <v/>
      </c>
      <c r="T588">
        <f>T587+0.7</f>
        <v/>
      </c>
      <c r="U588">
        <f>U587+1.1</f>
        <v/>
      </c>
      <c r="V588">
        <f>V587+0.25</f>
        <v/>
      </c>
      <c r="W588">
        <f>W587+0.5</f>
        <v/>
      </c>
    </row>
    <row r="589">
      <c r="E589">
        <f>O589=ROUND(578*0.1,10)</f>
        <v/>
      </c>
      <c r="F589">
        <f>P589=ROUND(578*0.2,10)</f>
        <v/>
      </c>
      <c r="G589">
        <f>Q589=ROUND(578*0.3,10)</f>
        <v/>
      </c>
      <c r="H589">
        <f>R589=ROUND(578*0.05,10)</f>
        <v/>
      </c>
      <c r="I589">
        <f>S589=ROUND(578*0.01,10)</f>
        <v/>
      </c>
      <c r="J589">
        <f>T589=ROUND(578*0.7,10)</f>
        <v/>
      </c>
      <c r="K589">
        <f>U589=ROUND(578*1.1,10)</f>
        <v/>
      </c>
      <c r="L589">
        <f>V589=ROUND(578*0.25,10)</f>
        <v/>
      </c>
      <c r="M589">
        <f>W589=ROUND(578*0.5,10)</f>
        <v/>
      </c>
      <c r="O589">
        <f>O588+0.1</f>
        <v/>
      </c>
      <c r="P589">
        <f>P588+0.2</f>
        <v/>
      </c>
      <c r="Q589">
        <f>Q588+0.3</f>
        <v/>
      </c>
      <c r="R589">
        <f>R588+0.05</f>
        <v/>
      </c>
      <c r="S589">
        <f>S588+0.01</f>
        <v/>
      </c>
      <c r="T589">
        <f>T588+0.7</f>
        <v/>
      </c>
      <c r="U589">
        <f>U588+1.1</f>
        <v/>
      </c>
      <c r="V589">
        <f>V588+0.25</f>
        <v/>
      </c>
      <c r="W589">
        <f>W588+0.5</f>
        <v/>
      </c>
    </row>
    <row r="590">
      <c r="E590">
        <f>O590=ROUND(579*0.1,10)</f>
        <v/>
      </c>
      <c r="F590">
        <f>P590=ROUND(579*0.2,10)</f>
        <v/>
      </c>
      <c r="G590">
        <f>Q590=ROUND(579*0.3,10)</f>
        <v/>
      </c>
      <c r="H590">
        <f>R590=ROUND(579*0.05,10)</f>
        <v/>
      </c>
      <c r="I590">
        <f>S590=ROUND(579*0.01,10)</f>
        <v/>
      </c>
      <c r="J590">
        <f>T590=ROUND(579*0.7,10)</f>
        <v/>
      </c>
      <c r="K590">
        <f>U590=ROUND(579*1.1,10)</f>
        <v/>
      </c>
      <c r="L590">
        <f>V590=ROUND(579*0.25,10)</f>
        <v/>
      </c>
      <c r="M590">
        <f>W590=ROUND(579*0.5,10)</f>
        <v/>
      </c>
      <c r="O590">
        <f>O589+0.1</f>
        <v/>
      </c>
      <c r="P590">
        <f>P589+0.2</f>
        <v/>
      </c>
      <c r="Q590">
        <f>Q589+0.3</f>
        <v/>
      </c>
      <c r="R590">
        <f>R589+0.05</f>
        <v/>
      </c>
      <c r="S590">
        <f>S589+0.01</f>
        <v/>
      </c>
      <c r="T590">
        <f>T589+0.7</f>
        <v/>
      </c>
      <c r="U590">
        <f>U589+1.1</f>
        <v/>
      </c>
      <c r="V590">
        <f>V589+0.25</f>
        <v/>
      </c>
      <c r="W590">
        <f>W589+0.5</f>
        <v/>
      </c>
    </row>
    <row r="591">
      <c r="E591">
        <f>O591=ROUND(580*0.1,10)</f>
        <v/>
      </c>
      <c r="F591">
        <f>P591=ROUND(580*0.2,10)</f>
        <v/>
      </c>
      <c r="G591">
        <f>Q591=ROUND(580*0.3,10)</f>
        <v/>
      </c>
      <c r="H591">
        <f>R591=ROUND(580*0.05,10)</f>
        <v/>
      </c>
      <c r="I591">
        <f>S591=ROUND(580*0.01,10)</f>
        <v/>
      </c>
      <c r="J591">
        <f>T591=ROUND(580*0.7,10)</f>
        <v/>
      </c>
      <c r="K591">
        <f>U591=ROUND(580*1.1,10)</f>
        <v/>
      </c>
      <c r="L591">
        <f>V591=ROUND(580*0.25,10)</f>
        <v/>
      </c>
      <c r="M591">
        <f>W591=ROUND(580*0.5,10)</f>
        <v/>
      </c>
      <c r="O591">
        <f>O590+0.1</f>
        <v/>
      </c>
      <c r="P591">
        <f>P590+0.2</f>
        <v/>
      </c>
      <c r="Q591">
        <f>Q590+0.3</f>
        <v/>
      </c>
      <c r="R591">
        <f>R590+0.05</f>
        <v/>
      </c>
      <c r="S591">
        <f>S590+0.01</f>
        <v/>
      </c>
      <c r="T591">
        <f>T590+0.7</f>
        <v/>
      </c>
      <c r="U591">
        <f>U590+1.1</f>
        <v/>
      </c>
      <c r="V591">
        <f>V590+0.25</f>
        <v/>
      </c>
      <c r="W591">
        <f>W590+0.5</f>
        <v/>
      </c>
    </row>
    <row r="592">
      <c r="E592">
        <f>O592=ROUND(581*0.1,10)</f>
        <v/>
      </c>
      <c r="F592">
        <f>P592=ROUND(581*0.2,10)</f>
        <v/>
      </c>
      <c r="G592">
        <f>Q592=ROUND(581*0.3,10)</f>
        <v/>
      </c>
      <c r="H592">
        <f>R592=ROUND(581*0.05,10)</f>
        <v/>
      </c>
      <c r="I592">
        <f>S592=ROUND(581*0.01,10)</f>
        <v/>
      </c>
      <c r="J592">
        <f>T592=ROUND(581*0.7,10)</f>
        <v/>
      </c>
      <c r="K592">
        <f>U592=ROUND(581*1.1,10)</f>
        <v/>
      </c>
      <c r="L592">
        <f>V592=ROUND(581*0.25,10)</f>
        <v/>
      </c>
      <c r="M592">
        <f>W592=ROUND(581*0.5,10)</f>
        <v/>
      </c>
      <c r="O592">
        <f>O591+0.1</f>
        <v/>
      </c>
      <c r="P592">
        <f>P591+0.2</f>
        <v/>
      </c>
      <c r="Q592">
        <f>Q591+0.3</f>
        <v/>
      </c>
      <c r="R592">
        <f>R591+0.05</f>
        <v/>
      </c>
      <c r="S592">
        <f>S591+0.01</f>
        <v/>
      </c>
      <c r="T592">
        <f>T591+0.7</f>
        <v/>
      </c>
      <c r="U592">
        <f>U591+1.1</f>
        <v/>
      </c>
      <c r="V592">
        <f>V591+0.25</f>
        <v/>
      </c>
      <c r="W592">
        <f>W591+0.5</f>
        <v/>
      </c>
    </row>
    <row r="593">
      <c r="E593">
        <f>O593=ROUND(582*0.1,10)</f>
        <v/>
      </c>
      <c r="F593">
        <f>P593=ROUND(582*0.2,10)</f>
        <v/>
      </c>
      <c r="G593">
        <f>Q593=ROUND(582*0.3,10)</f>
        <v/>
      </c>
      <c r="H593">
        <f>R593=ROUND(582*0.05,10)</f>
        <v/>
      </c>
      <c r="I593">
        <f>S593=ROUND(582*0.01,10)</f>
        <v/>
      </c>
      <c r="J593">
        <f>T593=ROUND(582*0.7,10)</f>
        <v/>
      </c>
      <c r="K593">
        <f>U593=ROUND(582*1.1,10)</f>
        <v/>
      </c>
      <c r="L593">
        <f>V593=ROUND(582*0.25,10)</f>
        <v/>
      </c>
      <c r="M593">
        <f>W593=ROUND(582*0.5,10)</f>
        <v/>
      </c>
      <c r="O593">
        <f>O592+0.1</f>
        <v/>
      </c>
      <c r="P593">
        <f>P592+0.2</f>
        <v/>
      </c>
      <c r="Q593">
        <f>Q592+0.3</f>
        <v/>
      </c>
      <c r="R593">
        <f>R592+0.05</f>
        <v/>
      </c>
      <c r="S593">
        <f>S592+0.01</f>
        <v/>
      </c>
      <c r="T593">
        <f>T592+0.7</f>
        <v/>
      </c>
      <c r="U593">
        <f>U592+1.1</f>
        <v/>
      </c>
      <c r="V593">
        <f>V592+0.25</f>
        <v/>
      </c>
      <c r="W593">
        <f>W592+0.5</f>
        <v/>
      </c>
    </row>
    <row r="594">
      <c r="E594">
        <f>O594=ROUND(583*0.1,10)</f>
        <v/>
      </c>
      <c r="F594">
        <f>P594=ROUND(583*0.2,10)</f>
        <v/>
      </c>
      <c r="G594">
        <f>Q594=ROUND(583*0.3,10)</f>
        <v/>
      </c>
      <c r="H594">
        <f>R594=ROUND(583*0.05,10)</f>
        <v/>
      </c>
      <c r="I594">
        <f>S594=ROUND(583*0.01,10)</f>
        <v/>
      </c>
      <c r="J594">
        <f>T594=ROUND(583*0.7,10)</f>
        <v/>
      </c>
      <c r="K594">
        <f>U594=ROUND(583*1.1,10)</f>
        <v/>
      </c>
      <c r="L594">
        <f>V594=ROUND(583*0.25,10)</f>
        <v/>
      </c>
      <c r="M594">
        <f>W594=ROUND(583*0.5,10)</f>
        <v/>
      </c>
      <c r="O594">
        <f>O593+0.1</f>
        <v/>
      </c>
      <c r="P594">
        <f>P593+0.2</f>
        <v/>
      </c>
      <c r="Q594">
        <f>Q593+0.3</f>
        <v/>
      </c>
      <c r="R594">
        <f>R593+0.05</f>
        <v/>
      </c>
      <c r="S594">
        <f>S593+0.01</f>
        <v/>
      </c>
      <c r="T594">
        <f>T593+0.7</f>
        <v/>
      </c>
      <c r="U594">
        <f>U593+1.1</f>
        <v/>
      </c>
      <c r="V594">
        <f>V593+0.25</f>
        <v/>
      </c>
      <c r="W594">
        <f>W593+0.5</f>
        <v/>
      </c>
    </row>
    <row r="595">
      <c r="E595">
        <f>O595=ROUND(584*0.1,10)</f>
        <v/>
      </c>
      <c r="F595">
        <f>P595=ROUND(584*0.2,10)</f>
        <v/>
      </c>
      <c r="G595">
        <f>Q595=ROUND(584*0.3,10)</f>
        <v/>
      </c>
      <c r="H595">
        <f>R595=ROUND(584*0.05,10)</f>
        <v/>
      </c>
      <c r="I595">
        <f>S595=ROUND(584*0.01,10)</f>
        <v/>
      </c>
      <c r="J595">
        <f>T595=ROUND(584*0.7,10)</f>
        <v/>
      </c>
      <c r="K595">
        <f>U595=ROUND(584*1.1,10)</f>
        <v/>
      </c>
      <c r="L595">
        <f>V595=ROUND(584*0.25,10)</f>
        <v/>
      </c>
      <c r="M595">
        <f>W595=ROUND(584*0.5,10)</f>
        <v/>
      </c>
      <c r="O595">
        <f>O594+0.1</f>
        <v/>
      </c>
      <c r="P595">
        <f>P594+0.2</f>
        <v/>
      </c>
      <c r="Q595">
        <f>Q594+0.3</f>
        <v/>
      </c>
      <c r="R595">
        <f>R594+0.05</f>
        <v/>
      </c>
      <c r="S595">
        <f>S594+0.01</f>
        <v/>
      </c>
      <c r="T595">
        <f>T594+0.7</f>
        <v/>
      </c>
      <c r="U595">
        <f>U594+1.1</f>
        <v/>
      </c>
      <c r="V595">
        <f>V594+0.25</f>
        <v/>
      </c>
      <c r="W595">
        <f>W594+0.5</f>
        <v/>
      </c>
    </row>
    <row r="596">
      <c r="E596">
        <f>O596=ROUND(585*0.1,10)</f>
        <v/>
      </c>
      <c r="F596">
        <f>P596=ROUND(585*0.2,10)</f>
        <v/>
      </c>
      <c r="G596">
        <f>Q596=ROUND(585*0.3,10)</f>
        <v/>
      </c>
      <c r="H596">
        <f>R596=ROUND(585*0.05,10)</f>
        <v/>
      </c>
      <c r="I596">
        <f>S596=ROUND(585*0.01,10)</f>
        <v/>
      </c>
      <c r="J596">
        <f>T596=ROUND(585*0.7,10)</f>
        <v/>
      </c>
      <c r="K596">
        <f>U596=ROUND(585*1.1,10)</f>
        <v/>
      </c>
      <c r="L596">
        <f>V596=ROUND(585*0.25,10)</f>
        <v/>
      </c>
      <c r="M596">
        <f>W596=ROUND(585*0.5,10)</f>
        <v/>
      </c>
      <c r="O596">
        <f>O595+0.1</f>
        <v/>
      </c>
      <c r="P596">
        <f>P595+0.2</f>
        <v/>
      </c>
      <c r="Q596">
        <f>Q595+0.3</f>
        <v/>
      </c>
      <c r="R596">
        <f>R595+0.05</f>
        <v/>
      </c>
      <c r="S596">
        <f>S595+0.01</f>
        <v/>
      </c>
      <c r="T596">
        <f>T595+0.7</f>
        <v/>
      </c>
      <c r="U596">
        <f>U595+1.1</f>
        <v/>
      </c>
      <c r="V596">
        <f>V595+0.25</f>
        <v/>
      </c>
      <c r="W596">
        <f>W595+0.5</f>
        <v/>
      </c>
    </row>
    <row r="597">
      <c r="E597">
        <f>O597=ROUND(586*0.1,10)</f>
        <v/>
      </c>
      <c r="F597">
        <f>P597=ROUND(586*0.2,10)</f>
        <v/>
      </c>
      <c r="G597">
        <f>Q597=ROUND(586*0.3,10)</f>
        <v/>
      </c>
      <c r="H597">
        <f>R597=ROUND(586*0.05,10)</f>
        <v/>
      </c>
      <c r="I597">
        <f>S597=ROUND(586*0.01,10)</f>
        <v/>
      </c>
      <c r="J597">
        <f>T597=ROUND(586*0.7,10)</f>
        <v/>
      </c>
      <c r="K597">
        <f>U597=ROUND(586*1.1,10)</f>
        <v/>
      </c>
      <c r="L597">
        <f>V597=ROUND(586*0.25,10)</f>
        <v/>
      </c>
      <c r="M597">
        <f>W597=ROUND(586*0.5,10)</f>
        <v/>
      </c>
      <c r="O597">
        <f>O596+0.1</f>
        <v/>
      </c>
      <c r="P597">
        <f>P596+0.2</f>
        <v/>
      </c>
      <c r="Q597">
        <f>Q596+0.3</f>
        <v/>
      </c>
      <c r="R597">
        <f>R596+0.05</f>
        <v/>
      </c>
      <c r="S597">
        <f>S596+0.01</f>
        <v/>
      </c>
      <c r="T597">
        <f>T596+0.7</f>
        <v/>
      </c>
      <c r="U597">
        <f>U596+1.1</f>
        <v/>
      </c>
      <c r="V597">
        <f>V596+0.25</f>
        <v/>
      </c>
      <c r="W597">
        <f>W596+0.5</f>
        <v/>
      </c>
    </row>
    <row r="598">
      <c r="E598">
        <f>O598=ROUND(587*0.1,10)</f>
        <v/>
      </c>
      <c r="F598">
        <f>P598=ROUND(587*0.2,10)</f>
        <v/>
      </c>
      <c r="G598">
        <f>Q598=ROUND(587*0.3,10)</f>
        <v/>
      </c>
      <c r="H598">
        <f>R598=ROUND(587*0.05,10)</f>
        <v/>
      </c>
      <c r="I598">
        <f>S598=ROUND(587*0.01,10)</f>
        <v/>
      </c>
      <c r="J598">
        <f>T598=ROUND(587*0.7,10)</f>
        <v/>
      </c>
      <c r="K598">
        <f>U598=ROUND(587*1.1,10)</f>
        <v/>
      </c>
      <c r="L598">
        <f>V598=ROUND(587*0.25,10)</f>
        <v/>
      </c>
      <c r="M598">
        <f>W598=ROUND(587*0.5,10)</f>
        <v/>
      </c>
      <c r="O598">
        <f>O597+0.1</f>
        <v/>
      </c>
      <c r="P598">
        <f>P597+0.2</f>
        <v/>
      </c>
      <c r="Q598">
        <f>Q597+0.3</f>
        <v/>
      </c>
      <c r="R598">
        <f>R597+0.05</f>
        <v/>
      </c>
      <c r="S598">
        <f>S597+0.01</f>
        <v/>
      </c>
      <c r="T598">
        <f>T597+0.7</f>
        <v/>
      </c>
      <c r="U598">
        <f>U597+1.1</f>
        <v/>
      </c>
      <c r="V598">
        <f>V597+0.25</f>
        <v/>
      </c>
      <c r="W598">
        <f>W597+0.5</f>
        <v/>
      </c>
    </row>
    <row r="599">
      <c r="E599">
        <f>O599=ROUND(588*0.1,10)</f>
        <v/>
      </c>
      <c r="F599">
        <f>P599=ROUND(588*0.2,10)</f>
        <v/>
      </c>
      <c r="G599">
        <f>Q599=ROUND(588*0.3,10)</f>
        <v/>
      </c>
      <c r="H599">
        <f>R599=ROUND(588*0.05,10)</f>
        <v/>
      </c>
      <c r="I599">
        <f>S599=ROUND(588*0.01,10)</f>
        <v/>
      </c>
      <c r="J599">
        <f>T599=ROUND(588*0.7,10)</f>
        <v/>
      </c>
      <c r="K599">
        <f>U599=ROUND(588*1.1,10)</f>
        <v/>
      </c>
      <c r="L599">
        <f>V599=ROUND(588*0.25,10)</f>
        <v/>
      </c>
      <c r="M599">
        <f>W599=ROUND(588*0.5,10)</f>
        <v/>
      </c>
      <c r="O599">
        <f>O598+0.1</f>
        <v/>
      </c>
      <c r="P599">
        <f>P598+0.2</f>
        <v/>
      </c>
      <c r="Q599">
        <f>Q598+0.3</f>
        <v/>
      </c>
      <c r="R599">
        <f>R598+0.05</f>
        <v/>
      </c>
      <c r="S599">
        <f>S598+0.01</f>
        <v/>
      </c>
      <c r="T599">
        <f>T598+0.7</f>
        <v/>
      </c>
      <c r="U599">
        <f>U598+1.1</f>
        <v/>
      </c>
      <c r="V599">
        <f>V598+0.25</f>
        <v/>
      </c>
      <c r="W599">
        <f>W598+0.5</f>
        <v/>
      </c>
    </row>
    <row r="600">
      <c r="E600">
        <f>O600=ROUND(589*0.1,10)</f>
        <v/>
      </c>
      <c r="F600">
        <f>P600=ROUND(589*0.2,10)</f>
        <v/>
      </c>
      <c r="G600">
        <f>Q600=ROUND(589*0.3,10)</f>
        <v/>
      </c>
      <c r="H600">
        <f>R600=ROUND(589*0.05,10)</f>
        <v/>
      </c>
      <c r="I600">
        <f>S600=ROUND(589*0.01,10)</f>
        <v/>
      </c>
      <c r="J600">
        <f>T600=ROUND(589*0.7,10)</f>
        <v/>
      </c>
      <c r="K600">
        <f>U600=ROUND(589*1.1,10)</f>
        <v/>
      </c>
      <c r="L600">
        <f>V600=ROUND(589*0.25,10)</f>
        <v/>
      </c>
      <c r="M600">
        <f>W600=ROUND(589*0.5,10)</f>
        <v/>
      </c>
      <c r="O600">
        <f>O599+0.1</f>
        <v/>
      </c>
      <c r="P600">
        <f>P599+0.2</f>
        <v/>
      </c>
      <c r="Q600">
        <f>Q599+0.3</f>
        <v/>
      </c>
      <c r="R600">
        <f>R599+0.05</f>
        <v/>
      </c>
      <c r="S600">
        <f>S599+0.01</f>
        <v/>
      </c>
      <c r="T600">
        <f>T599+0.7</f>
        <v/>
      </c>
      <c r="U600">
        <f>U599+1.1</f>
        <v/>
      </c>
      <c r="V600">
        <f>V599+0.25</f>
        <v/>
      </c>
      <c r="W600">
        <f>W599+0.5</f>
        <v/>
      </c>
    </row>
    <row r="601">
      <c r="E601">
        <f>O601=ROUND(590*0.1,10)</f>
        <v/>
      </c>
      <c r="F601">
        <f>P601=ROUND(590*0.2,10)</f>
        <v/>
      </c>
      <c r="G601">
        <f>Q601=ROUND(590*0.3,10)</f>
        <v/>
      </c>
      <c r="H601">
        <f>R601=ROUND(590*0.05,10)</f>
        <v/>
      </c>
      <c r="I601">
        <f>S601=ROUND(590*0.01,10)</f>
        <v/>
      </c>
      <c r="J601">
        <f>T601=ROUND(590*0.7,10)</f>
        <v/>
      </c>
      <c r="K601">
        <f>U601=ROUND(590*1.1,10)</f>
        <v/>
      </c>
      <c r="L601">
        <f>V601=ROUND(590*0.25,10)</f>
        <v/>
      </c>
      <c r="M601">
        <f>W601=ROUND(590*0.5,10)</f>
        <v/>
      </c>
      <c r="O601">
        <f>O600+0.1</f>
        <v/>
      </c>
      <c r="P601">
        <f>P600+0.2</f>
        <v/>
      </c>
      <c r="Q601">
        <f>Q600+0.3</f>
        <v/>
      </c>
      <c r="R601">
        <f>R600+0.05</f>
        <v/>
      </c>
      <c r="S601">
        <f>S600+0.01</f>
        <v/>
      </c>
      <c r="T601">
        <f>T600+0.7</f>
        <v/>
      </c>
      <c r="U601">
        <f>U600+1.1</f>
        <v/>
      </c>
      <c r="V601">
        <f>V600+0.25</f>
        <v/>
      </c>
      <c r="W601">
        <f>W600+0.5</f>
        <v/>
      </c>
    </row>
    <row r="602">
      <c r="E602">
        <f>O602=ROUND(591*0.1,10)</f>
        <v/>
      </c>
      <c r="F602">
        <f>P602=ROUND(591*0.2,10)</f>
        <v/>
      </c>
      <c r="G602">
        <f>Q602=ROUND(591*0.3,10)</f>
        <v/>
      </c>
      <c r="H602">
        <f>R602=ROUND(591*0.05,10)</f>
        <v/>
      </c>
      <c r="I602">
        <f>S602=ROUND(591*0.01,10)</f>
        <v/>
      </c>
      <c r="J602">
        <f>T602=ROUND(591*0.7,10)</f>
        <v/>
      </c>
      <c r="K602">
        <f>U602=ROUND(591*1.1,10)</f>
        <v/>
      </c>
      <c r="L602">
        <f>V602=ROUND(591*0.25,10)</f>
        <v/>
      </c>
      <c r="M602">
        <f>W602=ROUND(591*0.5,10)</f>
        <v/>
      </c>
      <c r="O602">
        <f>O601+0.1</f>
        <v/>
      </c>
      <c r="P602">
        <f>P601+0.2</f>
        <v/>
      </c>
      <c r="Q602">
        <f>Q601+0.3</f>
        <v/>
      </c>
      <c r="R602">
        <f>R601+0.05</f>
        <v/>
      </c>
      <c r="S602">
        <f>S601+0.01</f>
        <v/>
      </c>
      <c r="T602">
        <f>T601+0.7</f>
        <v/>
      </c>
      <c r="U602">
        <f>U601+1.1</f>
        <v/>
      </c>
      <c r="V602">
        <f>V601+0.25</f>
        <v/>
      </c>
      <c r="W602">
        <f>W601+0.5</f>
        <v/>
      </c>
    </row>
    <row r="603">
      <c r="E603">
        <f>O603=ROUND(592*0.1,10)</f>
        <v/>
      </c>
      <c r="F603">
        <f>P603=ROUND(592*0.2,10)</f>
        <v/>
      </c>
      <c r="G603">
        <f>Q603=ROUND(592*0.3,10)</f>
        <v/>
      </c>
      <c r="H603">
        <f>R603=ROUND(592*0.05,10)</f>
        <v/>
      </c>
      <c r="I603">
        <f>S603=ROUND(592*0.01,10)</f>
        <v/>
      </c>
      <c r="J603">
        <f>T603=ROUND(592*0.7,10)</f>
        <v/>
      </c>
      <c r="K603">
        <f>U603=ROUND(592*1.1,10)</f>
        <v/>
      </c>
      <c r="L603">
        <f>V603=ROUND(592*0.25,10)</f>
        <v/>
      </c>
      <c r="M603">
        <f>W603=ROUND(592*0.5,10)</f>
        <v/>
      </c>
      <c r="O603">
        <f>O602+0.1</f>
        <v/>
      </c>
      <c r="P603">
        <f>P602+0.2</f>
        <v/>
      </c>
      <c r="Q603">
        <f>Q602+0.3</f>
        <v/>
      </c>
      <c r="R603">
        <f>R602+0.05</f>
        <v/>
      </c>
      <c r="S603">
        <f>S602+0.01</f>
        <v/>
      </c>
      <c r="T603">
        <f>T602+0.7</f>
        <v/>
      </c>
      <c r="U603">
        <f>U602+1.1</f>
        <v/>
      </c>
      <c r="V603">
        <f>V602+0.25</f>
        <v/>
      </c>
      <c r="W603">
        <f>W602+0.5</f>
        <v/>
      </c>
    </row>
    <row r="604">
      <c r="E604">
        <f>O604=ROUND(593*0.1,10)</f>
        <v/>
      </c>
      <c r="F604">
        <f>P604=ROUND(593*0.2,10)</f>
        <v/>
      </c>
      <c r="G604">
        <f>Q604=ROUND(593*0.3,10)</f>
        <v/>
      </c>
      <c r="H604">
        <f>R604=ROUND(593*0.05,10)</f>
        <v/>
      </c>
      <c r="I604">
        <f>S604=ROUND(593*0.01,10)</f>
        <v/>
      </c>
      <c r="J604">
        <f>T604=ROUND(593*0.7,10)</f>
        <v/>
      </c>
      <c r="K604">
        <f>U604=ROUND(593*1.1,10)</f>
        <v/>
      </c>
      <c r="L604">
        <f>V604=ROUND(593*0.25,10)</f>
        <v/>
      </c>
      <c r="M604">
        <f>W604=ROUND(593*0.5,10)</f>
        <v/>
      </c>
      <c r="O604">
        <f>O603+0.1</f>
        <v/>
      </c>
      <c r="P604">
        <f>P603+0.2</f>
        <v/>
      </c>
      <c r="Q604">
        <f>Q603+0.3</f>
        <v/>
      </c>
      <c r="R604">
        <f>R603+0.05</f>
        <v/>
      </c>
      <c r="S604">
        <f>S603+0.01</f>
        <v/>
      </c>
      <c r="T604">
        <f>T603+0.7</f>
        <v/>
      </c>
      <c r="U604">
        <f>U603+1.1</f>
        <v/>
      </c>
      <c r="V604">
        <f>V603+0.25</f>
        <v/>
      </c>
      <c r="W604">
        <f>W603+0.5</f>
        <v/>
      </c>
    </row>
    <row r="605">
      <c r="E605">
        <f>O605=ROUND(594*0.1,10)</f>
        <v/>
      </c>
      <c r="F605">
        <f>P605=ROUND(594*0.2,10)</f>
        <v/>
      </c>
      <c r="G605">
        <f>Q605=ROUND(594*0.3,10)</f>
        <v/>
      </c>
      <c r="H605">
        <f>R605=ROUND(594*0.05,10)</f>
        <v/>
      </c>
      <c r="I605">
        <f>S605=ROUND(594*0.01,10)</f>
        <v/>
      </c>
      <c r="J605">
        <f>T605=ROUND(594*0.7,10)</f>
        <v/>
      </c>
      <c r="K605">
        <f>U605=ROUND(594*1.1,10)</f>
        <v/>
      </c>
      <c r="L605">
        <f>V605=ROUND(594*0.25,10)</f>
        <v/>
      </c>
      <c r="M605">
        <f>W605=ROUND(594*0.5,10)</f>
        <v/>
      </c>
      <c r="O605">
        <f>O604+0.1</f>
        <v/>
      </c>
      <c r="P605">
        <f>P604+0.2</f>
        <v/>
      </c>
      <c r="Q605">
        <f>Q604+0.3</f>
        <v/>
      </c>
      <c r="R605">
        <f>R604+0.05</f>
        <v/>
      </c>
      <c r="S605">
        <f>S604+0.01</f>
        <v/>
      </c>
      <c r="T605">
        <f>T604+0.7</f>
        <v/>
      </c>
      <c r="U605">
        <f>U604+1.1</f>
        <v/>
      </c>
      <c r="V605">
        <f>V604+0.25</f>
        <v/>
      </c>
      <c r="W605">
        <f>W604+0.5</f>
        <v/>
      </c>
    </row>
    <row r="606">
      <c r="E606">
        <f>O606=ROUND(595*0.1,10)</f>
        <v/>
      </c>
      <c r="F606">
        <f>P606=ROUND(595*0.2,10)</f>
        <v/>
      </c>
      <c r="G606">
        <f>Q606=ROUND(595*0.3,10)</f>
        <v/>
      </c>
      <c r="H606">
        <f>R606=ROUND(595*0.05,10)</f>
        <v/>
      </c>
      <c r="I606">
        <f>S606=ROUND(595*0.01,10)</f>
        <v/>
      </c>
      <c r="J606">
        <f>T606=ROUND(595*0.7,10)</f>
        <v/>
      </c>
      <c r="K606">
        <f>U606=ROUND(595*1.1,10)</f>
        <v/>
      </c>
      <c r="L606">
        <f>V606=ROUND(595*0.25,10)</f>
        <v/>
      </c>
      <c r="M606">
        <f>W606=ROUND(595*0.5,10)</f>
        <v/>
      </c>
      <c r="O606">
        <f>O605+0.1</f>
        <v/>
      </c>
      <c r="P606">
        <f>P605+0.2</f>
        <v/>
      </c>
      <c r="Q606">
        <f>Q605+0.3</f>
        <v/>
      </c>
      <c r="R606">
        <f>R605+0.05</f>
        <v/>
      </c>
      <c r="S606">
        <f>S605+0.01</f>
        <v/>
      </c>
      <c r="T606">
        <f>T605+0.7</f>
        <v/>
      </c>
      <c r="U606">
        <f>U605+1.1</f>
        <v/>
      </c>
      <c r="V606">
        <f>V605+0.25</f>
        <v/>
      </c>
      <c r="W606">
        <f>W605+0.5</f>
        <v/>
      </c>
    </row>
    <row r="607">
      <c r="E607">
        <f>O607=ROUND(596*0.1,10)</f>
        <v/>
      </c>
      <c r="F607">
        <f>P607=ROUND(596*0.2,10)</f>
        <v/>
      </c>
      <c r="G607">
        <f>Q607=ROUND(596*0.3,10)</f>
        <v/>
      </c>
      <c r="H607">
        <f>R607=ROUND(596*0.05,10)</f>
        <v/>
      </c>
      <c r="I607">
        <f>S607=ROUND(596*0.01,10)</f>
        <v/>
      </c>
      <c r="J607">
        <f>T607=ROUND(596*0.7,10)</f>
        <v/>
      </c>
      <c r="K607">
        <f>U607=ROUND(596*1.1,10)</f>
        <v/>
      </c>
      <c r="L607">
        <f>V607=ROUND(596*0.25,10)</f>
        <v/>
      </c>
      <c r="M607">
        <f>W607=ROUND(596*0.5,10)</f>
        <v/>
      </c>
      <c r="O607">
        <f>O606+0.1</f>
        <v/>
      </c>
      <c r="P607">
        <f>P606+0.2</f>
        <v/>
      </c>
      <c r="Q607">
        <f>Q606+0.3</f>
        <v/>
      </c>
      <c r="R607">
        <f>R606+0.05</f>
        <v/>
      </c>
      <c r="S607">
        <f>S606+0.01</f>
        <v/>
      </c>
      <c r="T607">
        <f>T606+0.7</f>
        <v/>
      </c>
      <c r="U607">
        <f>U606+1.1</f>
        <v/>
      </c>
      <c r="V607">
        <f>V606+0.25</f>
        <v/>
      </c>
      <c r="W607">
        <f>W606+0.5</f>
        <v/>
      </c>
    </row>
    <row r="608">
      <c r="E608">
        <f>O608=ROUND(597*0.1,10)</f>
        <v/>
      </c>
      <c r="F608">
        <f>P608=ROUND(597*0.2,10)</f>
        <v/>
      </c>
      <c r="G608">
        <f>Q608=ROUND(597*0.3,10)</f>
        <v/>
      </c>
      <c r="H608">
        <f>R608=ROUND(597*0.05,10)</f>
        <v/>
      </c>
      <c r="I608">
        <f>S608=ROUND(597*0.01,10)</f>
        <v/>
      </c>
      <c r="J608">
        <f>T608=ROUND(597*0.7,10)</f>
        <v/>
      </c>
      <c r="K608">
        <f>U608=ROUND(597*1.1,10)</f>
        <v/>
      </c>
      <c r="L608">
        <f>V608=ROUND(597*0.25,10)</f>
        <v/>
      </c>
      <c r="M608">
        <f>W608=ROUND(597*0.5,10)</f>
        <v/>
      </c>
      <c r="O608">
        <f>O607+0.1</f>
        <v/>
      </c>
      <c r="P608">
        <f>P607+0.2</f>
        <v/>
      </c>
      <c r="Q608">
        <f>Q607+0.3</f>
        <v/>
      </c>
      <c r="R608">
        <f>R607+0.05</f>
        <v/>
      </c>
      <c r="S608">
        <f>S607+0.01</f>
        <v/>
      </c>
      <c r="T608">
        <f>T607+0.7</f>
        <v/>
      </c>
      <c r="U608">
        <f>U607+1.1</f>
        <v/>
      </c>
      <c r="V608">
        <f>V607+0.25</f>
        <v/>
      </c>
      <c r="W608">
        <f>W607+0.5</f>
        <v/>
      </c>
    </row>
    <row r="609">
      <c r="E609">
        <f>O609=ROUND(598*0.1,10)</f>
        <v/>
      </c>
      <c r="F609">
        <f>P609=ROUND(598*0.2,10)</f>
        <v/>
      </c>
      <c r="G609">
        <f>Q609=ROUND(598*0.3,10)</f>
        <v/>
      </c>
      <c r="H609">
        <f>R609=ROUND(598*0.05,10)</f>
        <v/>
      </c>
      <c r="I609">
        <f>S609=ROUND(598*0.01,10)</f>
        <v/>
      </c>
      <c r="J609">
        <f>T609=ROUND(598*0.7,10)</f>
        <v/>
      </c>
      <c r="K609">
        <f>U609=ROUND(598*1.1,10)</f>
        <v/>
      </c>
      <c r="L609">
        <f>V609=ROUND(598*0.25,10)</f>
        <v/>
      </c>
      <c r="M609">
        <f>W609=ROUND(598*0.5,10)</f>
        <v/>
      </c>
      <c r="O609">
        <f>O608+0.1</f>
        <v/>
      </c>
      <c r="P609">
        <f>P608+0.2</f>
        <v/>
      </c>
      <c r="Q609">
        <f>Q608+0.3</f>
        <v/>
      </c>
      <c r="R609">
        <f>R608+0.05</f>
        <v/>
      </c>
      <c r="S609">
        <f>S608+0.01</f>
        <v/>
      </c>
      <c r="T609">
        <f>T608+0.7</f>
        <v/>
      </c>
      <c r="U609">
        <f>U608+1.1</f>
        <v/>
      </c>
      <c r="V609">
        <f>V608+0.25</f>
        <v/>
      </c>
      <c r="W609">
        <f>W608+0.5</f>
        <v/>
      </c>
    </row>
    <row r="610">
      <c r="E610">
        <f>O610=ROUND(599*0.1,10)</f>
        <v/>
      </c>
      <c r="F610">
        <f>P610=ROUND(599*0.2,10)</f>
        <v/>
      </c>
      <c r="G610">
        <f>Q610=ROUND(599*0.3,10)</f>
        <v/>
      </c>
      <c r="H610">
        <f>R610=ROUND(599*0.05,10)</f>
        <v/>
      </c>
      <c r="I610">
        <f>S610=ROUND(599*0.01,10)</f>
        <v/>
      </c>
      <c r="J610">
        <f>T610=ROUND(599*0.7,10)</f>
        <v/>
      </c>
      <c r="K610">
        <f>U610=ROUND(599*1.1,10)</f>
        <v/>
      </c>
      <c r="L610">
        <f>V610=ROUND(599*0.25,10)</f>
        <v/>
      </c>
      <c r="M610">
        <f>W610=ROUND(599*0.5,10)</f>
        <v/>
      </c>
      <c r="O610">
        <f>O609+0.1</f>
        <v/>
      </c>
      <c r="P610">
        <f>P609+0.2</f>
        <v/>
      </c>
      <c r="Q610">
        <f>Q609+0.3</f>
        <v/>
      </c>
      <c r="R610">
        <f>R609+0.05</f>
        <v/>
      </c>
      <c r="S610">
        <f>S609+0.01</f>
        <v/>
      </c>
      <c r="T610">
        <f>T609+0.7</f>
        <v/>
      </c>
      <c r="U610">
        <f>U609+1.1</f>
        <v/>
      </c>
      <c r="V610">
        <f>V609+0.25</f>
        <v/>
      </c>
      <c r="W610">
        <f>W609+0.5</f>
        <v/>
      </c>
    </row>
    <row r="611">
      <c r="E611">
        <f>O611=ROUND(600*0.1,10)</f>
        <v/>
      </c>
      <c r="F611">
        <f>P611=ROUND(600*0.2,10)</f>
        <v/>
      </c>
      <c r="G611">
        <f>Q611=ROUND(600*0.3,10)</f>
        <v/>
      </c>
      <c r="H611">
        <f>R611=ROUND(600*0.05,10)</f>
        <v/>
      </c>
      <c r="I611">
        <f>S611=ROUND(600*0.01,10)</f>
        <v/>
      </c>
      <c r="J611">
        <f>T611=ROUND(600*0.7,10)</f>
        <v/>
      </c>
      <c r="K611">
        <f>U611=ROUND(600*1.1,10)</f>
        <v/>
      </c>
      <c r="L611">
        <f>V611=ROUND(600*0.25,10)</f>
        <v/>
      </c>
      <c r="M611">
        <f>W611=ROUND(600*0.5,10)</f>
        <v/>
      </c>
      <c r="O611">
        <f>O610+0.1</f>
        <v/>
      </c>
      <c r="P611">
        <f>P610+0.2</f>
        <v/>
      </c>
      <c r="Q611">
        <f>Q610+0.3</f>
        <v/>
      </c>
      <c r="R611">
        <f>R610+0.05</f>
        <v/>
      </c>
      <c r="S611">
        <f>S610+0.01</f>
        <v/>
      </c>
      <c r="T611">
        <f>T610+0.7</f>
        <v/>
      </c>
      <c r="U611">
        <f>U610+1.1</f>
        <v/>
      </c>
      <c r="V611">
        <f>V610+0.25</f>
        <v/>
      </c>
      <c r="W611">
        <f>W610+0.5</f>
        <v/>
      </c>
    </row>
    <row r="612">
      <c r="E612">
        <f>O612=ROUND(601*0.1,10)</f>
        <v/>
      </c>
      <c r="F612">
        <f>P612=ROUND(601*0.2,10)</f>
        <v/>
      </c>
      <c r="G612">
        <f>Q612=ROUND(601*0.3,10)</f>
        <v/>
      </c>
      <c r="H612">
        <f>R612=ROUND(601*0.05,10)</f>
        <v/>
      </c>
      <c r="I612">
        <f>S612=ROUND(601*0.01,10)</f>
        <v/>
      </c>
      <c r="J612">
        <f>T612=ROUND(601*0.7,10)</f>
        <v/>
      </c>
      <c r="K612">
        <f>U612=ROUND(601*1.1,10)</f>
        <v/>
      </c>
      <c r="L612">
        <f>V612=ROUND(601*0.25,10)</f>
        <v/>
      </c>
      <c r="M612">
        <f>W612=ROUND(601*0.5,10)</f>
        <v/>
      </c>
      <c r="O612">
        <f>O611+0.1</f>
        <v/>
      </c>
      <c r="P612">
        <f>P611+0.2</f>
        <v/>
      </c>
      <c r="Q612">
        <f>Q611+0.3</f>
        <v/>
      </c>
      <c r="R612">
        <f>R611+0.05</f>
        <v/>
      </c>
      <c r="S612">
        <f>S611+0.01</f>
        <v/>
      </c>
      <c r="T612">
        <f>T611+0.7</f>
        <v/>
      </c>
      <c r="U612">
        <f>U611+1.1</f>
        <v/>
      </c>
      <c r="V612">
        <f>V611+0.25</f>
        <v/>
      </c>
      <c r="W612">
        <f>W611+0.5</f>
        <v/>
      </c>
    </row>
    <row r="613">
      <c r="E613">
        <f>O613=ROUND(602*0.1,10)</f>
        <v/>
      </c>
      <c r="F613">
        <f>P613=ROUND(602*0.2,10)</f>
        <v/>
      </c>
      <c r="G613">
        <f>Q613=ROUND(602*0.3,10)</f>
        <v/>
      </c>
      <c r="H613">
        <f>R613=ROUND(602*0.05,10)</f>
        <v/>
      </c>
      <c r="I613">
        <f>S613=ROUND(602*0.01,10)</f>
        <v/>
      </c>
      <c r="J613">
        <f>T613=ROUND(602*0.7,10)</f>
        <v/>
      </c>
      <c r="K613">
        <f>U613=ROUND(602*1.1,10)</f>
        <v/>
      </c>
      <c r="L613">
        <f>V613=ROUND(602*0.25,10)</f>
        <v/>
      </c>
      <c r="M613">
        <f>W613=ROUND(602*0.5,10)</f>
        <v/>
      </c>
      <c r="O613">
        <f>O612+0.1</f>
        <v/>
      </c>
      <c r="P613">
        <f>P612+0.2</f>
        <v/>
      </c>
      <c r="Q613">
        <f>Q612+0.3</f>
        <v/>
      </c>
      <c r="R613">
        <f>R612+0.05</f>
        <v/>
      </c>
      <c r="S613">
        <f>S612+0.01</f>
        <v/>
      </c>
      <c r="T613">
        <f>T612+0.7</f>
        <v/>
      </c>
      <c r="U613">
        <f>U612+1.1</f>
        <v/>
      </c>
      <c r="V613">
        <f>V612+0.25</f>
        <v/>
      </c>
      <c r="W613">
        <f>W612+0.5</f>
        <v/>
      </c>
    </row>
    <row r="614">
      <c r="E614">
        <f>O614=ROUND(603*0.1,10)</f>
        <v/>
      </c>
      <c r="F614">
        <f>P614=ROUND(603*0.2,10)</f>
        <v/>
      </c>
      <c r="G614">
        <f>Q614=ROUND(603*0.3,10)</f>
        <v/>
      </c>
      <c r="H614">
        <f>R614=ROUND(603*0.05,10)</f>
        <v/>
      </c>
      <c r="I614">
        <f>S614=ROUND(603*0.01,10)</f>
        <v/>
      </c>
      <c r="J614">
        <f>T614=ROUND(603*0.7,10)</f>
        <v/>
      </c>
      <c r="K614">
        <f>U614=ROUND(603*1.1,10)</f>
        <v/>
      </c>
      <c r="L614">
        <f>V614=ROUND(603*0.25,10)</f>
        <v/>
      </c>
      <c r="M614">
        <f>W614=ROUND(603*0.5,10)</f>
        <v/>
      </c>
      <c r="O614">
        <f>O613+0.1</f>
        <v/>
      </c>
      <c r="P614">
        <f>P613+0.2</f>
        <v/>
      </c>
      <c r="Q614">
        <f>Q613+0.3</f>
        <v/>
      </c>
      <c r="R614">
        <f>R613+0.05</f>
        <v/>
      </c>
      <c r="S614">
        <f>S613+0.01</f>
        <v/>
      </c>
      <c r="T614">
        <f>T613+0.7</f>
        <v/>
      </c>
      <c r="U614">
        <f>U613+1.1</f>
        <v/>
      </c>
      <c r="V614">
        <f>V613+0.25</f>
        <v/>
      </c>
      <c r="W614">
        <f>W613+0.5</f>
        <v/>
      </c>
    </row>
    <row r="615">
      <c r="E615">
        <f>O615=ROUND(604*0.1,10)</f>
        <v/>
      </c>
      <c r="F615">
        <f>P615=ROUND(604*0.2,10)</f>
        <v/>
      </c>
      <c r="G615">
        <f>Q615=ROUND(604*0.3,10)</f>
        <v/>
      </c>
      <c r="H615">
        <f>R615=ROUND(604*0.05,10)</f>
        <v/>
      </c>
      <c r="I615">
        <f>S615=ROUND(604*0.01,10)</f>
        <v/>
      </c>
      <c r="J615">
        <f>T615=ROUND(604*0.7,10)</f>
        <v/>
      </c>
      <c r="K615">
        <f>U615=ROUND(604*1.1,10)</f>
        <v/>
      </c>
      <c r="L615">
        <f>V615=ROUND(604*0.25,10)</f>
        <v/>
      </c>
      <c r="M615">
        <f>W615=ROUND(604*0.5,10)</f>
        <v/>
      </c>
      <c r="O615">
        <f>O614+0.1</f>
        <v/>
      </c>
      <c r="P615">
        <f>P614+0.2</f>
        <v/>
      </c>
      <c r="Q615">
        <f>Q614+0.3</f>
        <v/>
      </c>
      <c r="R615">
        <f>R614+0.05</f>
        <v/>
      </c>
      <c r="S615">
        <f>S614+0.01</f>
        <v/>
      </c>
      <c r="T615">
        <f>T614+0.7</f>
        <v/>
      </c>
      <c r="U615">
        <f>U614+1.1</f>
        <v/>
      </c>
      <c r="V615">
        <f>V614+0.25</f>
        <v/>
      </c>
      <c r="W615">
        <f>W614+0.5</f>
        <v/>
      </c>
    </row>
    <row r="616">
      <c r="E616">
        <f>O616=ROUND(605*0.1,10)</f>
        <v/>
      </c>
      <c r="F616">
        <f>P616=ROUND(605*0.2,10)</f>
        <v/>
      </c>
      <c r="G616">
        <f>Q616=ROUND(605*0.3,10)</f>
        <v/>
      </c>
      <c r="H616">
        <f>R616=ROUND(605*0.05,10)</f>
        <v/>
      </c>
      <c r="I616">
        <f>S616=ROUND(605*0.01,10)</f>
        <v/>
      </c>
      <c r="J616">
        <f>T616=ROUND(605*0.7,10)</f>
        <v/>
      </c>
      <c r="K616">
        <f>U616=ROUND(605*1.1,10)</f>
        <v/>
      </c>
      <c r="L616">
        <f>V616=ROUND(605*0.25,10)</f>
        <v/>
      </c>
      <c r="M616">
        <f>W616=ROUND(605*0.5,10)</f>
        <v/>
      </c>
      <c r="O616">
        <f>O615+0.1</f>
        <v/>
      </c>
      <c r="P616">
        <f>P615+0.2</f>
        <v/>
      </c>
      <c r="Q616">
        <f>Q615+0.3</f>
        <v/>
      </c>
      <c r="R616">
        <f>R615+0.05</f>
        <v/>
      </c>
      <c r="S616">
        <f>S615+0.01</f>
        <v/>
      </c>
      <c r="T616">
        <f>T615+0.7</f>
        <v/>
      </c>
      <c r="U616">
        <f>U615+1.1</f>
        <v/>
      </c>
      <c r="V616">
        <f>V615+0.25</f>
        <v/>
      </c>
      <c r="W616">
        <f>W615+0.5</f>
        <v/>
      </c>
    </row>
    <row r="617">
      <c r="E617">
        <f>O617=ROUND(606*0.1,10)</f>
        <v/>
      </c>
      <c r="F617">
        <f>P617=ROUND(606*0.2,10)</f>
        <v/>
      </c>
      <c r="G617">
        <f>Q617=ROUND(606*0.3,10)</f>
        <v/>
      </c>
      <c r="H617">
        <f>R617=ROUND(606*0.05,10)</f>
        <v/>
      </c>
      <c r="I617">
        <f>S617=ROUND(606*0.01,10)</f>
        <v/>
      </c>
      <c r="J617">
        <f>T617=ROUND(606*0.7,10)</f>
        <v/>
      </c>
      <c r="K617">
        <f>U617=ROUND(606*1.1,10)</f>
        <v/>
      </c>
      <c r="L617">
        <f>V617=ROUND(606*0.25,10)</f>
        <v/>
      </c>
      <c r="M617">
        <f>W617=ROUND(606*0.5,10)</f>
        <v/>
      </c>
      <c r="O617">
        <f>O616+0.1</f>
        <v/>
      </c>
      <c r="P617">
        <f>P616+0.2</f>
        <v/>
      </c>
      <c r="Q617">
        <f>Q616+0.3</f>
        <v/>
      </c>
      <c r="R617">
        <f>R616+0.05</f>
        <v/>
      </c>
      <c r="S617">
        <f>S616+0.01</f>
        <v/>
      </c>
      <c r="T617">
        <f>T616+0.7</f>
        <v/>
      </c>
      <c r="U617">
        <f>U616+1.1</f>
        <v/>
      </c>
      <c r="V617">
        <f>V616+0.25</f>
        <v/>
      </c>
      <c r="W617">
        <f>W616+0.5</f>
        <v/>
      </c>
    </row>
    <row r="618">
      <c r="E618">
        <f>O618=ROUND(607*0.1,10)</f>
        <v/>
      </c>
      <c r="F618">
        <f>P618=ROUND(607*0.2,10)</f>
        <v/>
      </c>
      <c r="G618">
        <f>Q618=ROUND(607*0.3,10)</f>
        <v/>
      </c>
      <c r="H618">
        <f>R618=ROUND(607*0.05,10)</f>
        <v/>
      </c>
      <c r="I618">
        <f>S618=ROUND(607*0.01,10)</f>
        <v/>
      </c>
      <c r="J618">
        <f>T618=ROUND(607*0.7,10)</f>
        <v/>
      </c>
      <c r="K618">
        <f>U618=ROUND(607*1.1,10)</f>
        <v/>
      </c>
      <c r="L618">
        <f>V618=ROUND(607*0.25,10)</f>
        <v/>
      </c>
      <c r="M618">
        <f>W618=ROUND(607*0.5,10)</f>
        <v/>
      </c>
      <c r="O618">
        <f>O617+0.1</f>
        <v/>
      </c>
      <c r="P618">
        <f>P617+0.2</f>
        <v/>
      </c>
      <c r="Q618">
        <f>Q617+0.3</f>
        <v/>
      </c>
      <c r="R618">
        <f>R617+0.05</f>
        <v/>
      </c>
      <c r="S618">
        <f>S617+0.01</f>
        <v/>
      </c>
      <c r="T618">
        <f>T617+0.7</f>
        <v/>
      </c>
      <c r="U618">
        <f>U617+1.1</f>
        <v/>
      </c>
      <c r="V618">
        <f>V617+0.25</f>
        <v/>
      </c>
      <c r="W618">
        <f>W617+0.5</f>
        <v/>
      </c>
    </row>
    <row r="619">
      <c r="E619">
        <f>O619=ROUND(608*0.1,10)</f>
        <v/>
      </c>
      <c r="F619">
        <f>P619=ROUND(608*0.2,10)</f>
        <v/>
      </c>
      <c r="G619">
        <f>Q619=ROUND(608*0.3,10)</f>
        <v/>
      </c>
      <c r="H619">
        <f>R619=ROUND(608*0.05,10)</f>
        <v/>
      </c>
      <c r="I619">
        <f>S619=ROUND(608*0.01,10)</f>
        <v/>
      </c>
      <c r="J619">
        <f>T619=ROUND(608*0.7,10)</f>
        <v/>
      </c>
      <c r="K619">
        <f>U619=ROUND(608*1.1,10)</f>
        <v/>
      </c>
      <c r="L619">
        <f>V619=ROUND(608*0.25,10)</f>
        <v/>
      </c>
      <c r="M619">
        <f>W619=ROUND(608*0.5,10)</f>
        <v/>
      </c>
      <c r="O619">
        <f>O618+0.1</f>
        <v/>
      </c>
      <c r="P619">
        <f>P618+0.2</f>
        <v/>
      </c>
      <c r="Q619">
        <f>Q618+0.3</f>
        <v/>
      </c>
      <c r="R619">
        <f>R618+0.05</f>
        <v/>
      </c>
      <c r="S619">
        <f>S618+0.01</f>
        <v/>
      </c>
      <c r="T619">
        <f>T618+0.7</f>
        <v/>
      </c>
      <c r="U619">
        <f>U618+1.1</f>
        <v/>
      </c>
      <c r="V619">
        <f>V618+0.25</f>
        <v/>
      </c>
      <c r="W619">
        <f>W618+0.5</f>
        <v/>
      </c>
    </row>
    <row r="620">
      <c r="E620">
        <f>O620=ROUND(609*0.1,10)</f>
        <v/>
      </c>
      <c r="F620">
        <f>P620=ROUND(609*0.2,10)</f>
        <v/>
      </c>
      <c r="G620">
        <f>Q620=ROUND(609*0.3,10)</f>
        <v/>
      </c>
      <c r="H620">
        <f>R620=ROUND(609*0.05,10)</f>
        <v/>
      </c>
      <c r="I620">
        <f>S620=ROUND(609*0.01,10)</f>
        <v/>
      </c>
      <c r="J620">
        <f>T620=ROUND(609*0.7,10)</f>
        <v/>
      </c>
      <c r="K620">
        <f>U620=ROUND(609*1.1,10)</f>
        <v/>
      </c>
      <c r="L620">
        <f>V620=ROUND(609*0.25,10)</f>
        <v/>
      </c>
      <c r="M620">
        <f>W620=ROUND(609*0.5,10)</f>
        <v/>
      </c>
      <c r="O620">
        <f>O619+0.1</f>
        <v/>
      </c>
      <c r="P620">
        <f>P619+0.2</f>
        <v/>
      </c>
      <c r="Q620">
        <f>Q619+0.3</f>
        <v/>
      </c>
      <c r="R620">
        <f>R619+0.05</f>
        <v/>
      </c>
      <c r="S620">
        <f>S619+0.01</f>
        <v/>
      </c>
      <c r="T620">
        <f>T619+0.7</f>
        <v/>
      </c>
      <c r="U620">
        <f>U619+1.1</f>
        <v/>
      </c>
      <c r="V620">
        <f>V619+0.25</f>
        <v/>
      </c>
      <c r="W620">
        <f>W619+0.5</f>
        <v/>
      </c>
    </row>
    <row r="621">
      <c r="E621">
        <f>O621=ROUND(610*0.1,10)</f>
        <v/>
      </c>
      <c r="F621">
        <f>P621=ROUND(610*0.2,10)</f>
        <v/>
      </c>
      <c r="G621">
        <f>Q621=ROUND(610*0.3,10)</f>
        <v/>
      </c>
      <c r="H621">
        <f>R621=ROUND(610*0.05,10)</f>
        <v/>
      </c>
      <c r="I621">
        <f>S621=ROUND(610*0.01,10)</f>
        <v/>
      </c>
      <c r="J621">
        <f>T621=ROUND(610*0.7,10)</f>
        <v/>
      </c>
      <c r="K621">
        <f>U621=ROUND(610*1.1,10)</f>
        <v/>
      </c>
      <c r="L621">
        <f>V621=ROUND(610*0.25,10)</f>
        <v/>
      </c>
      <c r="M621">
        <f>W621=ROUND(610*0.5,10)</f>
        <v/>
      </c>
      <c r="O621">
        <f>O620+0.1</f>
        <v/>
      </c>
      <c r="P621">
        <f>P620+0.2</f>
        <v/>
      </c>
      <c r="Q621">
        <f>Q620+0.3</f>
        <v/>
      </c>
      <c r="R621">
        <f>R620+0.05</f>
        <v/>
      </c>
      <c r="S621">
        <f>S620+0.01</f>
        <v/>
      </c>
      <c r="T621">
        <f>T620+0.7</f>
        <v/>
      </c>
      <c r="U621">
        <f>U620+1.1</f>
        <v/>
      </c>
      <c r="V621">
        <f>V620+0.25</f>
        <v/>
      </c>
      <c r="W621">
        <f>W620+0.5</f>
        <v/>
      </c>
    </row>
    <row r="622">
      <c r="E622">
        <f>O622=ROUND(611*0.1,10)</f>
        <v/>
      </c>
      <c r="F622">
        <f>P622=ROUND(611*0.2,10)</f>
        <v/>
      </c>
      <c r="G622">
        <f>Q622=ROUND(611*0.3,10)</f>
        <v/>
      </c>
      <c r="H622">
        <f>R622=ROUND(611*0.05,10)</f>
        <v/>
      </c>
      <c r="I622">
        <f>S622=ROUND(611*0.01,10)</f>
        <v/>
      </c>
      <c r="J622">
        <f>T622=ROUND(611*0.7,10)</f>
        <v/>
      </c>
      <c r="K622">
        <f>U622=ROUND(611*1.1,10)</f>
        <v/>
      </c>
      <c r="L622">
        <f>V622=ROUND(611*0.25,10)</f>
        <v/>
      </c>
      <c r="M622">
        <f>W622=ROUND(611*0.5,10)</f>
        <v/>
      </c>
      <c r="O622">
        <f>O621+0.1</f>
        <v/>
      </c>
      <c r="P622">
        <f>P621+0.2</f>
        <v/>
      </c>
      <c r="Q622">
        <f>Q621+0.3</f>
        <v/>
      </c>
      <c r="R622">
        <f>R621+0.05</f>
        <v/>
      </c>
      <c r="S622">
        <f>S621+0.01</f>
        <v/>
      </c>
      <c r="T622">
        <f>T621+0.7</f>
        <v/>
      </c>
      <c r="U622">
        <f>U621+1.1</f>
        <v/>
      </c>
      <c r="V622">
        <f>V621+0.25</f>
        <v/>
      </c>
      <c r="W622">
        <f>W621+0.5</f>
        <v/>
      </c>
    </row>
    <row r="623">
      <c r="E623">
        <f>O623=ROUND(612*0.1,10)</f>
        <v/>
      </c>
      <c r="F623">
        <f>P623=ROUND(612*0.2,10)</f>
        <v/>
      </c>
      <c r="G623">
        <f>Q623=ROUND(612*0.3,10)</f>
        <v/>
      </c>
      <c r="H623">
        <f>R623=ROUND(612*0.05,10)</f>
        <v/>
      </c>
      <c r="I623">
        <f>S623=ROUND(612*0.01,10)</f>
        <v/>
      </c>
      <c r="J623">
        <f>T623=ROUND(612*0.7,10)</f>
        <v/>
      </c>
      <c r="K623">
        <f>U623=ROUND(612*1.1,10)</f>
        <v/>
      </c>
      <c r="L623">
        <f>V623=ROUND(612*0.25,10)</f>
        <v/>
      </c>
      <c r="M623">
        <f>W623=ROUND(612*0.5,10)</f>
        <v/>
      </c>
      <c r="O623">
        <f>O622+0.1</f>
        <v/>
      </c>
      <c r="P623">
        <f>P622+0.2</f>
        <v/>
      </c>
      <c r="Q623">
        <f>Q622+0.3</f>
        <v/>
      </c>
      <c r="R623">
        <f>R622+0.05</f>
        <v/>
      </c>
      <c r="S623">
        <f>S622+0.01</f>
        <v/>
      </c>
      <c r="T623">
        <f>T622+0.7</f>
        <v/>
      </c>
      <c r="U623">
        <f>U622+1.1</f>
        <v/>
      </c>
      <c r="V623">
        <f>V622+0.25</f>
        <v/>
      </c>
      <c r="W623">
        <f>W622+0.5</f>
        <v/>
      </c>
    </row>
    <row r="624">
      <c r="E624">
        <f>O624=ROUND(613*0.1,10)</f>
        <v/>
      </c>
      <c r="F624">
        <f>P624=ROUND(613*0.2,10)</f>
        <v/>
      </c>
      <c r="G624">
        <f>Q624=ROUND(613*0.3,10)</f>
        <v/>
      </c>
      <c r="H624">
        <f>R624=ROUND(613*0.05,10)</f>
        <v/>
      </c>
      <c r="I624">
        <f>S624=ROUND(613*0.01,10)</f>
        <v/>
      </c>
      <c r="J624">
        <f>T624=ROUND(613*0.7,10)</f>
        <v/>
      </c>
      <c r="K624">
        <f>U624=ROUND(613*1.1,10)</f>
        <v/>
      </c>
      <c r="L624">
        <f>V624=ROUND(613*0.25,10)</f>
        <v/>
      </c>
      <c r="M624">
        <f>W624=ROUND(613*0.5,10)</f>
        <v/>
      </c>
      <c r="O624">
        <f>O623+0.1</f>
        <v/>
      </c>
      <c r="P624">
        <f>P623+0.2</f>
        <v/>
      </c>
      <c r="Q624">
        <f>Q623+0.3</f>
        <v/>
      </c>
      <c r="R624">
        <f>R623+0.05</f>
        <v/>
      </c>
      <c r="S624">
        <f>S623+0.01</f>
        <v/>
      </c>
      <c r="T624">
        <f>T623+0.7</f>
        <v/>
      </c>
      <c r="U624">
        <f>U623+1.1</f>
        <v/>
      </c>
      <c r="V624">
        <f>V623+0.25</f>
        <v/>
      </c>
      <c r="W624">
        <f>W623+0.5</f>
        <v/>
      </c>
    </row>
    <row r="625">
      <c r="E625">
        <f>O625=ROUND(614*0.1,10)</f>
        <v/>
      </c>
      <c r="F625">
        <f>P625=ROUND(614*0.2,10)</f>
        <v/>
      </c>
      <c r="G625">
        <f>Q625=ROUND(614*0.3,10)</f>
        <v/>
      </c>
      <c r="H625">
        <f>R625=ROUND(614*0.05,10)</f>
        <v/>
      </c>
      <c r="I625">
        <f>S625=ROUND(614*0.01,10)</f>
        <v/>
      </c>
      <c r="J625">
        <f>T625=ROUND(614*0.7,10)</f>
        <v/>
      </c>
      <c r="K625">
        <f>U625=ROUND(614*1.1,10)</f>
        <v/>
      </c>
      <c r="L625">
        <f>V625=ROUND(614*0.25,10)</f>
        <v/>
      </c>
      <c r="M625">
        <f>W625=ROUND(614*0.5,10)</f>
        <v/>
      </c>
      <c r="O625">
        <f>O624+0.1</f>
        <v/>
      </c>
      <c r="P625">
        <f>P624+0.2</f>
        <v/>
      </c>
      <c r="Q625">
        <f>Q624+0.3</f>
        <v/>
      </c>
      <c r="R625">
        <f>R624+0.05</f>
        <v/>
      </c>
      <c r="S625">
        <f>S624+0.01</f>
        <v/>
      </c>
      <c r="T625">
        <f>T624+0.7</f>
        <v/>
      </c>
      <c r="U625">
        <f>U624+1.1</f>
        <v/>
      </c>
      <c r="V625">
        <f>V624+0.25</f>
        <v/>
      </c>
      <c r="W625">
        <f>W624+0.5</f>
        <v/>
      </c>
    </row>
    <row r="626">
      <c r="E626">
        <f>O626=ROUND(615*0.1,10)</f>
        <v/>
      </c>
      <c r="F626">
        <f>P626=ROUND(615*0.2,10)</f>
        <v/>
      </c>
      <c r="G626">
        <f>Q626=ROUND(615*0.3,10)</f>
        <v/>
      </c>
      <c r="H626">
        <f>R626=ROUND(615*0.05,10)</f>
        <v/>
      </c>
      <c r="I626">
        <f>S626=ROUND(615*0.01,10)</f>
        <v/>
      </c>
      <c r="J626">
        <f>T626=ROUND(615*0.7,10)</f>
        <v/>
      </c>
      <c r="K626">
        <f>U626=ROUND(615*1.1,10)</f>
        <v/>
      </c>
      <c r="L626">
        <f>V626=ROUND(615*0.25,10)</f>
        <v/>
      </c>
      <c r="M626">
        <f>W626=ROUND(615*0.5,10)</f>
        <v/>
      </c>
      <c r="O626">
        <f>O625+0.1</f>
        <v/>
      </c>
      <c r="P626">
        <f>P625+0.2</f>
        <v/>
      </c>
      <c r="Q626">
        <f>Q625+0.3</f>
        <v/>
      </c>
      <c r="R626">
        <f>R625+0.05</f>
        <v/>
      </c>
      <c r="S626">
        <f>S625+0.01</f>
        <v/>
      </c>
      <c r="T626">
        <f>T625+0.7</f>
        <v/>
      </c>
      <c r="U626">
        <f>U625+1.1</f>
        <v/>
      </c>
      <c r="V626">
        <f>V625+0.25</f>
        <v/>
      </c>
      <c r="W626">
        <f>W625+0.5</f>
        <v/>
      </c>
    </row>
    <row r="627">
      <c r="E627">
        <f>O627=ROUND(616*0.1,10)</f>
        <v/>
      </c>
      <c r="F627">
        <f>P627=ROUND(616*0.2,10)</f>
        <v/>
      </c>
      <c r="G627">
        <f>Q627=ROUND(616*0.3,10)</f>
        <v/>
      </c>
      <c r="H627">
        <f>R627=ROUND(616*0.05,10)</f>
        <v/>
      </c>
      <c r="I627">
        <f>S627=ROUND(616*0.01,10)</f>
        <v/>
      </c>
      <c r="J627">
        <f>T627=ROUND(616*0.7,10)</f>
        <v/>
      </c>
      <c r="K627">
        <f>U627=ROUND(616*1.1,10)</f>
        <v/>
      </c>
      <c r="L627">
        <f>V627=ROUND(616*0.25,10)</f>
        <v/>
      </c>
      <c r="M627">
        <f>W627=ROUND(616*0.5,10)</f>
        <v/>
      </c>
      <c r="O627">
        <f>O626+0.1</f>
        <v/>
      </c>
      <c r="P627">
        <f>P626+0.2</f>
        <v/>
      </c>
      <c r="Q627">
        <f>Q626+0.3</f>
        <v/>
      </c>
      <c r="R627">
        <f>R626+0.05</f>
        <v/>
      </c>
      <c r="S627">
        <f>S626+0.01</f>
        <v/>
      </c>
      <c r="T627">
        <f>T626+0.7</f>
        <v/>
      </c>
      <c r="U627">
        <f>U626+1.1</f>
        <v/>
      </c>
      <c r="V627">
        <f>V626+0.25</f>
        <v/>
      </c>
      <c r="W627">
        <f>W626+0.5</f>
        <v/>
      </c>
    </row>
    <row r="628">
      <c r="E628">
        <f>O628=ROUND(617*0.1,10)</f>
        <v/>
      </c>
      <c r="F628">
        <f>P628=ROUND(617*0.2,10)</f>
        <v/>
      </c>
      <c r="G628">
        <f>Q628=ROUND(617*0.3,10)</f>
        <v/>
      </c>
      <c r="H628">
        <f>R628=ROUND(617*0.05,10)</f>
        <v/>
      </c>
      <c r="I628">
        <f>S628=ROUND(617*0.01,10)</f>
        <v/>
      </c>
      <c r="J628">
        <f>T628=ROUND(617*0.7,10)</f>
        <v/>
      </c>
      <c r="K628">
        <f>U628=ROUND(617*1.1,10)</f>
        <v/>
      </c>
      <c r="L628">
        <f>V628=ROUND(617*0.25,10)</f>
        <v/>
      </c>
      <c r="M628">
        <f>W628=ROUND(617*0.5,10)</f>
        <v/>
      </c>
      <c r="O628">
        <f>O627+0.1</f>
        <v/>
      </c>
      <c r="P628">
        <f>P627+0.2</f>
        <v/>
      </c>
      <c r="Q628">
        <f>Q627+0.3</f>
        <v/>
      </c>
      <c r="R628">
        <f>R627+0.05</f>
        <v/>
      </c>
      <c r="S628">
        <f>S627+0.01</f>
        <v/>
      </c>
      <c r="T628">
        <f>T627+0.7</f>
        <v/>
      </c>
      <c r="U628">
        <f>U627+1.1</f>
        <v/>
      </c>
      <c r="V628">
        <f>V627+0.25</f>
        <v/>
      </c>
      <c r="W628">
        <f>W627+0.5</f>
        <v/>
      </c>
    </row>
    <row r="629">
      <c r="E629">
        <f>O629=ROUND(618*0.1,10)</f>
        <v/>
      </c>
      <c r="F629">
        <f>P629=ROUND(618*0.2,10)</f>
        <v/>
      </c>
      <c r="G629">
        <f>Q629=ROUND(618*0.3,10)</f>
        <v/>
      </c>
      <c r="H629">
        <f>R629=ROUND(618*0.05,10)</f>
        <v/>
      </c>
      <c r="I629">
        <f>S629=ROUND(618*0.01,10)</f>
        <v/>
      </c>
      <c r="J629">
        <f>T629=ROUND(618*0.7,10)</f>
        <v/>
      </c>
      <c r="K629">
        <f>U629=ROUND(618*1.1,10)</f>
        <v/>
      </c>
      <c r="L629">
        <f>V629=ROUND(618*0.25,10)</f>
        <v/>
      </c>
      <c r="M629">
        <f>W629=ROUND(618*0.5,10)</f>
        <v/>
      </c>
      <c r="O629">
        <f>O628+0.1</f>
        <v/>
      </c>
      <c r="P629">
        <f>P628+0.2</f>
        <v/>
      </c>
      <c r="Q629">
        <f>Q628+0.3</f>
        <v/>
      </c>
      <c r="R629">
        <f>R628+0.05</f>
        <v/>
      </c>
      <c r="S629">
        <f>S628+0.01</f>
        <v/>
      </c>
      <c r="T629">
        <f>T628+0.7</f>
        <v/>
      </c>
      <c r="U629">
        <f>U628+1.1</f>
        <v/>
      </c>
      <c r="V629">
        <f>V628+0.25</f>
        <v/>
      </c>
      <c r="W629">
        <f>W628+0.5</f>
        <v/>
      </c>
    </row>
    <row r="630">
      <c r="E630">
        <f>O630=ROUND(619*0.1,10)</f>
        <v/>
      </c>
      <c r="F630">
        <f>P630=ROUND(619*0.2,10)</f>
        <v/>
      </c>
      <c r="G630">
        <f>Q630=ROUND(619*0.3,10)</f>
        <v/>
      </c>
      <c r="H630">
        <f>R630=ROUND(619*0.05,10)</f>
        <v/>
      </c>
      <c r="I630">
        <f>S630=ROUND(619*0.01,10)</f>
        <v/>
      </c>
      <c r="J630">
        <f>T630=ROUND(619*0.7,10)</f>
        <v/>
      </c>
      <c r="K630">
        <f>U630=ROUND(619*1.1,10)</f>
        <v/>
      </c>
      <c r="L630">
        <f>V630=ROUND(619*0.25,10)</f>
        <v/>
      </c>
      <c r="M630">
        <f>W630=ROUND(619*0.5,10)</f>
        <v/>
      </c>
      <c r="O630">
        <f>O629+0.1</f>
        <v/>
      </c>
      <c r="P630">
        <f>P629+0.2</f>
        <v/>
      </c>
      <c r="Q630">
        <f>Q629+0.3</f>
        <v/>
      </c>
      <c r="R630">
        <f>R629+0.05</f>
        <v/>
      </c>
      <c r="S630">
        <f>S629+0.01</f>
        <v/>
      </c>
      <c r="T630">
        <f>T629+0.7</f>
        <v/>
      </c>
      <c r="U630">
        <f>U629+1.1</f>
        <v/>
      </c>
      <c r="V630">
        <f>V629+0.25</f>
        <v/>
      </c>
      <c r="W630">
        <f>W629+0.5</f>
        <v/>
      </c>
    </row>
    <row r="631">
      <c r="E631">
        <f>O631=ROUND(620*0.1,10)</f>
        <v/>
      </c>
      <c r="F631">
        <f>P631=ROUND(620*0.2,10)</f>
        <v/>
      </c>
      <c r="G631">
        <f>Q631=ROUND(620*0.3,10)</f>
        <v/>
      </c>
      <c r="H631">
        <f>R631=ROUND(620*0.05,10)</f>
        <v/>
      </c>
      <c r="I631">
        <f>S631=ROUND(620*0.01,10)</f>
        <v/>
      </c>
      <c r="J631">
        <f>T631=ROUND(620*0.7,10)</f>
        <v/>
      </c>
      <c r="K631">
        <f>U631=ROUND(620*1.1,10)</f>
        <v/>
      </c>
      <c r="L631">
        <f>V631=ROUND(620*0.25,10)</f>
        <v/>
      </c>
      <c r="M631">
        <f>W631=ROUND(620*0.5,10)</f>
        <v/>
      </c>
      <c r="O631">
        <f>O630+0.1</f>
        <v/>
      </c>
      <c r="P631">
        <f>P630+0.2</f>
        <v/>
      </c>
      <c r="Q631">
        <f>Q630+0.3</f>
        <v/>
      </c>
      <c r="R631">
        <f>R630+0.05</f>
        <v/>
      </c>
      <c r="S631">
        <f>S630+0.01</f>
        <v/>
      </c>
      <c r="T631">
        <f>T630+0.7</f>
        <v/>
      </c>
      <c r="U631">
        <f>U630+1.1</f>
        <v/>
      </c>
      <c r="V631">
        <f>V630+0.25</f>
        <v/>
      </c>
      <c r="W631">
        <f>W630+0.5</f>
        <v/>
      </c>
    </row>
    <row r="632">
      <c r="E632">
        <f>O632=ROUND(621*0.1,10)</f>
        <v/>
      </c>
      <c r="F632">
        <f>P632=ROUND(621*0.2,10)</f>
        <v/>
      </c>
      <c r="G632">
        <f>Q632=ROUND(621*0.3,10)</f>
        <v/>
      </c>
      <c r="H632">
        <f>R632=ROUND(621*0.05,10)</f>
        <v/>
      </c>
      <c r="I632">
        <f>S632=ROUND(621*0.01,10)</f>
        <v/>
      </c>
      <c r="J632">
        <f>T632=ROUND(621*0.7,10)</f>
        <v/>
      </c>
      <c r="K632">
        <f>U632=ROUND(621*1.1,10)</f>
        <v/>
      </c>
      <c r="L632">
        <f>V632=ROUND(621*0.25,10)</f>
        <v/>
      </c>
      <c r="M632">
        <f>W632=ROUND(621*0.5,10)</f>
        <v/>
      </c>
      <c r="O632">
        <f>O631+0.1</f>
        <v/>
      </c>
      <c r="P632">
        <f>P631+0.2</f>
        <v/>
      </c>
      <c r="Q632">
        <f>Q631+0.3</f>
        <v/>
      </c>
      <c r="R632">
        <f>R631+0.05</f>
        <v/>
      </c>
      <c r="S632">
        <f>S631+0.01</f>
        <v/>
      </c>
      <c r="T632">
        <f>T631+0.7</f>
        <v/>
      </c>
      <c r="U632">
        <f>U631+1.1</f>
        <v/>
      </c>
      <c r="V632">
        <f>V631+0.25</f>
        <v/>
      </c>
      <c r="W632">
        <f>W631+0.5</f>
        <v/>
      </c>
    </row>
    <row r="633">
      <c r="E633">
        <f>O633=ROUND(622*0.1,10)</f>
        <v/>
      </c>
      <c r="F633">
        <f>P633=ROUND(622*0.2,10)</f>
        <v/>
      </c>
      <c r="G633">
        <f>Q633=ROUND(622*0.3,10)</f>
        <v/>
      </c>
      <c r="H633">
        <f>R633=ROUND(622*0.05,10)</f>
        <v/>
      </c>
      <c r="I633">
        <f>S633=ROUND(622*0.01,10)</f>
        <v/>
      </c>
      <c r="J633">
        <f>T633=ROUND(622*0.7,10)</f>
        <v/>
      </c>
      <c r="K633">
        <f>U633=ROUND(622*1.1,10)</f>
        <v/>
      </c>
      <c r="L633">
        <f>V633=ROUND(622*0.25,10)</f>
        <v/>
      </c>
      <c r="M633">
        <f>W633=ROUND(622*0.5,10)</f>
        <v/>
      </c>
      <c r="O633">
        <f>O632+0.1</f>
        <v/>
      </c>
      <c r="P633">
        <f>P632+0.2</f>
        <v/>
      </c>
      <c r="Q633">
        <f>Q632+0.3</f>
        <v/>
      </c>
      <c r="R633">
        <f>R632+0.05</f>
        <v/>
      </c>
      <c r="S633">
        <f>S632+0.01</f>
        <v/>
      </c>
      <c r="T633">
        <f>T632+0.7</f>
        <v/>
      </c>
      <c r="U633">
        <f>U632+1.1</f>
        <v/>
      </c>
      <c r="V633">
        <f>V632+0.25</f>
        <v/>
      </c>
      <c r="W633">
        <f>W632+0.5</f>
        <v/>
      </c>
    </row>
    <row r="634">
      <c r="E634">
        <f>O634=ROUND(623*0.1,10)</f>
        <v/>
      </c>
      <c r="F634">
        <f>P634=ROUND(623*0.2,10)</f>
        <v/>
      </c>
      <c r="G634">
        <f>Q634=ROUND(623*0.3,10)</f>
        <v/>
      </c>
      <c r="H634">
        <f>R634=ROUND(623*0.05,10)</f>
        <v/>
      </c>
      <c r="I634">
        <f>S634=ROUND(623*0.01,10)</f>
        <v/>
      </c>
      <c r="J634">
        <f>T634=ROUND(623*0.7,10)</f>
        <v/>
      </c>
      <c r="K634">
        <f>U634=ROUND(623*1.1,10)</f>
        <v/>
      </c>
      <c r="L634">
        <f>V634=ROUND(623*0.25,10)</f>
        <v/>
      </c>
      <c r="M634">
        <f>W634=ROUND(623*0.5,10)</f>
        <v/>
      </c>
      <c r="O634">
        <f>O633+0.1</f>
        <v/>
      </c>
      <c r="P634">
        <f>P633+0.2</f>
        <v/>
      </c>
      <c r="Q634">
        <f>Q633+0.3</f>
        <v/>
      </c>
      <c r="R634">
        <f>R633+0.05</f>
        <v/>
      </c>
      <c r="S634">
        <f>S633+0.01</f>
        <v/>
      </c>
      <c r="T634">
        <f>T633+0.7</f>
        <v/>
      </c>
      <c r="U634">
        <f>U633+1.1</f>
        <v/>
      </c>
      <c r="V634">
        <f>V633+0.25</f>
        <v/>
      </c>
      <c r="W634">
        <f>W633+0.5</f>
        <v/>
      </c>
    </row>
    <row r="635">
      <c r="E635">
        <f>O635=ROUND(624*0.1,10)</f>
        <v/>
      </c>
      <c r="F635">
        <f>P635=ROUND(624*0.2,10)</f>
        <v/>
      </c>
      <c r="G635">
        <f>Q635=ROUND(624*0.3,10)</f>
        <v/>
      </c>
      <c r="H635">
        <f>R635=ROUND(624*0.05,10)</f>
        <v/>
      </c>
      <c r="I635">
        <f>S635=ROUND(624*0.01,10)</f>
        <v/>
      </c>
      <c r="J635">
        <f>T635=ROUND(624*0.7,10)</f>
        <v/>
      </c>
      <c r="K635">
        <f>U635=ROUND(624*1.1,10)</f>
        <v/>
      </c>
      <c r="L635">
        <f>V635=ROUND(624*0.25,10)</f>
        <v/>
      </c>
      <c r="M635">
        <f>W635=ROUND(624*0.5,10)</f>
        <v/>
      </c>
      <c r="O635">
        <f>O634+0.1</f>
        <v/>
      </c>
      <c r="P635">
        <f>P634+0.2</f>
        <v/>
      </c>
      <c r="Q635">
        <f>Q634+0.3</f>
        <v/>
      </c>
      <c r="R635">
        <f>R634+0.05</f>
        <v/>
      </c>
      <c r="S635">
        <f>S634+0.01</f>
        <v/>
      </c>
      <c r="T635">
        <f>T634+0.7</f>
        <v/>
      </c>
      <c r="U635">
        <f>U634+1.1</f>
        <v/>
      </c>
      <c r="V635">
        <f>V634+0.25</f>
        <v/>
      </c>
      <c r="W635">
        <f>W634+0.5</f>
        <v/>
      </c>
    </row>
    <row r="636">
      <c r="E636">
        <f>O636=ROUND(625*0.1,10)</f>
        <v/>
      </c>
      <c r="F636">
        <f>P636=ROUND(625*0.2,10)</f>
        <v/>
      </c>
      <c r="G636">
        <f>Q636=ROUND(625*0.3,10)</f>
        <v/>
      </c>
      <c r="H636">
        <f>R636=ROUND(625*0.05,10)</f>
        <v/>
      </c>
      <c r="I636">
        <f>S636=ROUND(625*0.01,10)</f>
        <v/>
      </c>
      <c r="J636">
        <f>T636=ROUND(625*0.7,10)</f>
        <v/>
      </c>
      <c r="K636">
        <f>U636=ROUND(625*1.1,10)</f>
        <v/>
      </c>
      <c r="L636">
        <f>V636=ROUND(625*0.25,10)</f>
        <v/>
      </c>
      <c r="M636">
        <f>W636=ROUND(625*0.5,10)</f>
        <v/>
      </c>
      <c r="O636">
        <f>O635+0.1</f>
        <v/>
      </c>
      <c r="P636">
        <f>P635+0.2</f>
        <v/>
      </c>
      <c r="Q636">
        <f>Q635+0.3</f>
        <v/>
      </c>
      <c r="R636">
        <f>R635+0.05</f>
        <v/>
      </c>
      <c r="S636">
        <f>S635+0.01</f>
        <v/>
      </c>
      <c r="T636">
        <f>T635+0.7</f>
        <v/>
      </c>
      <c r="U636">
        <f>U635+1.1</f>
        <v/>
      </c>
      <c r="V636">
        <f>V635+0.25</f>
        <v/>
      </c>
      <c r="W636">
        <f>W635+0.5</f>
        <v/>
      </c>
    </row>
    <row r="637">
      <c r="E637">
        <f>O637=ROUND(626*0.1,10)</f>
        <v/>
      </c>
      <c r="F637">
        <f>P637=ROUND(626*0.2,10)</f>
        <v/>
      </c>
      <c r="G637">
        <f>Q637=ROUND(626*0.3,10)</f>
        <v/>
      </c>
      <c r="H637">
        <f>R637=ROUND(626*0.05,10)</f>
        <v/>
      </c>
      <c r="I637">
        <f>S637=ROUND(626*0.01,10)</f>
        <v/>
      </c>
      <c r="J637">
        <f>T637=ROUND(626*0.7,10)</f>
        <v/>
      </c>
      <c r="K637">
        <f>U637=ROUND(626*1.1,10)</f>
        <v/>
      </c>
      <c r="L637">
        <f>V637=ROUND(626*0.25,10)</f>
        <v/>
      </c>
      <c r="M637">
        <f>W637=ROUND(626*0.5,10)</f>
        <v/>
      </c>
      <c r="O637">
        <f>O636+0.1</f>
        <v/>
      </c>
      <c r="P637">
        <f>P636+0.2</f>
        <v/>
      </c>
      <c r="Q637">
        <f>Q636+0.3</f>
        <v/>
      </c>
      <c r="R637">
        <f>R636+0.05</f>
        <v/>
      </c>
      <c r="S637">
        <f>S636+0.01</f>
        <v/>
      </c>
      <c r="T637">
        <f>T636+0.7</f>
        <v/>
      </c>
      <c r="U637">
        <f>U636+1.1</f>
        <v/>
      </c>
      <c r="V637">
        <f>V636+0.25</f>
        <v/>
      </c>
      <c r="W637">
        <f>W636+0.5</f>
        <v/>
      </c>
    </row>
    <row r="638">
      <c r="E638">
        <f>O638=ROUND(627*0.1,10)</f>
        <v/>
      </c>
      <c r="F638">
        <f>P638=ROUND(627*0.2,10)</f>
        <v/>
      </c>
      <c r="G638">
        <f>Q638=ROUND(627*0.3,10)</f>
        <v/>
      </c>
      <c r="H638">
        <f>R638=ROUND(627*0.05,10)</f>
        <v/>
      </c>
      <c r="I638">
        <f>S638=ROUND(627*0.01,10)</f>
        <v/>
      </c>
      <c r="J638">
        <f>T638=ROUND(627*0.7,10)</f>
        <v/>
      </c>
      <c r="K638">
        <f>U638=ROUND(627*1.1,10)</f>
        <v/>
      </c>
      <c r="L638">
        <f>V638=ROUND(627*0.25,10)</f>
        <v/>
      </c>
      <c r="M638">
        <f>W638=ROUND(627*0.5,10)</f>
        <v/>
      </c>
      <c r="O638">
        <f>O637+0.1</f>
        <v/>
      </c>
      <c r="P638">
        <f>P637+0.2</f>
        <v/>
      </c>
      <c r="Q638">
        <f>Q637+0.3</f>
        <v/>
      </c>
      <c r="R638">
        <f>R637+0.05</f>
        <v/>
      </c>
      <c r="S638">
        <f>S637+0.01</f>
        <v/>
      </c>
      <c r="T638">
        <f>T637+0.7</f>
        <v/>
      </c>
      <c r="U638">
        <f>U637+1.1</f>
        <v/>
      </c>
      <c r="V638">
        <f>V637+0.25</f>
        <v/>
      </c>
      <c r="W638">
        <f>W637+0.5</f>
        <v/>
      </c>
    </row>
    <row r="639">
      <c r="E639">
        <f>O639=ROUND(628*0.1,10)</f>
        <v/>
      </c>
      <c r="F639">
        <f>P639=ROUND(628*0.2,10)</f>
        <v/>
      </c>
      <c r="G639">
        <f>Q639=ROUND(628*0.3,10)</f>
        <v/>
      </c>
      <c r="H639">
        <f>R639=ROUND(628*0.05,10)</f>
        <v/>
      </c>
      <c r="I639">
        <f>S639=ROUND(628*0.01,10)</f>
        <v/>
      </c>
      <c r="J639">
        <f>T639=ROUND(628*0.7,10)</f>
        <v/>
      </c>
      <c r="K639">
        <f>U639=ROUND(628*1.1,10)</f>
        <v/>
      </c>
      <c r="L639">
        <f>V639=ROUND(628*0.25,10)</f>
        <v/>
      </c>
      <c r="M639">
        <f>W639=ROUND(628*0.5,10)</f>
        <v/>
      </c>
      <c r="O639">
        <f>O638+0.1</f>
        <v/>
      </c>
      <c r="P639">
        <f>P638+0.2</f>
        <v/>
      </c>
      <c r="Q639">
        <f>Q638+0.3</f>
        <v/>
      </c>
      <c r="R639">
        <f>R638+0.05</f>
        <v/>
      </c>
      <c r="S639">
        <f>S638+0.01</f>
        <v/>
      </c>
      <c r="T639">
        <f>T638+0.7</f>
        <v/>
      </c>
      <c r="U639">
        <f>U638+1.1</f>
        <v/>
      </c>
      <c r="V639">
        <f>V638+0.25</f>
        <v/>
      </c>
      <c r="W639">
        <f>W638+0.5</f>
        <v/>
      </c>
    </row>
    <row r="640">
      <c r="E640">
        <f>O640=ROUND(629*0.1,10)</f>
        <v/>
      </c>
      <c r="F640">
        <f>P640=ROUND(629*0.2,10)</f>
        <v/>
      </c>
      <c r="G640">
        <f>Q640=ROUND(629*0.3,10)</f>
        <v/>
      </c>
      <c r="H640">
        <f>R640=ROUND(629*0.05,10)</f>
        <v/>
      </c>
      <c r="I640">
        <f>S640=ROUND(629*0.01,10)</f>
        <v/>
      </c>
      <c r="J640">
        <f>T640=ROUND(629*0.7,10)</f>
        <v/>
      </c>
      <c r="K640">
        <f>U640=ROUND(629*1.1,10)</f>
        <v/>
      </c>
      <c r="L640">
        <f>V640=ROUND(629*0.25,10)</f>
        <v/>
      </c>
      <c r="M640">
        <f>W640=ROUND(629*0.5,10)</f>
        <v/>
      </c>
      <c r="O640">
        <f>O639+0.1</f>
        <v/>
      </c>
      <c r="P640">
        <f>P639+0.2</f>
        <v/>
      </c>
      <c r="Q640">
        <f>Q639+0.3</f>
        <v/>
      </c>
      <c r="R640">
        <f>R639+0.05</f>
        <v/>
      </c>
      <c r="S640">
        <f>S639+0.01</f>
        <v/>
      </c>
      <c r="T640">
        <f>T639+0.7</f>
        <v/>
      </c>
      <c r="U640">
        <f>U639+1.1</f>
        <v/>
      </c>
      <c r="V640">
        <f>V639+0.25</f>
        <v/>
      </c>
      <c r="W640">
        <f>W639+0.5</f>
        <v/>
      </c>
    </row>
    <row r="641">
      <c r="E641">
        <f>O641=ROUND(630*0.1,10)</f>
        <v/>
      </c>
      <c r="F641">
        <f>P641=ROUND(630*0.2,10)</f>
        <v/>
      </c>
      <c r="G641">
        <f>Q641=ROUND(630*0.3,10)</f>
        <v/>
      </c>
      <c r="H641">
        <f>R641=ROUND(630*0.05,10)</f>
        <v/>
      </c>
      <c r="I641">
        <f>S641=ROUND(630*0.01,10)</f>
        <v/>
      </c>
      <c r="J641">
        <f>T641=ROUND(630*0.7,10)</f>
        <v/>
      </c>
      <c r="K641">
        <f>U641=ROUND(630*1.1,10)</f>
        <v/>
      </c>
      <c r="L641">
        <f>V641=ROUND(630*0.25,10)</f>
        <v/>
      </c>
      <c r="M641">
        <f>W641=ROUND(630*0.5,10)</f>
        <v/>
      </c>
      <c r="O641">
        <f>O640+0.1</f>
        <v/>
      </c>
      <c r="P641">
        <f>P640+0.2</f>
        <v/>
      </c>
      <c r="Q641">
        <f>Q640+0.3</f>
        <v/>
      </c>
      <c r="R641">
        <f>R640+0.05</f>
        <v/>
      </c>
      <c r="S641">
        <f>S640+0.01</f>
        <v/>
      </c>
      <c r="T641">
        <f>T640+0.7</f>
        <v/>
      </c>
      <c r="U641">
        <f>U640+1.1</f>
        <v/>
      </c>
      <c r="V641">
        <f>V640+0.25</f>
        <v/>
      </c>
      <c r="W641">
        <f>W640+0.5</f>
        <v/>
      </c>
    </row>
    <row r="642">
      <c r="E642">
        <f>O642=ROUND(631*0.1,10)</f>
        <v/>
      </c>
      <c r="F642">
        <f>P642=ROUND(631*0.2,10)</f>
        <v/>
      </c>
      <c r="G642">
        <f>Q642=ROUND(631*0.3,10)</f>
        <v/>
      </c>
      <c r="H642">
        <f>R642=ROUND(631*0.05,10)</f>
        <v/>
      </c>
      <c r="I642">
        <f>S642=ROUND(631*0.01,10)</f>
        <v/>
      </c>
      <c r="J642">
        <f>T642=ROUND(631*0.7,10)</f>
        <v/>
      </c>
      <c r="K642">
        <f>U642=ROUND(631*1.1,10)</f>
        <v/>
      </c>
      <c r="L642">
        <f>V642=ROUND(631*0.25,10)</f>
        <v/>
      </c>
      <c r="M642">
        <f>W642=ROUND(631*0.5,10)</f>
        <v/>
      </c>
      <c r="O642">
        <f>O641+0.1</f>
        <v/>
      </c>
      <c r="P642">
        <f>P641+0.2</f>
        <v/>
      </c>
      <c r="Q642">
        <f>Q641+0.3</f>
        <v/>
      </c>
      <c r="R642">
        <f>R641+0.05</f>
        <v/>
      </c>
      <c r="S642">
        <f>S641+0.01</f>
        <v/>
      </c>
      <c r="T642">
        <f>T641+0.7</f>
        <v/>
      </c>
      <c r="U642">
        <f>U641+1.1</f>
        <v/>
      </c>
      <c r="V642">
        <f>V641+0.25</f>
        <v/>
      </c>
      <c r="W642">
        <f>W641+0.5</f>
        <v/>
      </c>
    </row>
    <row r="643">
      <c r="E643">
        <f>O643=ROUND(632*0.1,10)</f>
        <v/>
      </c>
      <c r="F643">
        <f>P643=ROUND(632*0.2,10)</f>
        <v/>
      </c>
      <c r="G643">
        <f>Q643=ROUND(632*0.3,10)</f>
        <v/>
      </c>
      <c r="H643">
        <f>R643=ROUND(632*0.05,10)</f>
        <v/>
      </c>
      <c r="I643">
        <f>S643=ROUND(632*0.01,10)</f>
        <v/>
      </c>
      <c r="J643">
        <f>T643=ROUND(632*0.7,10)</f>
        <v/>
      </c>
      <c r="K643">
        <f>U643=ROUND(632*1.1,10)</f>
        <v/>
      </c>
      <c r="L643">
        <f>V643=ROUND(632*0.25,10)</f>
        <v/>
      </c>
      <c r="M643">
        <f>W643=ROUND(632*0.5,10)</f>
        <v/>
      </c>
      <c r="O643">
        <f>O642+0.1</f>
        <v/>
      </c>
      <c r="P643">
        <f>P642+0.2</f>
        <v/>
      </c>
      <c r="Q643">
        <f>Q642+0.3</f>
        <v/>
      </c>
      <c r="R643">
        <f>R642+0.05</f>
        <v/>
      </c>
      <c r="S643">
        <f>S642+0.01</f>
        <v/>
      </c>
      <c r="T643">
        <f>T642+0.7</f>
        <v/>
      </c>
      <c r="U643">
        <f>U642+1.1</f>
        <v/>
      </c>
      <c r="V643">
        <f>V642+0.25</f>
        <v/>
      </c>
      <c r="W643">
        <f>W642+0.5</f>
        <v/>
      </c>
    </row>
    <row r="644">
      <c r="E644">
        <f>O644=ROUND(633*0.1,10)</f>
        <v/>
      </c>
      <c r="F644">
        <f>P644=ROUND(633*0.2,10)</f>
        <v/>
      </c>
      <c r="G644">
        <f>Q644=ROUND(633*0.3,10)</f>
        <v/>
      </c>
      <c r="H644">
        <f>R644=ROUND(633*0.05,10)</f>
        <v/>
      </c>
      <c r="I644">
        <f>S644=ROUND(633*0.01,10)</f>
        <v/>
      </c>
      <c r="J644">
        <f>T644=ROUND(633*0.7,10)</f>
        <v/>
      </c>
      <c r="K644">
        <f>U644=ROUND(633*1.1,10)</f>
        <v/>
      </c>
      <c r="L644">
        <f>V644=ROUND(633*0.25,10)</f>
        <v/>
      </c>
      <c r="M644">
        <f>W644=ROUND(633*0.5,10)</f>
        <v/>
      </c>
      <c r="O644">
        <f>O643+0.1</f>
        <v/>
      </c>
      <c r="P644">
        <f>P643+0.2</f>
        <v/>
      </c>
      <c r="Q644">
        <f>Q643+0.3</f>
        <v/>
      </c>
      <c r="R644">
        <f>R643+0.05</f>
        <v/>
      </c>
      <c r="S644">
        <f>S643+0.01</f>
        <v/>
      </c>
      <c r="T644">
        <f>T643+0.7</f>
        <v/>
      </c>
      <c r="U644">
        <f>U643+1.1</f>
        <v/>
      </c>
      <c r="V644">
        <f>V643+0.25</f>
        <v/>
      </c>
      <c r="W644">
        <f>W643+0.5</f>
        <v/>
      </c>
    </row>
    <row r="645">
      <c r="E645">
        <f>O645=ROUND(634*0.1,10)</f>
        <v/>
      </c>
      <c r="F645">
        <f>P645=ROUND(634*0.2,10)</f>
        <v/>
      </c>
      <c r="G645">
        <f>Q645=ROUND(634*0.3,10)</f>
        <v/>
      </c>
      <c r="H645">
        <f>R645=ROUND(634*0.05,10)</f>
        <v/>
      </c>
      <c r="I645">
        <f>S645=ROUND(634*0.01,10)</f>
        <v/>
      </c>
      <c r="J645">
        <f>T645=ROUND(634*0.7,10)</f>
        <v/>
      </c>
      <c r="K645">
        <f>U645=ROUND(634*1.1,10)</f>
        <v/>
      </c>
      <c r="L645">
        <f>V645=ROUND(634*0.25,10)</f>
        <v/>
      </c>
      <c r="M645">
        <f>W645=ROUND(634*0.5,10)</f>
        <v/>
      </c>
      <c r="O645">
        <f>O644+0.1</f>
        <v/>
      </c>
      <c r="P645">
        <f>P644+0.2</f>
        <v/>
      </c>
      <c r="Q645">
        <f>Q644+0.3</f>
        <v/>
      </c>
      <c r="R645">
        <f>R644+0.05</f>
        <v/>
      </c>
      <c r="S645">
        <f>S644+0.01</f>
        <v/>
      </c>
      <c r="T645">
        <f>T644+0.7</f>
        <v/>
      </c>
      <c r="U645">
        <f>U644+1.1</f>
        <v/>
      </c>
      <c r="V645">
        <f>V644+0.25</f>
        <v/>
      </c>
      <c r="W645">
        <f>W644+0.5</f>
        <v/>
      </c>
    </row>
    <row r="646">
      <c r="E646">
        <f>O646=ROUND(635*0.1,10)</f>
        <v/>
      </c>
      <c r="F646">
        <f>P646=ROUND(635*0.2,10)</f>
        <v/>
      </c>
      <c r="G646">
        <f>Q646=ROUND(635*0.3,10)</f>
        <v/>
      </c>
      <c r="H646">
        <f>R646=ROUND(635*0.05,10)</f>
        <v/>
      </c>
      <c r="I646">
        <f>S646=ROUND(635*0.01,10)</f>
        <v/>
      </c>
      <c r="J646">
        <f>T646=ROUND(635*0.7,10)</f>
        <v/>
      </c>
      <c r="K646">
        <f>U646=ROUND(635*1.1,10)</f>
        <v/>
      </c>
      <c r="L646">
        <f>V646=ROUND(635*0.25,10)</f>
        <v/>
      </c>
      <c r="M646">
        <f>W646=ROUND(635*0.5,10)</f>
        <v/>
      </c>
      <c r="O646">
        <f>O645+0.1</f>
        <v/>
      </c>
      <c r="P646">
        <f>P645+0.2</f>
        <v/>
      </c>
      <c r="Q646">
        <f>Q645+0.3</f>
        <v/>
      </c>
      <c r="R646">
        <f>R645+0.05</f>
        <v/>
      </c>
      <c r="S646">
        <f>S645+0.01</f>
        <v/>
      </c>
      <c r="T646">
        <f>T645+0.7</f>
        <v/>
      </c>
      <c r="U646">
        <f>U645+1.1</f>
        <v/>
      </c>
      <c r="V646">
        <f>V645+0.25</f>
        <v/>
      </c>
      <c r="W646">
        <f>W645+0.5</f>
        <v/>
      </c>
    </row>
    <row r="647">
      <c r="E647">
        <f>O647=ROUND(636*0.1,10)</f>
        <v/>
      </c>
      <c r="F647">
        <f>P647=ROUND(636*0.2,10)</f>
        <v/>
      </c>
      <c r="G647">
        <f>Q647=ROUND(636*0.3,10)</f>
        <v/>
      </c>
      <c r="H647">
        <f>R647=ROUND(636*0.05,10)</f>
        <v/>
      </c>
      <c r="I647">
        <f>S647=ROUND(636*0.01,10)</f>
        <v/>
      </c>
      <c r="J647">
        <f>T647=ROUND(636*0.7,10)</f>
        <v/>
      </c>
      <c r="K647">
        <f>U647=ROUND(636*1.1,10)</f>
        <v/>
      </c>
      <c r="L647">
        <f>V647=ROUND(636*0.25,10)</f>
        <v/>
      </c>
      <c r="M647">
        <f>W647=ROUND(636*0.5,10)</f>
        <v/>
      </c>
      <c r="O647">
        <f>O646+0.1</f>
        <v/>
      </c>
      <c r="P647">
        <f>P646+0.2</f>
        <v/>
      </c>
      <c r="Q647">
        <f>Q646+0.3</f>
        <v/>
      </c>
      <c r="R647">
        <f>R646+0.05</f>
        <v/>
      </c>
      <c r="S647">
        <f>S646+0.01</f>
        <v/>
      </c>
      <c r="T647">
        <f>T646+0.7</f>
        <v/>
      </c>
      <c r="U647">
        <f>U646+1.1</f>
        <v/>
      </c>
      <c r="V647">
        <f>V646+0.25</f>
        <v/>
      </c>
      <c r="W647">
        <f>W646+0.5</f>
        <v/>
      </c>
    </row>
    <row r="648">
      <c r="E648">
        <f>O648=ROUND(637*0.1,10)</f>
        <v/>
      </c>
      <c r="F648">
        <f>P648=ROUND(637*0.2,10)</f>
        <v/>
      </c>
      <c r="G648">
        <f>Q648=ROUND(637*0.3,10)</f>
        <v/>
      </c>
      <c r="H648">
        <f>R648=ROUND(637*0.05,10)</f>
        <v/>
      </c>
      <c r="I648">
        <f>S648=ROUND(637*0.01,10)</f>
        <v/>
      </c>
      <c r="J648">
        <f>T648=ROUND(637*0.7,10)</f>
        <v/>
      </c>
      <c r="K648">
        <f>U648=ROUND(637*1.1,10)</f>
        <v/>
      </c>
      <c r="L648">
        <f>V648=ROUND(637*0.25,10)</f>
        <v/>
      </c>
      <c r="M648">
        <f>W648=ROUND(637*0.5,10)</f>
        <v/>
      </c>
      <c r="O648">
        <f>O647+0.1</f>
        <v/>
      </c>
      <c r="P648">
        <f>P647+0.2</f>
        <v/>
      </c>
      <c r="Q648">
        <f>Q647+0.3</f>
        <v/>
      </c>
      <c r="R648">
        <f>R647+0.05</f>
        <v/>
      </c>
      <c r="S648">
        <f>S647+0.01</f>
        <v/>
      </c>
      <c r="T648">
        <f>T647+0.7</f>
        <v/>
      </c>
      <c r="U648">
        <f>U647+1.1</f>
        <v/>
      </c>
      <c r="V648">
        <f>V647+0.25</f>
        <v/>
      </c>
      <c r="W648">
        <f>W647+0.5</f>
        <v/>
      </c>
    </row>
    <row r="649">
      <c r="E649">
        <f>O649=ROUND(638*0.1,10)</f>
        <v/>
      </c>
      <c r="F649">
        <f>P649=ROUND(638*0.2,10)</f>
        <v/>
      </c>
      <c r="G649">
        <f>Q649=ROUND(638*0.3,10)</f>
        <v/>
      </c>
      <c r="H649">
        <f>R649=ROUND(638*0.05,10)</f>
        <v/>
      </c>
      <c r="I649">
        <f>S649=ROUND(638*0.01,10)</f>
        <v/>
      </c>
      <c r="J649">
        <f>T649=ROUND(638*0.7,10)</f>
        <v/>
      </c>
      <c r="K649">
        <f>U649=ROUND(638*1.1,10)</f>
        <v/>
      </c>
      <c r="L649">
        <f>V649=ROUND(638*0.25,10)</f>
        <v/>
      </c>
      <c r="M649">
        <f>W649=ROUND(638*0.5,10)</f>
        <v/>
      </c>
      <c r="O649">
        <f>O648+0.1</f>
        <v/>
      </c>
      <c r="P649">
        <f>P648+0.2</f>
        <v/>
      </c>
      <c r="Q649">
        <f>Q648+0.3</f>
        <v/>
      </c>
      <c r="R649">
        <f>R648+0.05</f>
        <v/>
      </c>
      <c r="S649">
        <f>S648+0.01</f>
        <v/>
      </c>
      <c r="T649">
        <f>T648+0.7</f>
        <v/>
      </c>
      <c r="U649">
        <f>U648+1.1</f>
        <v/>
      </c>
      <c r="V649">
        <f>V648+0.25</f>
        <v/>
      </c>
      <c r="W649">
        <f>W648+0.5</f>
        <v/>
      </c>
    </row>
    <row r="650">
      <c r="E650">
        <f>O650=ROUND(639*0.1,10)</f>
        <v/>
      </c>
      <c r="F650">
        <f>P650=ROUND(639*0.2,10)</f>
        <v/>
      </c>
      <c r="G650">
        <f>Q650=ROUND(639*0.3,10)</f>
        <v/>
      </c>
      <c r="H650">
        <f>R650=ROUND(639*0.05,10)</f>
        <v/>
      </c>
      <c r="I650">
        <f>S650=ROUND(639*0.01,10)</f>
        <v/>
      </c>
      <c r="J650">
        <f>T650=ROUND(639*0.7,10)</f>
        <v/>
      </c>
      <c r="K650">
        <f>U650=ROUND(639*1.1,10)</f>
        <v/>
      </c>
      <c r="L650">
        <f>V650=ROUND(639*0.25,10)</f>
        <v/>
      </c>
      <c r="M650">
        <f>W650=ROUND(639*0.5,10)</f>
        <v/>
      </c>
      <c r="O650">
        <f>O649+0.1</f>
        <v/>
      </c>
      <c r="P650">
        <f>P649+0.2</f>
        <v/>
      </c>
      <c r="Q650">
        <f>Q649+0.3</f>
        <v/>
      </c>
      <c r="R650">
        <f>R649+0.05</f>
        <v/>
      </c>
      <c r="S650">
        <f>S649+0.01</f>
        <v/>
      </c>
      <c r="T650">
        <f>T649+0.7</f>
        <v/>
      </c>
      <c r="U650">
        <f>U649+1.1</f>
        <v/>
      </c>
      <c r="V650">
        <f>V649+0.25</f>
        <v/>
      </c>
      <c r="W650">
        <f>W649+0.5</f>
        <v/>
      </c>
    </row>
    <row r="651">
      <c r="E651">
        <f>O651=ROUND(640*0.1,10)</f>
        <v/>
      </c>
      <c r="F651">
        <f>P651=ROUND(640*0.2,10)</f>
        <v/>
      </c>
      <c r="G651">
        <f>Q651=ROUND(640*0.3,10)</f>
        <v/>
      </c>
      <c r="H651">
        <f>R651=ROUND(640*0.05,10)</f>
        <v/>
      </c>
      <c r="I651">
        <f>S651=ROUND(640*0.01,10)</f>
        <v/>
      </c>
      <c r="J651">
        <f>T651=ROUND(640*0.7,10)</f>
        <v/>
      </c>
      <c r="K651">
        <f>U651=ROUND(640*1.1,10)</f>
        <v/>
      </c>
      <c r="L651">
        <f>V651=ROUND(640*0.25,10)</f>
        <v/>
      </c>
      <c r="M651">
        <f>W651=ROUND(640*0.5,10)</f>
        <v/>
      </c>
      <c r="O651">
        <f>O650+0.1</f>
        <v/>
      </c>
      <c r="P651">
        <f>P650+0.2</f>
        <v/>
      </c>
      <c r="Q651">
        <f>Q650+0.3</f>
        <v/>
      </c>
      <c r="R651">
        <f>R650+0.05</f>
        <v/>
      </c>
      <c r="S651">
        <f>S650+0.01</f>
        <v/>
      </c>
      <c r="T651">
        <f>T650+0.7</f>
        <v/>
      </c>
      <c r="U651">
        <f>U650+1.1</f>
        <v/>
      </c>
      <c r="V651">
        <f>V650+0.25</f>
        <v/>
      </c>
      <c r="W651">
        <f>W650+0.5</f>
        <v/>
      </c>
    </row>
    <row r="652">
      <c r="E652">
        <f>O652=ROUND(641*0.1,10)</f>
        <v/>
      </c>
      <c r="F652">
        <f>P652=ROUND(641*0.2,10)</f>
        <v/>
      </c>
      <c r="G652">
        <f>Q652=ROUND(641*0.3,10)</f>
        <v/>
      </c>
      <c r="H652">
        <f>R652=ROUND(641*0.05,10)</f>
        <v/>
      </c>
      <c r="I652">
        <f>S652=ROUND(641*0.01,10)</f>
        <v/>
      </c>
      <c r="J652">
        <f>T652=ROUND(641*0.7,10)</f>
        <v/>
      </c>
      <c r="K652">
        <f>U652=ROUND(641*1.1,10)</f>
        <v/>
      </c>
      <c r="L652">
        <f>V652=ROUND(641*0.25,10)</f>
        <v/>
      </c>
      <c r="M652">
        <f>W652=ROUND(641*0.5,10)</f>
        <v/>
      </c>
      <c r="O652">
        <f>O651+0.1</f>
        <v/>
      </c>
      <c r="P652">
        <f>P651+0.2</f>
        <v/>
      </c>
      <c r="Q652">
        <f>Q651+0.3</f>
        <v/>
      </c>
      <c r="R652">
        <f>R651+0.05</f>
        <v/>
      </c>
      <c r="S652">
        <f>S651+0.01</f>
        <v/>
      </c>
      <c r="T652">
        <f>T651+0.7</f>
        <v/>
      </c>
      <c r="U652">
        <f>U651+1.1</f>
        <v/>
      </c>
      <c r="V652">
        <f>V651+0.25</f>
        <v/>
      </c>
      <c r="W652">
        <f>W651+0.5</f>
        <v/>
      </c>
    </row>
    <row r="653">
      <c r="E653">
        <f>O653=ROUND(642*0.1,10)</f>
        <v/>
      </c>
      <c r="F653">
        <f>P653=ROUND(642*0.2,10)</f>
        <v/>
      </c>
      <c r="G653">
        <f>Q653=ROUND(642*0.3,10)</f>
        <v/>
      </c>
      <c r="H653">
        <f>R653=ROUND(642*0.05,10)</f>
        <v/>
      </c>
      <c r="I653">
        <f>S653=ROUND(642*0.01,10)</f>
        <v/>
      </c>
      <c r="J653">
        <f>T653=ROUND(642*0.7,10)</f>
        <v/>
      </c>
      <c r="K653">
        <f>U653=ROUND(642*1.1,10)</f>
        <v/>
      </c>
      <c r="L653">
        <f>V653=ROUND(642*0.25,10)</f>
        <v/>
      </c>
      <c r="M653">
        <f>W653=ROUND(642*0.5,10)</f>
        <v/>
      </c>
      <c r="O653">
        <f>O652+0.1</f>
        <v/>
      </c>
      <c r="P653">
        <f>P652+0.2</f>
        <v/>
      </c>
      <c r="Q653">
        <f>Q652+0.3</f>
        <v/>
      </c>
      <c r="R653">
        <f>R652+0.05</f>
        <v/>
      </c>
      <c r="S653">
        <f>S652+0.01</f>
        <v/>
      </c>
      <c r="T653">
        <f>T652+0.7</f>
        <v/>
      </c>
      <c r="U653">
        <f>U652+1.1</f>
        <v/>
      </c>
      <c r="V653">
        <f>V652+0.25</f>
        <v/>
      </c>
      <c r="W653">
        <f>W652+0.5</f>
        <v/>
      </c>
    </row>
    <row r="654">
      <c r="E654">
        <f>O654=ROUND(643*0.1,10)</f>
        <v/>
      </c>
      <c r="F654">
        <f>P654=ROUND(643*0.2,10)</f>
        <v/>
      </c>
      <c r="G654">
        <f>Q654=ROUND(643*0.3,10)</f>
        <v/>
      </c>
      <c r="H654">
        <f>R654=ROUND(643*0.05,10)</f>
        <v/>
      </c>
      <c r="I654">
        <f>S654=ROUND(643*0.01,10)</f>
        <v/>
      </c>
      <c r="J654">
        <f>T654=ROUND(643*0.7,10)</f>
        <v/>
      </c>
      <c r="K654">
        <f>U654=ROUND(643*1.1,10)</f>
        <v/>
      </c>
      <c r="L654">
        <f>V654=ROUND(643*0.25,10)</f>
        <v/>
      </c>
      <c r="M654">
        <f>W654=ROUND(643*0.5,10)</f>
        <v/>
      </c>
      <c r="O654">
        <f>O653+0.1</f>
        <v/>
      </c>
      <c r="P654">
        <f>P653+0.2</f>
        <v/>
      </c>
      <c r="Q654">
        <f>Q653+0.3</f>
        <v/>
      </c>
      <c r="R654">
        <f>R653+0.05</f>
        <v/>
      </c>
      <c r="S654">
        <f>S653+0.01</f>
        <v/>
      </c>
      <c r="T654">
        <f>T653+0.7</f>
        <v/>
      </c>
      <c r="U654">
        <f>U653+1.1</f>
        <v/>
      </c>
      <c r="V654">
        <f>V653+0.25</f>
        <v/>
      </c>
      <c r="W654">
        <f>W653+0.5</f>
        <v/>
      </c>
    </row>
    <row r="655">
      <c r="E655">
        <f>O655=ROUND(644*0.1,10)</f>
        <v/>
      </c>
      <c r="F655">
        <f>P655=ROUND(644*0.2,10)</f>
        <v/>
      </c>
      <c r="G655">
        <f>Q655=ROUND(644*0.3,10)</f>
        <v/>
      </c>
      <c r="H655">
        <f>R655=ROUND(644*0.05,10)</f>
        <v/>
      </c>
      <c r="I655">
        <f>S655=ROUND(644*0.01,10)</f>
        <v/>
      </c>
      <c r="J655">
        <f>T655=ROUND(644*0.7,10)</f>
        <v/>
      </c>
      <c r="K655">
        <f>U655=ROUND(644*1.1,10)</f>
        <v/>
      </c>
      <c r="L655">
        <f>V655=ROUND(644*0.25,10)</f>
        <v/>
      </c>
      <c r="M655">
        <f>W655=ROUND(644*0.5,10)</f>
        <v/>
      </c>
      <c r="O655">
        <f>O654+0.1</f>
        <v/>
      </c>
      <c r="P655">
        <f>P654+0.2</f>
        <v/>
      </c>
      <c r="Q655">
        <f>Q654+0.3</f>
        <v/>
      </c>
      <c r="R655">
        <f>R654+0.05</f>
        <v/>
      </c>
      <c r="S655">
        <f>S654+0.01</f>
        <v/>
      </c>
      <c r="T655">
        <f>T654+0.7</f>
        <v/>
      </c>
      <c r="U655">
        <f>U654+1.1</f>
        <v/>
      </c>
      <c r="V655">
        <f>V654+0.25</f>
        <v/>
      </c>
      <c r="W655">
        <f>W654+0.5</f>
        <v/>
      </c>
    </row>
    <row r="656">
      <c r="E656">
        <f>O656=ROUND(645*0.1,10)</f>
        <v/>
      </c>
      <c r="F656">
        <f>P656=ROUND(645*0.2,10)</f>
        <v/>
      </c>
      <c r="G656">
        <f>Q656=ROUND(645*0.3,10)</f>
        <v/>
      </c>
      <c r="H656">
        <f>R656=ROUND(645*0.05,10)</f>
        <v/>
      </c>
      <c r="I656">
        <f>S656=ROUND(645*0.01,10)</f>
        <v/>
      </c>
      <c r="J656">
        <f>T656=ROUND(645*0.7,10)</f>
        <v/>
      </c>
      <c r="K656">
        <f>U656=ROUND(645*1.1,10)</f>
        <v/>
      </c>
      <c r="L656">
        <f>V656=ROUND(645*0.25,10)</f>
        <v/>
      </c>
      <c r="M656">
        <f>W656=ROUND(645*0.5,10)</f>
        <v/>
      </c>
      <c r="O656">
        <f>O655+0.1</f>
        <v/>
      </c>
      <c r="P656">
        <f>P655+0.2</f>
        <v/>
      </c>
      <c r="Q656">
        <f>Q655+0.3</f>
        <v/>
      </c>
      <c r="R656">
        <f>R655+0.05</f>
        <v/>
      </c>
      <c r="S656">
        <f>S655+0.01</f>
        <v/>
      </c>
      <c r="T656">
        <f>T655+0.7</f>
        <v/>
      </c>
      <c r="U656">
        <f>U655+1.1</f>
        <v/>
      </c>
      <c r="V656">
        <f>V655+0.25</f>
        <v/>
      </c>
      <c r="W656">
        <f>W655+0.5</f>
        <v/>
      </c>
    </row>
    <row r="657">
      <c r="E657">
        <f>O657=ROUND(646*0.1,10)</f>
        <v/>
      </c>
      <c r="F657">
        <f>P657=ROUND(646*0.2,10)</f>
        <v/>
      </c>
      <c r="G657">
        <f>Q657=ROUND(646*0.3,10)</f>
        <v/>
      </c>
      <c r="H657">
        <f>R657=ROUND(646*0.05,10)</f>
        <v/>
      </c>
      <c r="I657">
        <f>S657=ROUND(646*0.01,10)</f>
        <v/>
      </c>
      <c r="J657">
        <f>T657=ROUND(646*0.7,10)</f>
        <v/>
      </c>
      <c r="K657">
        <f>U657=ROUND(646*1.1,10)</f>
        <v/>
      </c>
      <c r="L657">
        <f>V657=ROUND(646*0.25,10)</f>
        <v/>
      </c>
      <c r="M657">
        <f>W657=ROUND(646*0.5,10)</f>
        <v/>
      </c>
      <c r="O657">
        <f>O656+0.1</f>
        <v/>
      </c>
      <c r="P657">
        <f>P656+0.2</f>
        <v/>
      </c>
      <c r="Q657">
        <f>Q656+0.3</f>
        <v/>
      </c>
      <c r="R657">
        <f>R656+0.05</f>
        <v/>
      </c>
      <c r="S657">
        <f>S656+0.01</f>
        <v/>
      </c>
      <c r="T657">
        <f>T656+0.7</f>
        <v/>
      </c>
      <c r="U657">
        <f>U656+1.1</f>
        <v/>
      </c>
      <c r="V657">
        <f>V656+0.25</f>
        <v/>
      </c>
      <c r="W657">
        <f>W656+0.5</f>
        <v/>
      </c>
    </row>
    <row r="658">
      <c r="E658">
        <f>O658=ROUND(647*0.1,10)</f>
        <v/>
      </c>
      <c r="F658">
        <f>P658=ROUND(647*0.2,10)</f>
        <v/>
      </c>
      <c r="G658">
        <f>Q658=ROUND(647*0.3,10)</f>
        <v/>
      </c>
      <c r="H658">
        <f>R658=ROUND(647*0.05,10)</f>
        <v/>
      </c>
      <c r="I658">
        <f>S658=ROUND(647*0.01,10)</f>
        <v/>
      </c>
      <c r="J658">
        <f>T658=ROUND(647*0.7,10)</f>
        <v/>
      </c>
      <c r="K658">
        <f>U658=ROUND(647*1.1,10)</f>
        <v/>
      </c>
      <c r="L658">
        <f>V658=ROUND(647*0.25,10)</f>
        <v/>
      </c>
      <c r="M658">
        <f>W658=ROUND(647*0.5,10)</f>
        <v/>
      </c>
      <c r="O658">
        <f>O657+0.1</f>
        <v/>
      </c>
      <c r="P658">
        <f>P657+0.2</f>
        <v/>
      </c>
      <c r="Q658">
        <f>Q657+0.3</f>
        <v/>
      </c>
      <c r="R658">
        <f>R657+0.05</f>
        <v/>
      </c>
      <c r="S658">
        <f>S657+0.01</f>
        <v/>
      </c>
      <c r="T658">
        <f>T657+0.7</f>
        <v/>
      </c>
      <c r="U658">
        <f>U657+1.1</f>
        <v/>
      </c>
      <c r="V658">
        <f>V657+0.25</f>
        <v/>
      </c>
      <c r="W658">
        <f>W657+0.5</f>
        <v/>
      </c>
    </row>
    <row r="659">
      <c r="E659">
        <f>O659=ROUND(648*0.1,10)</f>
        <v/>
      </c>
      <c r="F659">
        <f>P659=ROUND(648*0.2,10)</f>
        <v/>
      </c>
      <c r="G659">
        <f>Q659=ROUND(648*0.3,10)</f>
        <v/>
      </c>
      <c r="H659">
        <f>R659=ROUND(648*0.05,10)</f>
        <v/>
      </c>
      <c r="I659">
        <f>S659=ROUND(648*0.01,10)</f>
        <v/>
      </c>
      <c r="J659">
        <f>T659=ROUND(648*0.7,10)</f>
        <v/>
      </c>
      <c r="K659">
        <f>U659=ROUND(648*1.1,10)</f>
        <v/>
      </c>
      <c r="L659">
        <f>V659=ROUND(648*0.25,10)</f>
        <v/>
      </c>
      <c r="M659">
        <f>W659=ROUND(648*0.5,10)</f>
        <v/>
      </c>
      <c r="O659">
        <f>O658+0.1</f>
        <v/>
      </c>
      <c r="P659">
        <f>P658+0.2</f>
        <v/>
      </c>
      <c r="Q659">
        <f>Q658+0.3</f>
        <v/>
      </c>
      <c r="R659">
        <f>R658+0.05</f>
        <v/>
      </c>
      <c r="S659">
        <f>S658+0.01</f>
        <v/>
      </c>
      <c r="T659">
        <f>T658+0.7</f>
        <v/>
      </c>
      <c r="U659">
        <f>U658+1.1</f>
        <v/>
      </c>
      <c r="V659">
        <f>V658+0.25</f>
        <v/>
      </c>
      <c r="W659">
        <f>W658+0.5</f>
        <v/>
      </c>
    </row>
    <row r="660">
      <c r="E660">
        <f>O660=ROUND(649*0.1,10)</f>
        <v/>
      </c>
      <c r="F660">
        <f>P660=ROUND(649*0.2,10)</f>
        <v/>
      </c>
      <c r="G660">
        <f>Q660=ROUND(649*0.3,10)</f>
        <v/>
      </c>
      <c r="H660">
        <f>R660=ROUND(649*0.05,10)</f>
        <v/>
      </c>
      <c r="I660">
        <f>S660=ROUND(649*0.01,10)</f>
        <v/>
      </c>
      <c r="J660">
        <f>T660=ROUND(649*0.7,10)</f>
        <v/>
      </c>
      <c r="K660">
        <f>U660=ROUND(649*1.1,10)</f>
        <v/>
      </c>
      <c r="L660">
        <f>V660=ROUND(649*0.25,10)</f>
        <v/>
      </c>
      <c r="M660">
        <f>W660=ROUND(649*0.5,10)</f>
        <v/>
      </c>
      <c r="O660">
        <f>O659+0.1</f>
        <v/>
      </c>
      <c r="P660">
        <f>P659+0.2</f>
        <v/>
      </c>
      <c r="Q660">
        <f>Q659+0.3</f>
        <v/>
      </c>
      <c r="R660">
        <f>R659+0.05</f>
        <v/>
      </c>
      <c r="S660">
        <f>S659+0.01</f>
        <v/>
      </c>
      <c r="T660">
        <f>T659+0.7</f>
        <v/>
      </c>
      <c r="U660">
        <f>U659+1.1</f>
        <v/>
      </c>
      <c r="V660">
        <f>V659+0.25</f>
        <v/>
      </c>
      <c r="W660">
        <f>W659+0.5</f>
        <v/>
      </c>
    </row>
    <row r="661">
      <c r="E661">
        <f>O661=ROUND(650*0.1,10)</f>
        <v/>
      </c>
      <c r="F661">
        <f>P661=ROUND(650*0.2,10)</f>
        <v/>
      </c>
      <c r="G661">
        <f>Q661=ROUND(650*0.3,10)</f>
        <v/>
      </c>
      <c r="H661">
        <f>R661=ROUND(650*0.05,10)</f>
        <v/>
      </c>
      <c r="I661">
        <f>S661=ROUND(650*0.01,10)</f>
        <v/>
      </c>
      <c r="J661">
        <f>T661=ROUND(650*0.7,10)</f>
        <v/>
      </c>
      <c r="K661">
        <f>U661=ROUND(650*1.1,10)</f>
        <v/>
      </c>
      <c r="L661">
        <f>V661=ROUND(650*0.25,10)</f>
        <v/>
      </c>
      <c r="M661">
        <f>W661=ROUND(650*0.5,10)</f>
        <v/>
      </c>
      <c r="O661">
        <f>O660+0.1</f>
        <v/>
      </c>
      <c r="P661">
        <f>P660+0.2</f>
        <v/>
      </c>
      <c r="Q661">
        <f>Q660+0.3</f>
        <v/>
      </c>
      <c r="R661">
        <f>R660+0.05</f>
        <v/>
      </c>
      <c r="S661">
        <f>S660+0.01</f>
        <v/>
      </c>
      <c r="T661">
        <f>T660+0.7</f>
        <v/>
      </c>
      <c r="U661">
        <f>U660+1.1</f>
        <v/>
      </c>
      <c r="V661">
        <f>V660+0.25</f>
        <v/>
      </c>
      <c r="W661">
        <f>W660+0.5</f>
        <v/>
      </c>
    </row>
    <row r="662">
      <c r="E662">
        <f>O662=ROUND(651*0.1,10)</f>
        <v/>
      </c>
      <c r="F662">
        <f>P662=ROUND(651*0.2,10)</f>
        <v/>
      </c>
      <c r="G662">
        <f>Q662=ROUND(651*0.3,10)</f>
        <v/>
      </c>
      <c r="H662">
        <f>R662=ROUND(651*0.05,10)</f>
        <v/>
      </c>
      <c r="I662">
        <f>S662=ROUND(651*0.01,10)</f>
        <v/>
      </c>
      <c r="J662">
        <f>T662=ROUND(651*0.7,10)</f>
        <v/>
      </c>
      <c r="K662">
        <f>U662=ROUND(651*1.1,10)</f>
        <v/>
      </c>
      <c r="L662">
        <f>V662=ROUND(651*0.25,10)</f>
        <v/>
      </c>
      <c r="M662">
        <f>W662=ROUND(651*0.5,10)</f>
        <v/>
      </c>
      <c r="O662">
        <f>O661+0.1</f>
        <v/>
      </c>
      <c r="P662">
        <f>P661+0.2</f>
        <v/>
      </c>
      <c r="Q662">
        <f>Q661+0.3</f>
        <v/>
      </c>
      <c r="R662">
        <f>R661+0.05</f>
        <v/>
      </c>
      <c r="S662">
        <f>S661+0.01</f>
        <v/>
      </c>
      <c r="T662">
        <f>T661+0.7</f>
        <v/>
      </c>
      <c r="U662">
        <f>U661+1.1</f>
        <v/>
      </c>
      <c r="V662">
        <f>V661+0.25</f>
        <v/>
      </c>
      <c r="W662">
        <f>W661+0.5</f>
        <v/>
      </c>
    </row>
    <row r="663">
      <c r="E663">
        <f>O663=ROUND(652*0.1,10)</f>
        <v/>
      </c>
      <c r="F663">
        <f>P663=ROUND(652*0.2,10)</f>
        <v/>
      </c>
      <c r="G663">
        <f>Q663=ROUND(652*0.3,10)</f>
        <v/>
      </c>
      <c r="H663">
        <f>R663=ROUND(652*0.05,10)</f>
        <v/>
      </c>
      <c r="I663">
        <f>S663=ROUND(652*0.01,10)</f>
        <v/>
      </c>
      <c r="J663">
        <f>T663=ROUND(652*0.7,10)</f>
        <v/>
      </c>
      <c r="K663">
        <f>U663=ROUND(652*1.1,10)</f>
        <v/>
      </c>
      <c r="L663">
        <f>V663=ROUND(652*0.25,10)</f>
        <v/>
      </c>
      <c r="M663">
        <f>W663=ROUND(652*0.5,10)</f>
        <v/>
      </c>
      <c r="O663">
        <f>O662+0.1</f>
        <v/>
      </c>
      <c r="P663">
        <f>P662+0.2</f>
        <v/>
      </c>
      <c r="Q663">
        <f>Q662+0.3</f>
        <v/>
      </c>
      <c r="R663">
        <f>R662+0.05</f>
        <v/>
      </c>
      <c r="S663">
        <f>S662+0.01</f>
        <v/>
      </c>
      <c r="T663">
        <f>T662+0.7</f>
        <v/>
      </c>
      <c r="U663">
        <f>U662+1.1</f>
        <v/>
      </c>
      <c r="V663">
        <f>V662+0.25</f>
        <v/>
      </c>
      <c r="W663">
        <f>W662+0.5</f>
        <v/>
      </c>
    </row>
    <row r="664">
      <c r="E664">
        <f>O664=ROUND(653*0.1,10)</f>
        <v/>
      </c>
      <c r="F664">
        <f>P664=ROUND(653*0.2,10)</f>
        <v/>
      </c>
      <c r="G664">
        <f>Q664=ROUND(653*0.3,10)</f>
        <v/>
      </c>
      <c r="H664">
        <f>R664=ROUND(653*0.05,10)</f>
        <v/>
      </c>
      <c r="I664">
        <f>S664=ROUND(653*0.01,10)</f>
        <v/>
      </c>
      <c r="J664">
        <f>T664=ROUND(653*0.7,10)</f>
        <v/>
      </c>
      <c r="K664">
        <f>U664=ROUND(653*1.1,10)</f>
        <v/>
      </c>
      <c r="L664">
        <f>V664=ROUND(653*0.25,10)</f>
        <v/>
      </c>
      <c r="M664">
        <f>W664=ROUND(653*0.5,10)</f>
        <v/>
      </c>
      <c r="O664">
        <f>O663+0.1</f>
        <v/>
      </c>
      <c r="P664">
        <f>P663+0.2</f>
        <v/>
      </c>
      <c r="Q664">
        <f>Q663+0.3</f>
        <v/>
      </c>
      <c r="R664">
        <f>R663+0.05</f>
        <v/>
      </c>
      <c r="S664">
        <f>S663+0.01</f>
        <v/>
      </c>
      <c r="T664">
        <f>T663+0.7</f>
        <v/>
      </c>
      <c r="U664">
        <f>U663+1.1</f>
        <v/>
      </c>
      <c r="V664">
        <f>V663+0.25</f>
        <v/>
      </c>
      <c r="W664">
        <f>W663+0.5</f>
        <v/>
      </c>
    </row>
    <row r="665">
      <c r="E665">
        <f>O665=ROUND(654*0.1,10)</f>
        <v/>
      </c>
      <c r="F665">
        <f>P665=ROUND(654*0.2,10)</f>
        <v/>
      </c>
      <c r="G665">
        <f>Q665=ROUND(654*0.3,10)</f>
        <v/>
      </c>
      <c r="H665">
        <f>R665=ROUND(654*0.05,10)</f>
        <v/>
      </c>
      <c r="I665">
        <f>S665=ROUND(654*0.01,10)</f>
        <v/>
      </c>
      <c r="J665">
        <f>T665=ROUND(654*0.7,10)</f>
        <v/>
      </c>
      <c r="K665">
        <f>U665=ROUND(654*1.1,10)</f>
        <v/>
      </c>
      <c r="L665">
        <f>V665=ROUND(654*0.25,10)</f>
        <v/>
      </c>
      <c r="M665">
        <f>W665=ROUND(654*0.5,10)</f>
        <v/>
      </c>
      <c r="O665">
        <f>O664+0.1</f>
        <v/>
      </c>
      <c r="P665">
        <f>P664+0.2</f>
        <v/>
      </c>
      <c r="Q665">
        <f>Q664+0.3</f>
        <v/>
      </c>
      <c r="R665">
        <f>R664+0.05</f>
        <v/>
      </c>
      <c r="S665">
        <f>S664+0.01</f>
        <v/>
      </c>
      <c r="T665">
        <f>T664+0.7</f>
        <v/>
      </c>
      <c r="U665">
        <f>U664+1.1</f>
        <v/>
      </c>
      <c r="V665">
        <f>V664+0.25</f>
        <v/>
      </c>
      <c r="W665">
        <f>W664+0.5</f>
        <v/>
      </c>
    </row>
    <row r="666">
      <c r="E666">
        <f>O666=ROUND(655*0.1,10)</f>
        <v/>
      </c>
      <c r="F666">
        <f>P666=ROUND(655*0.2,10)</f>
        <v/>
      </c>
      <c r="G666">
        <f>Q666=ROUND(655*0.3,10)</f>
        <v/>
      </c>
      <c r="H666">
        <f>R666=ROUND(655*0.05,10)</f>
        <v/>
      </c>
      <c r="I666">
        <f>S666=ROUND(655*0.01,10)</f>
        <v/>
      </c>
      <c r="J666">
        <f>T666=ROUND(655*0.7,10)</f>
        <v/>
      </c>
      <c r="K666">
        <f>U666=ROUND(655*1.1,10)</f>
        <v/>
      </c>
      <c r="L666">
        <f>V666=ROUND(655*0.25,10)</f>
        <v/>
      </c>
      <c r="M666">
        <f>W666=ROUND(655*0.5,10)</f>
        <v/>
      </c>
      <c r="O666">
        <f>O665+0.1</f>
        <v/>
      </c>
      <c r="P666">
        <f>P665+0.2</f>
        <v/>
      </c>
      <c r="Q666">
        <f>Q665+0.3</f>
        <v/>
      </c>
      <c r="R666">
        <f>R665+0.05</f>
        <v/>
      </c>
      <c r="S666">
        <f>S665+0.01</f>
        <v/>
      </c>
      <c r="T666">
        <f>T665+0.7</f>
        <v/>
      </c>
      <c r="U666">
        <f>U665+1.1</f>
        <v/>
      </c>
      <c r="V666">
        <f>V665+0.25</f>
        <v/>
      </c>
      <c r="W666">
        <f>W665+0.5</f>
        <v/>
      </c>
    </row>
    <row r="667">
      <c r="E667">
        <f>O667=ROUND(656*0.1,10)</f>
        <v/>
      </c>
      <c r="F667">
        <f>P667=ROUND(656*0.2,10)</f>
        <v/>
      </c>
      <c r="G667">
        <f>Q667=ROUND(656*0.3,10)</f>
        <v/>
      </c>
      <c r="H667">
        <f>R667=ROUND(656*0.05,10)</f>
        <v/>
      </c>
      <c r="I667">
        <f>S667=ROUND(656*0.01,10)</f>
        <v/>
      </c>
      <c r="J667">
        <f>T667=ROUND(656*0.7,10)</f>
        <v/>
      </c>
      <c r="K667">
        <f>U667=ROUND(656*1.1,10)</f>
        <v/>
      </c>
      <c r="L667">
        <f>V667=ROUND(656*0.25,10)</f>
        <v/>
      </c>
      <c r="M667">
        <f>W667=ROUND(656*0.5,10)</f>
        <v/>
      </c>
      <c r="O667">
        <f>O666+0.1</f>
        <v/>
      </c>
      <c r="P667">
        <f>P666+0.2</f>
        <v/>
      </c>
      <c r="Q667">
        <f>Q666+0.3</f>
        <v/>
      </c>
      <c r="R667">
        <f>R666+0.05</f>
        <v/>
      </c>
      <c r="S667">
        <f>S666+0.01</f>
        <v/>
      </c>
      <c r="T667">
        <f>T666+0.7</f>
        <v/>
      </c>
      <c r="U667">
        <f>U666+1.1</f>
        <v/>
      </c>
      <c r="V667">
        <f>V666+0.25</f>
        <v/>
      </c>
      <c r="W667">
        <f>W666+0.5</f>
        <v/>
      </c>
    </row>
    <row r="668">
      <c r="E668">
        <f>O668=ROUND(657*0.1,10)</f>
        <v/>
      </c>
      <c r="F668">
        <f>P668=ROUND(657*0.2,10)</f>
        <v/>
      </c>
      <c r="G668">
        <f>Q668=ROUND(657*0.3,10)</f>
        <v/>
      </c>
      <c r="H668">
        <f>R668=ROUND(657*0.05,10)</f>
        <v/>
      </c>
      <c r="I668">
        <f>S668=ROUND(657*0.01,10)</f>
        <v/>
      </c>
      <c r="J668">
        <f>T668=ROUND(657*0.7,10)</f>
        <v/>
      </c>
      <c r="K668">
        <f>U668=ROUND(657*1.1,10)</f>
        <v/>
      </c>
      <c r="L668">
        <f>V668=ROUND(657*0.25,10)</f>
        <v/>
      </c>
      <c r="M668">
        <f>W668=ROUND(657*0.5,10)</f>
        <v/>
      </c>
      <c r="O668">
        <f>O667+0.1</f>
        <v/>
      </c>
      <c r="P668">
        <f>P667+0.2</f>
        <v/>
      </c>
      <c r="Q668">
        <f>Q667+0.3</f>
        <v/>
      </c>
      <c r="R668">
        <f>R667+0.05</f>
        <v/>
      </c>
      <c r="S668">
        <f>S667+0.01</f>
        <v/>
      </c>
      <c r="T668">
        <f>T667+0.7</f>
        <v/>
      </c>
      <c r="U668">
        <f>U667+1.1</f>
        <v/>
      </c>
      <c r="V668">
        <f>V667+0.25</f>
        <v/>
      </c>
      <c r="W668">
        <f>W667+0.5</f>
        <v/>
      </c>
    </row>
    <row r="669">
      <c r="E669">
        <f>O669=ROUND(658*0.1,10)</f>
        <v/>
      </c>
      <c r="F669">
        <f>P669=ROUND(658*0.2,10)</f>
        <v/>
      </c>
      <c r="G669">
        <f>Q669=ROUND(658*0.3,10)</f>
        <v/>
      </c>
      <c r="H669">
        <f>R669=ROUND(658*0.05,10)</f>
        <v/>
      </c>
      <c r="I669">
        <f>S669=ROUND(658*0.01,10)</f>
        <v/>
      </c>
      <c r="J669">
        <f>T669=ROUND(658*0.7,10)</f>
        <v/>
      </c>
      <c r="K669">
        <f>U669=ROUND(658*1.1,10)</f>
        <v/>
      </c>
      <c r="L669">
        <f>V669=ROUND(658*0.25,10)</f>
        <v/>
      </c>
      <c r="M669">
        <f>W669=ROUND(658*0.5,10)</f>
        <v/>
      </c>
      <c r="O669">
        <f>O668+0.1</f>
        <v/>
      </c>
      <c r="P669">
        <f>P668+0.2</f>
        <v/>
      </c>
      <c r="Q669">
        <f>Q668+0.3</f>
        <v/>
      </c>
      <c r="R669">
        <f>R668+0.05</f>
        <v/>
      </c>
      <c r="S669">
        <f>S668+0.01</f>
        <v/>
      </c>
      <c r="T669">
        <f>T668+0.7</f>
        <v/>
      </c>
      <c r="U669">
        <f>U668+1.1</f>
        <v/>
      </c>
      <c r="V669">
        <f>V668+0.25</f>
        <v/>
      </c>
      <c r="W669">
        <f>W668+0.5</f>
        <v/>
      </c>
    </row>
    <row r="670">
      <c r="E670">
        <f>O670=ROUND(659*0.1,10)</f>
        <v/>
      </c>
      <c r="F670">
        <f>P670=ROUND(659*0.2,10)</f>
        <v/>
      </c>
      <c r="G670">
        <f>Q670=ROUND(659*0.3,10)</f>
        <v/>
      </c>
      <c r="H670">
        <f>R670=ROUND(659*0.05,10)</f>
        <v/>
      </c>
      <c r="I670">
        <f>S670=ROUND(659*0.01,10)</f>
        <v/>
      </c>
      <c r="J670">
        <f>T670=ROUND(659*0.7,10)</f>
        <v/>
      </c>
      <c r="K670">
        <f>U670=ROUND(659*1.1,10)</f>
        <v/>
      </c>
      <c r="L670">
        <f>V670=ROUND(659*0.25,10)</f>
        <v/>
      </c>
      <c r="M670">
        <f>W670=ROUND(659*0.5,10)</f>
        <v/>
      </c>
      <c r="O670">
        <f>O669+0.1</f>
        <v/>
      </c>
      <c r="P670">
        <f>P669+0.2</f>
        <v/>
      </c>
      <c r="Q670">
        <f>Q669+0.3</f>
        <v/>
      </c>
      <c r="R670">
        <f>R669+0.05</f>
        <v/>
      </c>
      <c r="S670">
        <f>S669+0.01</f>
        <v/>
      </c>
      <c r="T670">
        <f>T669+0.7</f>
        <v/>
      </c>
      <c r="U670">
        <f>U669+1.1</f>
        <v/>
      </c>
      <c r="V670">
        <f>V669+0.25</f>
        <v/>
      </c>
      <c r="W670">
        <f>W669+0.5</f>
        <v/>
      </c>
    </row>
    <row r="671">
      <c r="E671">
        <f>O671=ROUND(660*0.1,10)</f>
        <v/>
      </c>
      <c r="F671">
        <f>P671=ROUND(660*0.2,10)</f>
        <v/>
      </c>
      <c r="G671">
        <f>Q671=ROUND(660*0.3,10)</f>
        <v/>
      </c>
      <c r="H671">
        <f>R671=ROUND(660*0.05,10)</f>
        <v/>
      </c>
      <c r="I671">
        <f>S671=ROUND(660*0.01,10)</f>
        <v/>
      </c>
      <c r="J671">
        <f>T671=ROUND(660*0.7,10)</f>
        <v/>
      </c>
      <c r="K671">
        <f>U671=ROUND(660*1.1,10)</f>
        <v/>
      </c>
      <c r="L671">
        <f>V671=ROUND(660*0.25,10)</f>
        <v/>
      </c>
      <c r="M671">
        <f>W671=ROUND(660*0.5,10)</f>
        <v/>
      </c>
      <c r="O671">
        <f>O670+0.1</f>
        <v/>
      </c>
      <c r="P671">
        <f>P670+0.2</f>
        <v/>
      </c>
      <c r="Q671">
        <f>Q670+0.3</f>
        <v/>
      </c>
      <c r="R671">
        <f>R670+0.05</f>
        <v/>
      </c>
      <c r="S671">
        <f>S670+0.01</f>
        <v/>
      </c>
      <c r="T671">
        <f>T670+0.7</f>
        <v/>
      </c>
      <c r="U671">
        <f>U670+1.1</f>
        <v/>
      </c>
      <c r="V671">
        <f>V670+0.25</f>
        <v/>
      </c>
      <c r="W671">
        <f>W670+0.5</f>
        <v/>
      </c>
    </row>
    <row r="672">
      <c r="E672">
        <f>O672=ROUND(661*0.1,10)</f>
        <v/>
      </c>
      <c r="F672">
        <f>P672=ROUND(661*0.2,10)</f>
        <v/>
      </c>
      <c r="G672">
        <f>Q672=ROUND(661*0.3,10)</f>
        <v/>
      </c>
      <c r="H672">
        <f>R672=ROUND(661*0.05,10)</f>
        <v/>
      </c>
      <c r="I672">
        <f>S672=ROUND(661*0.01,10)</f>
        <v/>
      </c>
      <c r="J672">
        <f>T672=ROUND(661*0.7,10)</f>
        <v/>
      </c>
      <c r="K672">
        <f>U672=ROUND(661*1.1,10)</f>
        <v/>
      </c>
      <c r="L672">
        <f>V672=ROUND(661*0.25,10)</f>
        <v/>
      </c>
      <c r="M672">
        <f>W672=ROUND(661*0.5,10)</f>
        <v/>
      </c>
      <c r="O672">
        <f>O671+0.1</f>
        <v/>
      </c>
      <c r="P672">
        <f>P671+0.2</f>
        <v/>
      </c>
      <c r="Q672">
        <f>Q671+0.3</f>
        <v/>
      </c>
      <c r="R672">
        <f>R671+0.05</f>
        <v/>
      </c>
      <c r="S672">
        <f>S671+0.01</f>
        <v/>
      </c>
      <c r="T672">
        <f>T671+0.7</f>
        <v/>
      </c>
      <c r="U672">
        <f>U671+1.1</f>
        <v/>
      </c>
      <c r="V672">
        <f>V671+0.25</f>
        <v/>
      </c>
      <c r="W672">
        <f>W671+0.5</f>
        <v/>
      </c>
    </row>
    <row r="673">
      <c r="E673">
        <f>O673=ROUND(662*0.1,10)</f>
        <v/>
      </c>
      <c r="F673">
        <f>P673=ROUND(662*0.2,10)</f>
        <v/>
      </c>
      <c r="G673">
        <f>Q673=ROUND(662*0.3,10)</f>
        <v/>
      </c>
      <c r="H673">
        <f>R673=ROUND(662*0.05,10)</f>
        <v/>
      </c>
      <c r="I673">
        <f>S673=ROUND(662*0.01,10)</f>
        <v/>
      </c>
      <c r="J673">
        <f>T673=ROUND(662*0.7,10)</f>
        <v/>
      </c>
      <c r="K673">
        <f>U673=ROUND(662*1.1,10)</f>
        <v/>
      </c>
      <c r="L673">
        <f>V673=ROUND(662*0.25,10)</f>
        <v/>
      </c>
      <c r="M673">
        <f>W673=ROUND(662*0.5,10)</f>
        <v/>
      </c>
      <c r="O673">
        <f>O672+0.1</f>
        <v/>
      </c>
      <c r="P673">
        <f>P672+0.2</f>
        <v/>
      </c>
      <c r="Q673">
        <f>Q672+0.3</f>
        <v/>
      </c>
      <c r="R673">
        <f>R672+0.05</f>
        <v/>
      </c>
      <c r="S673">
        <f>S672+0.01</f>
        <v/>
      </c>
      <c r="T673">
        <f>T672+0.7</f>
        <v/>
      </c>
      <c r="U673">
        <f>U672+1.1</f>
        <v/>
      </c>
      <c r="V673">
        <f>V672+0.25</f>
        <v/>
      </c>
      <c r="W673">
        <f>W672+0.5</f>
        <v/>
      </c>
    </row>
    <row r="674">
      <c r="E674">
        <f>O674=ROUND(663*0.1,10)</f>
        <v/>
      </c>
      <c r="F674">
        <f>P674=ROUND(663*0.2,10)</f>
        <v/>
      </c>
      <c r="G674">
        <f>Q674=ROUND(663*0.3,10)</f>
        <v/>
      </c>
      <c r="H674">
        <f>R674=ROUND(663*0.05,10)</f>
        <v/>
      </c>
      <c r="I674">
        <f>S674=ROUND(663*0.01,10)</f>
        <v/>
      </c>
      <c r="J674">
        <f>T674=ROUND(663*0.7,10)</f>
        <v/>
      </c>
      <c r="K674">
        <f>U674=ROUND(663*1.1,10)</f>
        <v/>
      </c>
      <c r="L674">
        <f>V674=ROUND(663*0.25,10)</f>
        <v/>
      </c>
      <c r="M674">
        <f>W674=ROUND(663*0.5,10)</f>
        <v/>
      </c>
      <c r="O674">
        <f>O673+0.1</f>
        <v/>
      </c>
      <c r="P674">
        <f>P673+0.2</f>
        <v/>
      </c>
      <c r="Q674">
        <f>Q673+0.3</f>
        <v/>
      </c>
      <c r="R674">
        <f>R673+0.05</f>
        <v/>
      </c>
      <c r="S674">
        <f>S673+0.01</f>
        <v/>
      </c>
      <c r="T674">
        <f>T673+0.7</f>
        <v/>
      </c>
      <c r="U674">
        <f>U673+1.1</f>
        <v/>
      </c>
      <c r="V674">
        <f>V673+0.25</f>
        <v/>
      </c>
      <c r="W674">
        <f>W673+0.5</f>
        <v/>
      </c>
    </row>
    <row r="675">
      <c r="E675">
        <f>O675=ROUND(664*0.1,10)</f>
        <v/>
      </c>
      <c r="F675">
        <f>P675=ROUND(664*0.2,10)</f>
        <v/>
      </c>
      <c r="G675">
        <f>Q675=ROUND(664*0.3,10)</f>
        <v/>
      </c>
      <c r="H675">
        <f>R675=ROUND(664*0.05,10)</f>
        <v/>
      </c>
      <c r="I675">
        <f>S675=ROUND(664*0.01,10)</f>
        <v/>
      </c>
      <c r="J675">
        <f>T675=ROUND(664*0.7,10)</f>
        <v/>
      </c>
      <c r="K675">
        <f>U675=ROUND(664*1.1,10)</f>
        <v/>
      </c>
      <c r="L675">
        <f>V675=ROUND(664*0.25,10)</f>
        <v/>
      </c>
      <c r="M675">
        <f>W675=ROUND(664*0.5,10)</f>
        <v/>
      </c>
      <c r="O675">
        <f>O674+0.1</f>
        <v/>
      </c>
      <c r="P675">
        <f>P674+0.2</f>
        <v/>
      </c>
      <c r="Q675">
        <f>Q674+0.3</f>
        <v/>
      </c>
      <c r="R675">
        <f>R674+0.05</f>
        <v/>
      </c>
      <c r="S675">
        <f>S674+0.01</f>
        <v/>
      </c>
      <c r="T675">
        <f>T674+0.7</f>
        <v/>
      </c>
      <c r="U675">
        <f>U674+1.1</f>
        <v/>
      </c>
      <c r="V675">
        <f>V674+0.25</f>
        <v/>
      </c>
      <c r="W675">
        <f>W674+0.5</f>
        <v/>
      </c>
    </row>
    <row r="676">
      <c r="E676">
        <f>O676=ROUND(665*0.1,10)</f>
        <v/>
      </c>
      <c r="F676">
        <f>P676=ROUND(665*0.2,10)</f>
        <v/>
      </c>
      <c r="G676">
        <f>Q676=ROUND(665*0.3,10)</f>
        <v/>
      </c>
      <c r="H676">
        <f>R676=ROUND(665*0.05,10)</f>
        <v/>
      </c>
      <c r="I676">
        <f>S676=ROUND(665*0.01,10)</f>
        <v/>
      </c>
      <c r="J676">
        <f>T676=ROUND(665*0.7,10)</f>
        <v/>
      </c>
      <c r="K676">
        <f>U676=ROUND(665*1.1,10)</f>
        <v/>
      </c>
      <c r="L676">
        <f>V676=ROUND(665*0.25,10)</f>
        <v/>
      </c>
      <c r="M676">
        <f>W676=ROUND(665*0.5,10)</f>
        <v/>
      </c>
      <c r="O676">
        <f>O675+0.1</f>
        <v/>
      </c>
      <c r="P676">
        <f>P675+0.2</f>
        <v/>
      </c>
      <c r="Q676">
        <f>Q675+0.3</f>
        <v/>
      </c>
      <c r="R676">
        <f>R675+0.05</f>
        <v/>
      </c>
      <c r="S676">
        <f>S675+0.01</f>
        <v/>
      </c>
      <c r="T676">
        <f>T675+0.7</f>
        <v/>
      </c>
      <c r="U676">
        <f>U675+1.1</f>
        <v/>
      </c>
      <c r="V676">
        <f>V675+0.25</f>
        <v/>
      </c>
      <c r="W676">
        <f>W675+0.5</f>
        <v/>
      </c>
    </row>
    <row r="677">
      <c r="E677">
        <f>O677=ROUND(666*0.1,10)</f>
        <v/>
      </c>
      <c r="F677">
        <f>P677=ROUND(666*0.2,10)</f>
        <v/>
      </c>
      <c r="G677">
        <f>Q677=ROUND(666*0.3,10)</f>
        <v/>
      </c>
      <c r="H677">
        <f>R677=ROUND(666*0.05,10)</f>
        <v/>
      </c>
      <c r="I677">
        <f>S677=ROUND(666*0.01,10)</f>
        <v/>
      </c>
      <c r="J677">
        <f>T677=ROUND(666*0.7,10)</f>
        <v/>
      </c>
      <c r="K677">
        <f>U677=ROUND(666*1.1,10)</f>
        <v/>
      </c>
      <c r="L677">
        <f>V677=ROUND(666*0.25,10)</f>
        <v/>
      </c>
      <c r="M677">
        <f>W677=ROUND(666*0.5,10)</f>
        <v/>
      </c>
      <c r="O677">
        <f>O676+0.1</f>
        <v/>
      </c>
      <c r="P677">
        <f>P676+0.2</f>
        <v/>
      </c>
      <c r="Q677">
        <f>Q676+0.3</f>
        <v/>
      </c>
      <c r="R677">
        <f>R676+0.05</f>
        <v/>
      </c>
      <c r="S677">
        <f>S676+0.01</f>
        <v/>
      </c>
      <c r="T677">
        <f>T676+0.7</f>
        <v/>
      </c>
      <c r="U677">
        <f>U676+1.1</f>
        <v/>
      </c>
      <c r="V677">
        <f>V676+0.25</f>
        <v/>
      </c>
      <c r="W677">
        <f>W676+0.5</f>
        <v/>
      </c>
    </row>
    <row r="678">
      <c r="E678">
        <f>O678=ROUND(667*0.1,10)</f>
        <v/>
      </c>
      <c r="F678">
        <f>P678=ROUND(667*0.2,10)</f>
        <v/>
      </c>
      <c r="G678">
        <f>Q678=ROUND(667*0.3,10)</f>
        <v/>
      </c>
      <c r="H678">
        <f>R678=ROUND(667*0.05,10)</f>
        <v/>
      </c>
      <c r="I678">
        <f>S678=ROUND(667*0.01,10)</f>
        <v/>
      </c>
      <c r="J678">
        <f>T678=ROUND(667*0.7,10)</f>
        <v/>
      </c>
      <c r="K678">
        <f>U678=ROUND(667*1.1,10)</f>
        <v/>
      </c>
      <c r="L678">
        <f>V678=ROUND(667*0.25,10)</f>
        <v/>
      </c>
      <c r="M678">
        <f>W678=ROUND(667*0.5,10)</f>
        <v/>
      </c>
      <c r="O678">
        <f>O677+0.1</f>
        <v/>
      </c>
      <c r="P678">
        <f>P677+0.2</f>
        <v/>
      </c>
      <c r="Q678">
        <f>Q677+0.3</f>
        <v/>
      </c>
      <c r="R678">
        <f>R677+0.05</f>
        <v/>
      </c>
      <c r="S678">
        <f>S677+0.01</f>
        <v/>
      </c>
      <c r="T678">
        <f>T677+0.7</f>
        <v/>
      </c>
      <c r="U678">
        <f>U677+1.1</f>
        <v/>
      </c>
      <c r="V678">
        <f>V677+0.25</f>
        <v/>
      </c>
      <c r="W678">
        <f>W677+0.5</f>
        <v/>
      </c>
    </row>
    <row r="679">
      <c r="E679">
        <f>O679=ROUND(668*0.1,10)</f>
        <v/>
      </c>
      <c r="F679">
        <f>P679=ROUND(668*0.2,10)</f>
        <v/>
      </c>
      <c r="G679">
        <f>Q679=ROUND(668*0.3,10)</f>
        <v/>
      </c>
      <c r="H679">
        <f>R679=ROUND(668*0.05,10)</f>
        <v/>
      </c>
      <c r="I679">
        <f>S679=ROUND(668*0.01,10)</f>
        <v/>
      </c>
      <c r="J679">
        <f>T679=ROUND(668*0.7,10)</f>
        <v/>
      </c>
      <c r="K679">
        <f>U679=ROUND(668*1.1,10)</f>
        <v/>
      </c>
      <c r="L679">
        <f>V679=ROUND(668*0.25,10)</f>
        <v/>
      </c>
      <c r="M679">
        <f>W679=ROUND(668*0.5,10)</f>
        <v/>
      </c>
      <c r="O679">
        <f>O678+0.1</f>
        <v/>
      </c>
      <c r="P679">
        <f>P678+0.2</f>
        <v/>
      </c>
      <c r="Q679">
        <f>Q678+0.3</f>
        <v/>
      </c>
      <c r="R679">
        <f>R678+0.05</f>
        <v/>
      </c>
      <c r="S679">
        <f>S678+0.01</f>
        <v/>
      </c>
      <c r="T679">
        <f>T678+0.7</f>
        <v/>
      </c>
      <c r="U679">
        <f>U678+1.1</f>
        <v/>
      </c>
      <c r="V679">
        <f>V678+0.25</f>
        <v/>
      </c>
      <c r="W679">
        <f>W678+0.5</f>
        <v/>
      </c>
    </row>
    <row r="680">
      <c r="E680">
        <f>O680=ROUND(669*0.1,10)</f>
        <v/>
      </c>
      <c r="F680">
        <f>P680=ROUND(669*0.2,10)</f>
        <v/>
      </c>
      <c r="G680">
        <f>Q680=ROUND(669*0.3,10)</f>
        <v/>
      </c>
      <c r="H680">
        <f>R680=ROUND(669*0.05,10)</f>
        <v/>
      </c>
      <c r="I680">
        <f>S680=ROUND(669*0.01,10)</f>
        <v/>
      </c>
      <c r="J680">
        <f>T680=ROUND(669*0.7,10)</f>
        <v/>
      </c>
      <c r="K680">
        <f>U680=ROUND(669*1.1,10)</f>
        <v/>
      </c>
      <c r="L680">
        <f>V680=ROUND(669*0.25,10)</f>
        <v/>
      </c>
      <c r="M680">
        <f>W680=ROUND(669*0.5,10)</f>
        <v/>
      </c>
      <c r="O680">
        <f>O679+0.1</f>
        <v/>
      </c>
      <c r="P680">
        <f>P679+0.2</f>
        <v/>
      </c>
      <c r="Q680">
        <f>Q679+0.3</f>
        <v/>
      </c>
      <c r="R680">
        <f>R679+0.05</f>
        <v/>
      </c>
      <c r="S680">
        <f>S679+0.01</f>
        <v/>
      </c>
      <c r="T680">
        <f>T679+0.7</f>
        <v/>
      </c>
      <c r="U680">
        <f>U679+1.1</f>
        <v/>
      </c>
      <c r="V680">
        <f>V679+0.25</f>
        <v/>
      </c>
      <c r="W680">
        <f>W679+0.5</f>
        <v/>
      </c>
    </row>
    <row r="681">
      <c r="E681">
        <f>O681=ROUND(670*0.1,10)</f>
        <v/>
      </c>
      <c r="F681">
        <f>P681=ROUND(670*0.2,10)</f>
        <v/>
      </c>
      <c r="G681">
        <f>Q681=ROUND(670*0.3,10)</f>
        <v/>
      </c>
      <c r="H681">
        <f>R681=ROUND(670*0.05,10)</f>
        <v/>
      </c>
      <c r="I681">
        <f>S681=ROUND(670*0.01,10)</f>
        <v/>
      </c>
      <c r="J681">
        <f>T681=ROUND(670*0.7,10)</f>
        <v/>
      </c>
      <c r="K681">
        <f>U681=ROUND(670*1.1,10)</f>
        <v/>
      </c>
      <c r="L681">
        <f>V681=ROUND(670*0.25,10)</f>
        <v/>
      </c>
      <c r="M681">
        <f>W681=ROUND(670*0.5,10)</f>
        <v/>
      </c>
      <c r="O681">
        <f>O680+0.1</f>
        <v/>
      </c>
      <c r="P681">
        <f>P680+0.2</f>
        <v/>
      </c>
      <c r="Q681">
        <f>Q680+0.3</f>
        <v/>
      </c>
      <c r="R681">
        <f>R680+0.05</f>
        <v/>
      </c>
      <c r="S681">
        <f>S680+0.01</f>
        <v/>
      </c>
      <c r="T681">
        <f>T680+0.7</f>
        <v/>
      </c>
      <c r="U681">
        <f>U680+1.1</f>
        <v/>
      </c>
      <c r="V681">
        <f>V680+0.25</f>
        <v/>
      </c>
      <c r="W681">
        <f>W680+0.5</f>
        <v/>
      </c>
    </row>
    <row r="682">
      <c r="E682">
        <f>O682=ROUND(671*0.1,10)</f>
        <v/>
      </c>
      <c r="F682">
        <f>P682=ROUND(671*0.2,10)</f>
        <v/>
      </c>
      <c r="G682">
        <f>Q682=ROUND(671*0.3,10)</f>
        <v/>
      </c>
      <c r="H682">
        <f>R682=ROUND(671*0.05,10)</f>
        <v/>
      </c>
      <c r="I682">
        <f>S682=ROUND(671*0.01,10)</f>
        <v/>
      </c>
      <c r="J682">
        <f>T682=ROUND(671*0.7,10)</f>
        <v/>
      </c>
      <c r="K682">
        <f>U682=ROUND(671*1.1,10)</f>
        <v/>
      </c>
      <c r="L682">
        <f>V682=ROUND(671*0.25,10)</f>
        <v/>
      </c>
      <c r="M682">
        <f>W682=ROUND(671*0.5,10)</f>
        <v/>
      </c>
      <c r="O682">
        <f>O681+0.1</f>
        <v/>
      </c>
      <c r="P682">
        <f>P681+0.2</f>
        <v/>
      </c>
      <c r="Q682">
        <f>Q681+0.3</f>
        <v/>
      </c>
      <c r="R682">
        <f>R681+0.05</f>
        <v/>
      </c>
      <c r="S682">
        <f>S681+0.01</f>
        <v/>
      </c>
      <c r="T682">
        <f>T681+0.7</f>
        <v/>
      </c>
      <c r="U682">
        <f>U681+1.1</f>
        <v/>
      </c>
      <c r="V682">
        <f>V681+0.25</f>
        <v/>
      </c>
      <c r="W682">
        <f>W681+0.5</f>
        <v/>
      </c>
    </row>
    <row r="683">
      <c r="E683">
        <f>O683=ROUND(672*0.1,10)</f>
        <v/>
      </c>
      <c r="F683">
        <f>P683=ROUND(672*0.2,10)</f>
        <v/>
      </c>
      <c r="G683">
        <f>Q683=ROUND(672*0.3,10)</f>
        <v/>
      </c>
      <c r="H683">
        <f>R683=ROUND(672*0.05,10)</f>
        <v/>
      </c>
      <c r="I683">
        <f>S683=ROUND(672*0.01,10)</f>
        <v/>
      </c>
      <c r="J683">
        <f>T683=ROUND(672*0.7,10)</f>
        <v/>
      </c>
      <c r="K683">
        <f>U683=ROUND(672*1.1,10)</f>
        <v/>
      </c>
      <c r="L683">
        <f>V683=ROUND(672*0.25,10)</f>
        <v/>
      </c>
      <c r="M683">
        <f>W683=ROUND(672*0.5,10)</f>
        <v/>
      </c>
      <c r="O683">
        <f>O682+0.1</f>
        <v/>
      </c>
      <c r="P683">
        <f>P682+0.2</f>
        <v/>
      </c>
      <c r="Q683">
        <f>Q682+0.3</f>
        <v/>
      </c>
      <c r="R683">
        <f>R682+0.05</f>
        <v/>
      </c>
      <c r="S683">
        <f>S682+0.01</f>
        <v/>
      </c>
      <c r="T683">
        <f>T682+0.7</f>
        <v/>
      </c>
      <c r="U683">
        <f>U682+1.1</f>
        <v/>
      </c>
      <c r="V683">
        <f>V682+0.25</f>
        <v/>
      </c>
      <c r="W683">
        <f>W682+0.5</f>
        <v/>
      </c>
    </row>
    <row r="684">
      <c r="E684">
        <f>O684=ROUND(673*0.1,10)</f>
        <v/>
      </c>
      <c r="F684">
        <f>P684=ROUND(673*0.2,10)</f>
        <v/>
      </c>
      <c r="G684">
        <f>Q684=ROUND(673*0.3,10)</f>
        <v/>
      </c>
      <c r="H684">
        <f>R684=ROUND(673*0.05,10)</f>
        <v/>
      </c>
      <c r="I684">
        <f>S684=ROUND(673*0.01,10)</f>
        <v/>
      </c>
      <c r="J684">
        <f>T684=ROUND(673*0.7,10)</f>
        <v/>
      </c>
      <c r="K684">
        <f>U684=ROUND(673*1.1,10)</f>
        <v/>
      </c>
      <c r="L684">
        <f>V684=ROUND(673*0.25,10)</f>
        <v/>
      </c>
      <c r="M684">
        <f>W684=ROUND(673*0.5,10)</f>
        <v/>
      </c>
      <c r="O684">
        <f>O683+0.1</f>
        <v/>
      </c>
      <c r="P684">
        <f>P683+0.2</f>
        <v/>
      </c>
      <c r="Q684">
        <f>Q683+0.3</f>
        <v/>
      </c>
      <c r="R684">
        <f>R683+0.05</f>
        <v/>
      </c>
      <c r="S684">
        <f>S683+0.01</f>
        <v/>
      </c>
      <c r="T684">
        <f>T683+0.7</f>
        <v/>
      </c>
      <c r="U684">
        <f>U683+1.1</f>
        <v/>
      </c>
      <c r="V684">
        <f>V683+0.25</f>
        <v/>
      </c>
      <c r="W684">
        <f>W683+0.5</f>
        <v/>
      </c>
    </row>
    <row r="685">
      <c r="E685">
        <f>O685=ROUND(674*0.1,10)</f>
        <v/>
      </c>
      <c r="F685">
        <f>P685=ROUND(674*0.2,10)</f>
        <v/>
      </c>
      <c r="G685">
        <f>Q685=ROUND(674*0.3,10)</f>
        <v/>
      </c>
      <c r="H685">
        <f>R685=ROUND(674*0.05,10)</f>
        <v/>
      </c>
      <c r="I685">
        <f>S685=ROUND(674*0.01,10)</f>
        <v/>
      </c>
      <c r="J685">
        <f>T685=ROUND(674*0.7,10)</f>
        <v/>
      </c>
      <c r="K685">
        <f>U685=ROUND(674*1.1,10)</f>
        <v/>
      </c>
      <c r="L685">
        <f>V685=ROUND(674*0.25,10)</f>
        <v/>
      </c>
      <c r="M685">
        <f>W685=ROUND(674*0.5,10)</f>
        <v/>
      </c>
      <c r="O685">
        <f>O684+0.1</f>
        <v/>
      </c>
      <c r="P685">
        <f>P684+0.2</f>
        <v/>
      </c>
      <c r="Q685">
        <f>Q684+0.3</f>
        <v/>
      </c>
      <c r="R685">
        <f>R684+0.05</f>
        <v/>
      </c>
      <c r="S685">
        <f>S684+0.01</f>
        <v/>
      </c>
      <c r="T685">
        <f>T684+0.7</f>
        <v/>
      </c>
      <c r="U685">
        <f>U684+1.1</f>
        <v/>
      </c>
      <c r="V685">
        <f>V684+0.25</f>
        <v/>
      </c>
      <c r="W685">
        <f>W684+0.5</f>
        <v/>
      </c>
    </row>
    <row r="686">
      <c r="E686">
        <f>O686=ROUND(675*0.1,10)</f>
        <v/>
      </c>
      <c r="F686">
        <f>P686=ROUND(675*0.2,10)</f>
        <v/>
      </c>
      <c r="G686">
        <f>Q686=ROUND(675*0.3,10)</f>
        <v/>
      </c>
      <c r="H686">
        <f>R686=ROUND(675*0.05,10)</f>
        <v/>
      </c>
      <c r="I686">
        <f>S686=ROUND(675*0.01,10)</f>
        <v/>
      </c>
      <c r="J686">
        <f>T686=ROUND(675*0.7,10)</f>
        <v/>
      </c>
      <c r="K686">
        <f>U686=ROUND(675*1.1,10)</f>
        <v/>
      </c>
      <c r="L686">
        <f>V686=ROUND(675*0.25,10)</f>
        <v/>
      </c>
      <c r="M686">
        <f>W686=ROUND(675*0.5,10)</f>
        <v/>
      </c>
      <c r="O686">
        <f>O685+0.1</f>
        <v/>
      </c>
      <c r="P686">
        <f>P685+0.2</f>
        <v/>
      </c>
      <c r="Q686">
        <f>Q685+0.3</f>
        <v/>
      </c>
      <c r="R686">
        <f>R685+0.05</f>
        <v/>
      </c>
      <c r="S686">
        <f>S685+0.01</f>
        <v/>
      </c>
      <c r="T686">
        <f>T685+0.7</f>
        <v/>
      </c>
      <c r="U686">
        <f>U685+1.1</f>
        <v/>
      </c>
      <c r="V686">
        <f>V685+0.25</f>
        <v/>
      </c>
      <c r="W686">
        <f>W685+0.5</f>
        <v/>
      </c>
    </row>
    <row r="687">
      <c r="E687">
        <f>O687=ROUND(676*0.1,10)</f>
        <v/>
      </c>
      <c r="F687">
        <f>P687=ROUND(676*0.2,10)</f>
        <v/>
      </c>
      <c r="G687">
        <f>Q687=ROUND(676*0.3,10)</f>
        <v/>
      </c>
      <c r="H687">
        <f>R687=ROUND(676*0.05,10)</f>
        <v/>
      </c>
      <c r="I687">
        <f>S687=ROUND(676*0.01,10)</f>
        <v/>
      </c>
      <c r="J687">
        <f>T687=ROUND(676*0.7,10)</f>
        <v/>
      </c>
      <c r="K687">
        <f>U687=ROUND(676*1.1,10)</f>
        <v/>
      </c>
      <c r="L687">
        <f>V687=ROUND(676*0.25,10)</f>
        <v/>
      </c>
      <c r="M687">
        <f>W687=ROUND(676*0.5,10)</f>
        <v/>
      </c>
      <c r="O687">
        <f>O686+0.1</f>
        <v/>
      </c>
      <c r="P687">
        <f>P686+0.2</f>
        <v/>
      </c>
      <c r="Q687">
        <f>Q686+0.3</f>
        <v/>
      </c>
      <c r="R687">
        <f>R686+0.05</f>
        <v/>
      </c>
      <c r="S687">
        <f>S686+0.01</f>
        <v/>
      </c>
      <c r="T687">
        <f>T686+0.7</f>
        <v/>
      </c>
      <c r="U687">
        <f>U686+1.1</f>
        <v/>
      </c>
      <c r="V687">
        <f>V686+0.25</f>
        <v/>
      </c>
      <c r="W687">
        <f>W686+0.5</f>
        <v/>
      </c>
    </row>
    <row r="688">
      <c r="E688">
        <f>O688=ROUND(677*0.1,10)</f>
        <v/>
      </c>
      <c r="F688">
        <f>P688=ROUND(677*0.2,10)</f>
        <v/>
      </c>
      <c r="G688">
        <f>Q688=ROUND(677*0.3,10)</f>
        <v/>
      </c>
      <c r="H688">
        <f>R688=ROUND(677*0.05,10)</f>
        <v/>
      </c>
      <c r="I688">
        <f>S688=ROUND(677*0.01,10)</f>
        <v/>
      </c>
      <c r="J688">
        <f>T688=ROUND(677*0.7,10)</f>
        <v/>
      </c>
      <c r="K688">
        <f>U688=ROUND(677*1.1,10)</f>
        <v/>
      </c>
      <c r="L688">
        <f>V688=ROUND(677*0.25,10)</f>
        <v/>
      </c>
      <c r="M688">
        <f>W688=ROUND(677*0.5,10)</f>
        <v/>
      </c>
      <c r="O688">
        <f>O687+0.1</f>
        <v/>
      </c>
      <c r="P688">
        <f>P687+0.2</f>
        <v/>
      </c>
      <c r="Q688">
        <f>Q687+0.3</f>
        <v/>
      </c>
      <c r="R688">
        <f>R687+0.05</f>
        <v/>
      </c>
      <c r="S688">
        <f>S687+0.01</f>
        <v/>
      </c>
      <c r="T688">
        <f>T687+0.7</f>
        <v/>
      </c>
      <c r="U688">
        <f>U687+1.1</f>
        <v/>
      </c>
      <c r="V688">
        <f>V687+0.25</f>
        <v/>
      </c>
      <c r="W688">
        <f>W687+0.5</f>
        <v/>
      </c>
    </row>
    <row r="689">
      <c r="E689">
        <f>O689=ROUND(678*0.1,10)</f>
        <v/>
      </c>
      <c r="F689">
        <f>P689=ROUND(678*0.2,10)</f>
        <v/>
      </c>
      <c r="G689">
        <f>Q689=ROUND(678*0.3,10)</f>
        <v/>
      </c>
      <c r="H689">
        <f>R689=ROUND(678*0.05,10)</f>
        <v/>
      </c>
      <c r="I689">
        <f>S689=ROUND(678*0.01,10)</f>
        <v/>
      </c>
      <c r="J689">
        <f>T689=ROUND(678*0.7,10)</f>
        <v/>
      </c>
      <c r="K689">
        <f>U689=ROUND(678*1.1,10)</f>
        <v/>
      </c>
      <c r="L689">
        <f>V689=ROUND(678*0.25,10)</f>
        <v/>
      </c>
      <c r="M689">
        <f>W689=ROUND(678*0.5,10)</f>
        <v/>
      </c>
      <c r="O689">
        <f>O688+0.1</f>
        <v/>
      </c>
      <c r="P689">
        <f>P688+0.2</f>
        <v/>
      </c>
      <c r="Q689">
        <f>Q688+0.3</f>
        <v/>
      </c>
      <c r="R689">
        <f>R688+0.05</f>
        <v/>
      </c>
      <c r="S689">
        <f>S688+0.01</f>
        <v/>
      </c>
      <c r="T689">
        <f>T688+0.7</f>
        <v/>
      </c>
      <c r="U689">
        <f>U688+1.1</f>
        <v/>
      </c>
      <c r="V689">
        <f>V688+0.25</f>
        <v/>
      </c>
      <c r="W689">
        <f>W688+0.5</f>
        <v/>
      </c>
    </row>
    <row r="690">
      <c r="E690">
        <f>O690=ROUND(679*0.1,10)</f>
        <v/>
      </c>
      <c r="F690">
        <f>P690=ROUND(679*0.2,10)</f>
        <v/>
      </c>
      <c r="G690">
        <f>Q690=ROUND(679*0.3,10)</f>
        <v/>
      </c>
      <c r="H690">
        <f>R690=ROUND(679*0.05,10)</f>
        <v/>
      </c>
      <c r="I690">
        <f>S690=ROUND(679*0.01,10)</f>
        <v/>
      </c>
      <c r="J690">
        <f>T690=ROUND(679*0.7,10)</f>
        <v/>
      </c>
      <c r="K690">
        <f>U690=ROUND(679*1.1,10)</f>
        <v/>
      </c>
      <c r="L690">
        <f>V690=ROUND(679*0.25,10)</f>
        <v/>
      </c>
      <c r="M690">
        <f>W690=ROUND(679*0.5,10)</f>
        <v/>
      </c>
      <c r="O690">
        <f>O689+0.1</f>
        <v/>
      </c>
      <c r="P690">
        <f>P689+0.2</f>
        <v/>
      </c>
      <c r="Q690">
        <f>Q689+0.3</f>
        <v/>
      </c>
      <c r="R690">
        <f>R689+0.05</f>
        <v/>
      </c>
      <c r="S690">
        <f>S689+0.01</f>
        <v/>
      </c>
      <c r="T690">
        <f>T689+0.7</f>
        <v/>
      </c>
      <c r="U690">
        <f>U689+1.1</f>
        <v/>
      </c>
      <c r="V690">
        <f>V689+0.25</f>
        <v/>
      </c>
      <c r="W690">
        <f>W689+0.5</f>
        <v/>
      </c>
    </row>
    <row r="691">
      <c r="E691">
        <f>O691=ROUND(680*0.1,10)</f>
        <v/>
      </c>
      <c r="F691">
        <f>P691=ROUND(680*0.2,10)</f>
        <v/>
      </c>
      <c r="G691">
        <f>Q691=ROUND(680*0.3,10)</f>
        <v/>
      </c>
      <c r="H691">
        <f>R691=ROUND(680*0.05,10)</f>
        <v/>
      </c>
      <c r="I691">
        <f>S691=ROUND(680*0.01,10)</f>
        <v/>
      </c>
      <c r="J691">
        <f>T691=ROUND(680*0.7,10)</f>
        <v/>
      </c>
      <c r="K691">
        <f>U691=ROUND(680*1.1,10)</f>
        <v/>
      </c>
      <c r="L691">
        <f>V691=ROUND(680*0.25,10)</f>
        <v/>
      </c>
      <c r="M691">
        <f>W691=ROUND(680*0.5,10)</f>
        <v/>
      </c>
      <c r="O691">
        <f>O690+0.1</f>
        <v/>
      </c>
      <c r="P691">
        <f>P690+0.2</f>
        <v/>
      </c>
      <c r="Q691">
        <f>Q690+0.3</f>
        <v/>
      </c>
      <c r="R691">
        <f>R690+0.05</f>
        <v/>
      </c>
      <c r="S691">
        <f>S690+0.01</f>
        <v/>
      </c>
      <c r="T691">
        <f>T690+0.7</f>
        <v/>
      </c>
      <c r="U691">
        <f>U690+1.1</f>
        <v/>
      </c>
      <c r="V691">
        <f>V690+0.25</f>
        <v/>
      </c>
      <c r="W691">
        <f>W690+0.5</f>
        <v/>
      </c>
    </row>
    <row r="692">
      <c r="E692">
        <f>O692=ROUND(681*0.1,10)</f>
        <v/>
      </c>
      <c r="F692">
        <f>P692=ROUND(681*0.2,10)</f>
        <v/>
      </c>
      <c r="G692">
        <f>Q692=ROUND(681*0.3,10)</f>
        <v/>
      </c>
      <c r="H692">
        <f>R692=ROUND(681*0.05,10)</f>
        <v/>
      </c>
      <c r="I692">
        <f>S692=ROUND(681*0.01,10)</f>
        <v/>
      </c>
      <c r="J692">
        <f>T692=ROUND(681*0.7,10)</f>
        <v/>
      </c>
      <c r="K692">
        <f>U692=ROUND(681*1.1,10)</f>
        <v/>
      </c>
      <c r="L692">
        <f>V692=ROUND(681*0.25,10)</f>
        <v/>
      </c>
      <c r="M692">
        <f>W692=ROUND(681*0.5,10)</f>
        <v/>
      </c>
      <c r="O692">
        <f>O691+0.1</f>
        <v/>
      </c>
      <c r="P692">
        <f>P691+0.2</f>
        <v/>
      </c>
      <c r="Q692">
        <f>Q691+0.3</f>
        <v/>
      </c>
      <c r="R692">
        <f>R691+0.05</f>
        <v/>
      </c>
      <c r="S692">
        <f>S691+0.01</f>
        <v/>
      </c>
      <c r="T692">
        <f>T691+0.7</f>
        <v/>
      </c>
      <c r="U692">
        <f>U691+1.1</f>
        <v/>
      </c>
      <c r="V692">
        <f>V691+0.25</f>
        <v/>
      </c>
      <c r="W692">
        <f>W691+0.5</f>
        <v/>
      </c>
    </row>
    <row r="693">
      <c r="E693">
        <f>O693=ROUND(682*0.1,10)</f>
        <v/>
      </c>
      <c r="F693">
        <f>P693=ROUND(682*0.2,10)</f>
        <v/>
      </c>
      <c r="G693">
        <f>Q693=ROUND(682*0.3,10)</f>
        <v/>
      </c>
      <c r="H693">
        <f>R693=ROUND(682*0.05,10)</f>
        <v/>
      </c>
      <c r="I693">
        <f>S693=ROUND(682*0.01,10)</f>
        <v/>
      </c>
      <c r="J693">
        <f>T693=ROUND(682*0.7,10)</f>
        <v/>
      </c>
      <c r="K693">
        <f>U693=ROUND(682*1.1,10)</f>
        <v/>
      </c>
      <c r="L693">
        <f>V693=ROUND(682*0.25,10)</f>
        <v/>
      </c>
      <c r="M693">
        <f>W693=ROUND(682*0.5,10)</f>
        <v/>
      </c>
      <c r="O693">
        <f>O692+0.1</f>
        <v/>
      </c>
      <c r="P693">
        <f>P692+0.2</f>
        <v/>
      </c>
      <c r="Q693">
        <f>Q692+0.3</f>
        <v/>
      </c>
      <c r="R693">
        <f>R692+0.05</f>
        <v/>
      </c>
      <c r="S693">
        <f>S692+0.01</f>
        <v/>
      </c>
      <c r="T693">
        <f>T692+0.7</f>
        <v/>
      </c>
      <c r="U693">
        <f>U692+1.1</f>
        <v/>
      </c>
      <c r="V693">
        <f>V692+0.25</f>
        <v/>
      </c>
      <c r="W693">
        <f>W692+0.5</f>
        <v/>
      </c>
    </row>
    <row r="694">
      <c r="E694">
        <f>O694=ROUND(683*0.1,10)</f>
        <v/>
      </c>
      <c r="F694">
        <f>P694=ROUND(683*0.2,10)</f>
        <v/>
      </c>
      <c r="G694">
        <f>Q694=ROUND(683*0.3,10)</f>
        <v/>
      </c>
      <c r="H694">
        <f>R694=ROUND(683*0.05,10)</f>
        <v/>
      </c>
      <c r="I694">
        <f>S694=ROUND(683*0.01,10)</f>
        <v/>
      </c>
      <c r="J694">
        <f>T694=ROUND(683*0.7,10)</f>
        <v/>
      </c>
      <c r="K694">
        <f>U694=ROUND(683*1.1,10)</f>
        <v/>
      </c>
      <c r="L694">
        <f>V694=ROUND(683*0.25,10)</f>
        <v/>
      </c>
      <c r="M694">
        <f>W694=ROUND(683*0.5,10)</f>
        <v/>
      </c>
      <c r="O694">
        <f>O693+0.1</f>
        <v/>
      </c>
      <c r="P694">
        <f>P693+0.2</f>
        <v/>
      </c>
      <c r="Q694">
        <f>Q693+0.3</f>
        <v/>
      </c>
      <c r="R694">
        <f>R693+0.05</f>
        <v/>
      </c>
      <c r="S694">
        <f>S693+0.01</f>
        <v/>
      </c>
      <c r="T694">
        <f>T693+0.7</f>
        <v/>
      </c>
      <c r="U694">
        <f>U693+1.1</f>
        <v/>
      </c>
      <c r="V694">
        <f>V693+0.25</f>
        <v/>
      </c>
      <c r="W694">
        <f>W693+0.5</f>
        <v/>
      </c>
    </row>
    <row r="695">
      <c r="E695">
        <f>O695=ROUND(684*0.1,10)</f>
        <v/>
      </c>
      <c r="F695">
        <f>P695=ROUND(684*0.2,10)</f>
        <v/>
      </c>
      <c r="G695">
        <f>Q695=ROUND(684*0.3,10)</f>
        <v/>
      </c>
      <c r="H695">
        <f>R695=ROUND(684*0.05,10)</f>
        <v/>
      </c>
      <c r="I695">
        <f>S695=ROUND(684*0.01,10)</f>
        <v/>
      </c>
      <c r="J695">
        <f>T695=ROUND(684*0.7,10)</f>
        <v/>
      </c>
      <c r="K695">
        <f>U695=ROUND(684*1.1,10)</f>
        <v/>
      </c>
      <c r="L695">
        <f>V695=ROUND(684*0.25,10)</f>
        <v/>
      </c>
      <c r="M695">
        <f>W695=ROUND(684*0.5,10)</f>
        <v/>
      </c>
      <c r="O695">
        <f>O694+0.1</f>
        <v/>
      </c>
      <c r="P695">
        <f>P694+0.2</f>
        <v/>
      </c>
      <c r="Q695">
        <f>Q694+0.3</f>
        <v/>
      </c>
      <c r="R695">
        <f>R694+0.05</f>
        <v/>
      </c>
      <c r="S695">
        <f>S694+0.01</f>
        <v/>
      </c>
      <c r="T695">
        <f>T694+0.7</f>
        <v/>
      </c>
      <c r="U695">
        <f>U694+1.1</f>
        <v/>
      </c>
      <c r="V695">
        <f>V694+0.25</f>
        <v/>
      </c>
      <c r="W695">
        <f>W694+0.5</f>
        <v/>
      </c>
    </row>
    <row r="696">
      <c r="E696">
        <f>O696=ROUND(685*0.1,10)</f>
        <v/>
      </c>
      <c r="F696">
        <f>P696=ROUND(685*0.2,10)</f>
        <v/>
      </c>
      <c r="G696">
        <f>Q696=ROUND(685*0.3,10)</f>
        <v/>
      </c>
      <c r="H696">
        <f>R696=ROUND(685*0.05,10)</f>
        <v/>
      </c>
      <c r="I696">
        <f>S696=ROUND(685*0.01,10)</f>
        <v/>
      </c>
      <c r="J696">
        <f>T696=ROUND(685*0.7,10)</f>
        <v/>
      </c>
      <c r="K696">
        <f>U696=ROUND(685*1.1,10)</f>
        <v/>
      </c>
      <c r="L696">
        <f>V696=ROUND(685*0.25,10)</f>
        <v/>
      </c>
      <c r="M696">
        <f>W696=ROUND(685*0.5,10)</f>
        <v/>
      </c>
      <c r="O696">
        <f>O695+0.1</f>
        <v/>
      </c>
      <c r="P696">
        <f>P695+0.2</f>
        <v/>
      </c>
      <c r="Q696">
        <f>Q695+0.3</f>
        <v/>
      </c>
      <c r="R696">
        <f>R695+0.05</f>
        <v/>
      </c>
      <c r="S696">
        <f>S695+0.01</f>
        <v/>
      </c>
      <c r="T696">
        <f>T695+0.7</f>
        <v/>
      </c>
      <c r="U696">
        <f>U695+1.1</f>
        <v/>
      </c>
      <c r="V696">
        <f>V695+0.25</f>
        <v/>
      </c>
      <c r="W696">
        <f>W695+0.5</f>
        <v/>
      </c>
    </row>
    <row r="697">
      <c r="E697">
        <f>O697=ROUND(686*0.1,10)</f>
        <v/>
      </c>
      <c r="F697">
        <f>P697=ROUND(686*0.2,10)</f>
        <v/>
      </c>
      <c r="G697">
        <f>Q697=ROUND(686*0.3,10)</f>
        <v/>
      </c>
      <c r="H697">
        <f>R697=ROUND(686*0.05,10)</f>
        <v/>
      </c>
      <c r="I697">
        <f>S697=ROUND(686*0.01,10)</f>
        <v/>
      </c>
      <c r="J697">
        <f>T697=ROUND(686*0.7,10)</f>
        <v/>
      </c>
      <c r="K697">
        <f>U697=ROUND(686*1.1,10)</f>
        <v/>
      </c>
      <c r="L697">
        <f>V697=ROUND(686*0.25,10)</f>
        <v/>
      </c>
      <c r="M697">
        <f>W697=ROUND(686*0.5,10)</f>
        <v/>
      </c>
      <c r="O697">
        <f>O696+0.1</f>
        <v/>
      </c>
      <c r="P697">
        <f>P696+0.2</f>
        <v/>
      </c>
      <c r="Q697">
        <f>Q696+0.3</f>
        <v/>
      </c>
      <c r="R697">
        <f>R696+0.05</f>
        <v/>
      </c>
      <c r="S697">
        <f>S696+0.01</f>
        <v/>
      </c>
      <c r="T697">
        <f>T696+0.7</f>
        <v/>
      </c>
      <c r="U697">
        <f>U696+1.1</f>
        <v/>
      </c>
      <c r="V697">
        <f>V696+0.25</f>
        <v/>
      </c>
      <c r="W697">
        <f>W696+0.5</f>
        <v/>
      </c>
    </row>
    <row r="698">
      <c r="E698">
        <f>O698=ROUND(687*0.1,10)</f>
        <v/>
      </c>
      <c r="F698">
        <f>P698=ROUND(687*0.2,10)</f>
        <v/>
      </c>
      <c r="G698">
        <f>Q698=ROUND(687*0.3,10)</f>
        <v/>
      </c>
      <c r="H698">
        <f>R698=ROUND(687*0.05,10)</f>
        <v/>
      </c>
      <c r="I698">
        <f>S698=ROUND(687*0.01,10)</f>
        <v/>
      </c>
      <c r="J698">
        <f>T698=ROUND(687*0.7,10)</f>
        <v/>
      </c>
      <c r="K698">
        <f>U698=ROUND(687*1.1,10)</f>
        <v/>
      </c>
      <c r="L698">
        <f>V698=ROUND(687*0.25,10)</f>
        <v/>
      </c>
      <c r="M698">
        <f>W698=ROUND(687*0.5,10)</f>
        <v/>
      </c>
      <c r="O698">
        <f>O697+0.1</f>
        <v/>
      </c>
      <c r="P698">
        <f>P697+0.2</f>
        <v/>
      </c>
      <c r="Q698">
        <f>Q697+0.3</f>
        <v/>
      </c>
      <c r="R698">
        <f>R697+0.05</f>
        <v/>
      </c>
      <c r="S698">
        <f>S697+0.01</f>
        <v/>
      </c>
      <c r="T698">
        <f>T697+0.7</f>
        <v/>
      </c>
      <c r="U698">
        <f>U697+1.1</f>
        <v/>
      </c>
      <c r="V698">
        <f>V697+0.25</f>
        <v/>
      </c>
      <c r="W698">
        <f>W697+0.5</f>
        <v/>
      </c>
    </row>
    <row r="699">
      <c r="E699">
        <f>O699=ROUND(688*0.1,10)</f>
        <v/>
      </c>
      <c r="F699">
        <f>P699=ROUND(688*0.2,10)</f>
        <v/>
      </c>
      <c r="G699">
        <f>Q699=ROUND(688*0.3,10)</f>
        <v/>
      </c>
      <c r="H699">
        <f>R699=ROUND(688*0.05,10)</f>
        <v/>
      </c>
      <c r="I699">
        <f>S699=ROUND(688*0.01,10)</f>
        <v/>
      </c>
      <c r="J699">
        <f>T699=ROUND(688*0.7,10)</f>
        <v/>
      </c>
      <c r="K699">
        <f>U699=ROUND(688*1.1,10)</f>
        <v/>
      </c>
      <c r="L699">
        <f>V699=ROUND(688*0.25,10)</f>
        <v/>
      </c>
      <c r="M699">
        <f>W699=ROUND(688*0.5,10)</f>
        <v/>
      </c>
      <c r="O699">
        <f>O698+0.1</f>
        <v/>
      </c>
      <c r="P699">
        <f>P698+0.2</f>
        <v/>
      </c>
      <c r="Q699">
        <f>Q698+0.3</f>
        <v/>
      </c>
      <c r="R699">
        <f>R698+0.05</f>
        <v/>
      </c>
      <c r="S699">
        <f>S698+0.01</f>
        <v/>
      </c>
      <c r="T699">
        <f>T698+0.7</f>
        <v/>
      </c>
      <c r="U699">
        <f>U698+1.1</f>
        <v/>
      </c>
      <c r="V699">
        <f>V698+0.25</f>
        <v/>
      </c>
      <c r="W699">
        <f>W698+0.5</f>
        <v/>
      </c>
    </row>
    <row r="700">
      <c r="E700">
        <f>O700=ROUND(689*0.1,10)</f>
        <v/>
      </c>
      <c r="F700">
        <f>P700=ROUND(689*0.2,10)</f>
        <v/>
      </c>
      <c r="G700">
        <f>Q700=ROUND(689*0.3,10)</f>
        <v/>
      </c>
      <c r="H700">
        <f>R700=ROUND(689*0.05,10)</f>
        <v/>
      </c>
      <c r="I700">
        <f>S700=ROUND(689*0.01,10)</f>
        <v/>
      </c>
      <c r="J700">
        <f>T700=ROUND(689*0.7,10)</f>
        <v/>
      </c>
      <c r="K700">
        <f>U700=ROUND(689*1.1,10)</f>
        <v/>
      </c>
      <c r="L700">
        <f>V700=ROUND(689*0.25,10)</f>
        <v/>
      </c>
      <c r="M700">
        <f>W700=ROUND(689*0.5,10)</f>
        <v/>
      </c>
      <c r="O700">
        <f>O699+0.1</f>
        <v/>
      </c>
      <c r="P700">
        <f>P699+0.2</f>
        <v/>
      </c>
      <c r="Q700">
        <f>Q699+0.3</f>
        <v/>
      </c>
      <c r="R700">
        <f>R699+0.05</f>
        <v/>
      </c>
      <c r="S700">
        <f>S699+0.01</f>
        <v/>
      </c>
      <c r="T700">
        <f>T699+0.7</f>
        <v/>
      </c>
      <c r="U700">
        <f>U699+1.1</f>
        <v/>
      </c>
      <c r="V700">
        <f>V699+0.25</f>
        <v/>
      </c>
      <c r="W700">
        <f>W699+0.5</f>
        <v/>
      </c>
    </row>
    <row r="701">
      <c r="E701">
        <f>O701=ROUND(690*0.1,10)</f>
        <v/>
      </c>
      <c r="F701">
        <f>P701=ROUND(690*0.2,10)</f>
        <v/>
      </c>
      <c r="G701">
        <f>Q701=ROUND(690*0.3,10)</f>
        <v/>
      </c>
      <c r="H701">
        <f>R701=ROUND(690*0.05,10)</f>
        <v/>
      </c>
      <c r="I701">
        <f>S701=ROUND(690*0.01,10)</f>
        <v/>
      </c>
      <c r="J701">
        <f>T701=ROUND(690*0.7,10)</f>
        <v/>
      </c>
      <c r="K701">
        <f>U701=ROUND(690*1.1,10)</f>
        <v/>
      </c>
      <c r="L701">
        <f>V701=ROUND(690*0.25,10)</f>
        <v/>
      </c>
      <c r="M701">
        <f>W701=ROUND(690*0.5,10)</f>
        <v/>
      </c>
      <c r="O701">
        <f>O700+0.1</f>
        <v/>
      </c>
      <c r="P701">
        <f>P700+0.2</f>
        <v/>
      </c>
      <c r="Q701">
        <f>Q700+0.3</f>
        <v/>
      </c>
      <c r="R701">
        <f>R700+0.05</f>
        <v/>
      </c>
      <c r="S701">
        <f>S700+0.01</f>
        <v/>
      </c>
      <c r="T701">
        <f>T700+0.7</f>
        <v/>
      </c>
      <c r="U701">
        <f>U700+1.1</f>
        <v/>
      </c>
      <c r="V701">
        <f>V700+0.25</f>
        <v/>
      </c>
      <c r="W701">
        <f>W700+0.5</f>
        <v/>
      </c>
    </row>
    <row r="702">
      <c r="E702">
        <f>O702=ROUND(691*0.1,10)</f>
        <v/>
      </c>
      <c r="F702">
        <f>P702=ROUND(691*0.2,10)</f>
        <v/>
      </c>
      <c r="G702">
        <f>Q702=ROUND(691*0.3,10)</f>
        <v/>
      </c>
      <c r="H702">
        <f>R702=ROUND(691*0.05,10)</f>
        <v/>
      </c>
      <c r="I702">
        <f>S702=ROUND(691*0.01,10)</f>
        <v/>
      </c>
      <c r="J702">
        <f>T702=ROUND(691*0.7,10)</f>
        <v/>
      </c>
      <c r="K702">
        <f>U702=ROUND(691*1.1,10)</f>
        <v/>
      </c>
      <c r="L702">
        <f>V702=ROUND(691*0.25,10)</f>
        <v/>
      </c>
      <c r="M702">
        <f>W702=ROUND(691*0.5,10)</f>
        <v/>
      </c>
      <c r="O702">
        <f>O701+0.1</f>
        <v/>
      </c>
      <c r="P702">
        <f>P701+0.2</f>
        <v/>
      </c>
      <c r="Q702">
        <f>Q701+0.3</f>
        <v/>
      </c>
      <c r="R702">
        <f>R701+0.05</f>
        <v/>
      </c>
      <c r="S702">
        <f>S701+0.01</f>
        <v/>
      </c>
      <c r="T702">
        <f>T701+0.7</f>
        <v/>
      </c>
      <c r="U702">
        <f>U701+1.1</f>
        <v/>
      </c>
      <c r="V702">
        <f>V701+0.25</f>
        <v/>
      </c>
      <c r="W702">
        <f>W701+0.5</f>
        <v/>
      </c>
    </row>
    <row r="703">
      <c r="E703">
        <f>O703=ROUND(692*0.1,10)</f>
        <v/>
      </c>
      <c r="F703">
        <f>P703=ROUND(692*0.2,10)</f>
        <v/>
      </c>
      <c r="G703">
        <f>Q703=ROUND(692*0.3,10)</f>
        <v/>
      </c>
      <c r="H703">
        <f>R703=ROUND(692*0.05,10)</f>
        <v/>
      </c>
      <c r="I703">
        <f>S703=ROUND(692*0.01,10)</f>
        <v/>
      </c>
      <c r="J703">
        <f>T703=ROUND(692*0.7,10)</f>
        <v/>
      </c>
      <c r="K703">
        <f>U703=ROUND(692*1.1,10)</f>
        <v/>
      </c>
      <c r="L703">
        <f>V703=ROUND(692*0.25,10)</f>
        <v/>
      </c>
      <c r="M703">
        <f>W703=ROUND(692*0.5,10)</f>
        <v/>
      </c>
      <c r="O703">
        <f>O702+0.1</f>
        <v/>
      </c>
      <c r="P703">
        <f>P702+0.2</f>
        <v/>
      </c>
      <c r="Q703">
        <f>Q702+0.3</f>
        <v/>
      </c>
      <c r="R703">
        <f>R702+0.05</f>
        <v/>
      </c>
      <c r="S703">
        <f>S702+0.01</f>
        <v/>
      </c>
      <c r="T703">
        <f>T702+0.7</f>
        <v/>
      </c>
      <c r="U703">
        <f>U702+1.1</f>
        <v/>
      </c>
      <c r="V703">
        <f>V702+0.25</f>
        <v/>
      </c>
      <c r="W703">
        <f>W702+0.5</f>
        <v/>
      </c>
    </row>
    <row r="704">
      <c r="E704">
        <f>O704=ROUND(693*0.1,10)</f>
        <v/>
      </c>
      <c r="F704">
        <f>P704=ROUND(693*0.2,10)</f>
        <v/>
      </c>
      <c r="G704">
        <f>Q704=ROUND(693*0.3,10)</f>
        <v/>
      </c>
      <c r="H704">
        <f>R704=ROUND(693*0.05,10)</f>
        <v/>
      </c>
      <c r="I704">
        <f>S704=ROUND(693*0.01,10)</f>
        <v/>
      </c>
      <c r="J704">
        <f>T704=ROUND(693*0.7,10)</f>
        <v/>
      </c>
      <c r="K704">
        <f>U704=ROUND(693*1.1,10)</f>
        <v/>
      </c>
      <c r="L704">
        <f>V704=ROUND(693*0.25,10)</f>
        <v/>
      </c>
      <c r="M704">
        <f>W704=ROUND(693*0.5,10)</f>
        <v/>
      </c>
      <c r="O704">
        <f>O703+0.1</f>
        <v/>
      </c>
      <c r="P704">
        <f>P703+0.2</f>
        <v/>
      </c>
      <c r="Q704">
        <f>Q703+0.3</f>
        <v/>
      </c>
      <c r="R704">
        <f>R703+0.05</f>
        <v/>
      </c>
      <c r="S704">
        <f>S703+0.01</f>
        <v/>
      </c>
      <c r="T704">
        <f>T703+0.7</f>
        <v/>
      </c>
      <c r="U704">
        <f>U703+1.1</f>
        <v/>
      </c>
      <c r="V704">
        <f>V703+0.25</f>
        <v/>
      </c>
      <c r="W704">
        <f>W703+0.5</f>
        <v/>
      </c>
    </row>
    <row r="705">
      <c r="E705">
        <f>O705=ROUND(694*0.1,10)</f>
        <v/>
      </c>
      <c r="F705">
        <f>P705=ROUND(694*0.2,10)</f>
        <v/>
      </c>
      <c r="G705">
        <f>Q705=ROUND(694*0.3,10)</f>
        <v/>
      </c>
      <c r="H705">
        <f>R705=ROUND(694*0.05,10)</f>
        <v/>
      </c>
      <c r="I705">
        <f>S705=ROUND(694*0.01,10)</f>
        <v/>
      </c>
      <c r="J705">
        <f>T705=ROUND(694*0.7,10)</f>
        <v/>
      </c>
      <c r="K705">
        <f>U705=ROUND(694*1.1,10)</f>
        <v/>
      </c>
      <c r="L705">
        <f>V705=ROUND(694*0.25,10)</f>
        <v/>
      </c>
      <c r="M705">
        <f>W705=ROUND(694*0.5,10)</f>
        <v/>
      </c>
      <c r="O705">
        <f>O704+0.1</f>
        <v/>
      </c>
      <c r="P705">
        <f>P704+0.2</f>
        <v/>
      </c>
      <c r="Q705">
        <f>Q704+0.3</f>
        <v/>
      </c>
      <c r="R705">
        <f>R704+0.05</f>
        <v/>
      </c>
      <c r="S705">
        <f>S704+0.01</f>
        <v/>
      </c>
      <c r="T705">
        <f>T704+0.7</f>
        <v/>
      </c>
      <c r="U705">
        <f>U704+1.1</f>
        <v/>
      </c>
      <c r="V705">
        <f>V704+0.25</f>
        <v/>
      </c>
      <c r="W705">
        <f>W704+0.5</f>
        <v/>
      </c>
    </row>
    <row r="706">
      <c r="E706">
        <f>O706=ROUND(695*0.1,10)</f>
        <v/>
      </c>
      <c r="F706">
        <f>P706=ROUND(695*0.2,10)</f>
        <v/>
      </c>
      <c r="G706">
        <f>Q706=ROUND(695*0.3,10)</f>
        <v/>
      </c>
      <c r="H706">
        <f>R706=ROUND(695*0.05,10)</f>
        <v/>
      </c>
      <c r="I706">
        <f>S706=ROUND(695*0.01,10)</f>
        <v/>
      </c>
      <c r="J706">
        <f>T706=ROUND(695*0.7,10)</f>
        <v/>
      </c>
      <c r="K706">
        <f>U706=ROUND(695*1.1,10)</f>
        <v/>
      </c>
      <c r="L706">
        <f>V706=ROUND(695*0.25,10)</f>
        <v/>
      </c>
      <c r="M706">
        <f>W706=ROUND(695*0.5,10)</f>
        <v/>
      </c>
      <c r="O706">
        <f>O705+0.1</f>
        <v/>
      </c>
      <c r="P706">
        <f>P705+0.2</f>
        <v/>
      </c>
      <c r="Q706">
        <f>Q705+0.3</f>
        <v/>
      </c>
      <c r="R706">
        <f>R705+0.05</f>
        <v/>
      </c>
      <c r="S706">
        <f>S705+0.01</f>
        <v/>
      </c>
      <c r="T706">
        <f>T705+0.7</f>
        <v/>
      </c>
      <c r="U706">
        <f>U705+1.1</f>
        <v/>
      </c>
      <c r="V706">
        <f>V705+0.25</f>
        <v/>
      </c>
      <c r="W706">
        <f>W705+0.5</f>
        <v/>
      </c>
    </row>
    <row r="707">
      <c r="E707">
        <f>O707=ROUND(696*0.1,10)</f>
        <v/>
      </c>
      <c r="F707">
        <f>P707=ROUND(696*0.2,10)</f>
        <v/>
      </c>
      <c r="G707">
        <f>Q707=ROUND(696*0.3,10)</f>
        <v/>
      </c>
      <c r="H707">
        <f>R707=ROUND(696*0.05,10)</f>
        <v/>
      </c>
      <c r="I707">
        <f>S707=ROUND(696*0.01,10)</f>
        <v/>
      </c>
      <c r="J707">
        <f>T707=ROUND(696*0.7,10)</f>
        <v/>
      </c>
      <c r="K707">
        <f>U707=ROUND(696*1.1,10)</f>
        <v/>
      </c>
      <c r="L707">
        <f>V707=ROUND(696*0.25,10)</f>
        <v/>
      </c>
      <c r="M707">
        <f>W707=ROUND(696*0.5,10)</f>
        <v/>
      </c>
      <c r="O707">
        <f>O706+0.1</f>
        <v/>
      </c>
      <c r="P707">
        <f>P706+0.2</f>
        <v/>
      </c>
      <c r="Q707">
        <f>Q706+0.3</f>
        <v/>
      </c>
      <c r="R707">
        <f>R706+0.05</f>
        <v/>
      </c>
      <c r="S707">
        <f>S706+0.01</f>
        <v/>
      </c>
      <c r="T707">
        <f>T706+0.7</f>
        <v/>
      </c>
      <c r="U707">
        <f>U706+1.1</f>
        <v/>
      </c>
      <c r="V707">
        <f>V706+0.25</f>
        <v/>
      </c>
      <c r="W707">
        <f>W706+0.5</f>
        <v/>
      </c>
    </row>
    <row r="708">
      <c r="E708">
        <f>O708=ROUND(697*0.1,10)</f>
        <v/>
      </c>
      <c r="F708">
        <f>P708=ROUND(697*0.2,10)</f>
        <v/>
      </c>
      <c r="G708">
        <f>Q708=ROUND(697*0.3,10)</f>
        <v/>
      </c>
      <c r="H708">
        <f>R708=ROUND(697*0.05,10)</f>
        <v/>
      </c>
      <c r="I708">
        <f>S708=ROUND(697*0.01,10)</f>
        <v/>
      </c>
      <c r="J708">
        <f>T708=ROUND(697*0.7,10)</f>
        <v/>
      </c>
      <c r="K708">
        <f>U708=ROUND(697*1.1,10)</f>
        <v/>
      </c>
      <c r="L708">
        <f>V708=ROUND(697*0.25,10)</f>
        <v/>
      </c>
      <c r="M708">
        <f>W708=ROUND(697*0.5,10)</f>
        <v/>
      </c>
      <c r="O708">
        <f>O707+0.1</f>
        <v/>
      </c>
      <c r="P708">
        <f>P707+0.2</f>
        <v/>
      </c>
      <c r="Q708">
        <f>Q707+0.3</f>
        <v/>
      </c>
      <c r="R708">
        <f>R707+0.05</f>
        <v/>
      </c>
      <c r="S708">
        <f>S707+0.01</f>
        <v/>
      </c>
      <c r="T708">
        <f>T707+0.7</f>
        <v/>
      </c>
      <c r="U708">
        <f>U707+1.1</f>
        <v/>
      </c>
      <c r="V708">
        <f>V707+0.25</f>
        <v/>
      </c>
      <c r="W708">
        <f>W707+0.5</f>
        <v/>
      </c>
    </row>
    <row r="709">
      <c r="E709">
        <f>O709=ROUND(698*0.1,10)</f>
        <v/>
      </c>
      <c r="F709">
        <f>P709=ROUND(698*0.2,10)</f>
        <v/>
      </c>
      <c r="G709">
        <f>Q709=ROUND(698*0.3,10)</f>
        <v/>
      </c>
      <c r="H709">
        <f>R709=ROUND(698*0.05,10)</f>
        <v/>
      </c>
      <c r="I709">
        <f>S709=ROUND(698*0.01,10)</f>
        <v/>
      </c>
      <c r="J709">
        <f>T709=ROUND(698*0.7,10)</f>
        <v/>
      </c>
      <c r="K709">
        <f>U709=ROUND(698*1.1,10)</f>
        <v/>
      </c>
      <c r="L709">
        <f>V709=ROUND(698*0.25,10)</f>
        <v/>
      </c>
      <c r="M709">
        <f>W709=ROUND(698*0.5,10)</f>
        <v/>
      </c>
      <c r="O709">
        <f>O708+0.1</f>
        <v/>
      </c>
      <c r="P709">
        <f>P708+0.2</f>
        <v/>
      </c>
      <c r="Q709">
        <f>Q708+0.3</f>
        <v/>
      </c>
      <c r="R709">
        <f>R708+0.05</f>
        <v/>
      </c>
      <c r="S709">
        <f>S708+0.01</f>
        <v/>
      </c>
      <c r="T709">
        <f>T708+0.7</f>
        <v/>
      </c>
      <c r="U709">
        <f>U708+1.1</f>
        <v/>
      </c>
      <c r="V709">
        <f>V708+0.25</f>
        <v/>
      </c>
      <c r="W709">
        <f>W708+0.5</f>
        <v/>
      </c>
    </row>
    <row r="710">
      <c r="E710">
        <f>O710=ROUND(699*0.1,10)</f>
        <v/>
      </c>
      <c r="F710">
        <f>P710=ROUND(699*0.2,10)</f>
        <v/>
      </c>
      <c r="G710">
        <f>Q710=ROUND(699*0.3,10)</f>
        <v/>
      </c>
      <c r="H710">
        <f>R710=ROUND(699*0.05,10)</f>
        <v/>
      </c>
      <c r="I710">
        <f>S710=ROUND(699*0.01,10)</f>
        <v/>
      </c>
      <c r="J710">
        <f>T710=ROUND(699*0.7,10)</f>
        <v/>
      </c>
      <c r="K710">
        <f>U710=ROUND(699*1.1,10)</f>
        <v/>
      </c>
      <c r="L710">
        <f>V710=ROUND(699*0.25,10)</f>
        <v/>
      </c>
      <c r="M710">
        <f>W710=ROUND(699*0.5,10)</f>
        <v/>
      </c>
      <c r="O710">
        <f>O709+0.1</f>
        <v/>
      </c>
      <c r="P710">
        <f>P709+0.2</f>
        <v/>
      </c>
      <c r="Q710">
        <f>Q709+0.3</f>
        <v/>
      </c>
      <c r="R710">
        <f>R709+0.05</f>
        <v/>
      </c>
      <c r="S710">
        <f>S709+0.01</f>
        <v/>
      </c>
      <c r="T710">
        <f>T709+0.7</f>
        <v/>
      </c>
      <c r="U710">
        <f>U709+1.1</f>
        <v/>
      </c>
      <c r="V710">
        <f>V709+0.25</f>
        <v/>
      </c>
      <c r="W710">
        <f>W709+0.5</f>
        <v/>
      </c>
    </row>
    <row r="711">
      <c r="E711">
        <f>O711=ROUND(700*0.1,10)</f>
        <v/>
      </c>
      <c r="F711">
        <f>P711=ROUND(700*0.2,10)</f>
        <v/>
      </c>
      <c r="G711">
        <f>Q711=ROUND(700*0.3,10)</f>
        <v/>
      </c>
      <c r="H711">
        <f>R711=ROUND(700*0.05,10)</f>
        <v/>
      </c>
      <c r="I711">
        <f>S711=ROUND(700*0.01,10)</f>
        <v/>
      </c>
      <c r="J711">
        <f>T711=ROUND(700*0.7,10)</f>
        <v/>
      </c>
      <c r="K711">
        <f>U711=ROUND(700*1.1,10)</f>
        <v/>
      </c>
      <c r="L711">
        <f>V711=ROUND(700*0.25,10)</f>
        <v/>
      </c>
      <c r="M711">
        <f>W711=ROUND(700*0.5,10)</f>
        <v/>
      </c>
      <c r="O711">
        <f>O710+0.1</f>
        <v/>
      </c>
      <c r="P711">
        <f>P710+0.2</f>
        <v/>
      </c>
      <c r="Q711">
        <f>Q710+0.3</f>
        <v/>
      </c>
      <c r="R711">
        <f>R710+0.05</f>
        <v/>
      </c>
      <c r="S711">
        <f>S710+0.01</f>
        <v/>
      </c>
      <c r="T711">
        <f>T710+0.7</f>
        <v/>
      </c>
      <c r="U711">
        <f>U710+1.1</f>
        <v/>
      </c>
      <c r="V711">
        <f>V710+0.25</f>
        <v/>
      </c>
      <c r="W711">
        <f>W710+0.5</f>
        <v/>
      </c>
    </row>
    <row r="712">
      <c r="E712">
        <f>O712=ROUND(701*0.1,10)</f>
        <v/>
      </c>
      <c r="F712">
        <f>P712=ROUND(701*0.2,10)</f>
        <v/>
      </c>
      <c r="G712">
        <f>Q712=ROUND(701*0.3,10)</f>
        <v/>
      </c>
      <c r="H712">
        <f>R712=ROUND(701*0.05,10)</f>
        <v/>
      </c>
      <c r="I712">
        <f>S712=ROUND(701*0.01,10)</f>
        <v/>
      </c>
      <c r="J712">
        <f>T712=ROUND(701*0.7,10)</f>
        <v/>
      </c>
      <c r="K712">
        <f>U712=ROUND(701*1.1,10)</f>
        <v/>
      </c>
      <c r="L712">
        <f>V712=ROUND(701*0.25,10)</f>
        <v/>
      </c>
      <c r="M712">
        <f>W712=ROUND(701*0.5,10)</f>
        <v/>
      </c>
      <c r="O712">
        <f>O711+0.1</f>
        <v/>
      </c>
      <c r="P712">
        <f>P711+0.2</f>
        <v/>
      </c>
      <c r="Q712">
        <f>Q711+0.3</f>
        <v/>
      </c>
      <c r="R712">
        <f>R711+0.05</f>
        <v/>
      </c>
      <c r="S712">
        <f>S711+0.01</f>
        <v/>
      </c>
      <c r="T712">
        <f>T711+0.7</f>
        <v/>
      </c>
      <c r="U712">
        <f>U711+1.1</f>
        <v/>
      </c>
      <c r="V712">
        <f>V711+0.25</f>
        <v/>
      </c>
      <c r="W712">
        <f>W711+0.5</f>
        <v/>
      </c>
    </row>
    <row r="713">
      <c r="E713">
        <f>O713=ROUND(702*0.1,10)</f>
        <v/>
      </c>
      <c r="F713">
        <f>P713=ROUND(702*0.2,10)</f>
        <v/>
      </c>
      <c r="G713">
        <f>Q713=ROUND(702*0.3,10)</f>
        <v/>
      </c>
      <c r="H713">
        <f>R713=ROUND(702*0.05,10)</f>
        <v/>
      </c>
      <c r="I713">
        <f>S713=ROUND(702*0.01,10)</f>
        <v/>
      </c>
      <c r="J713">
        <f>T713=ROUND(702*0.7,10)</f>
        <v/>
      </c>
      <c r="K713">
        <f>U713=ROUND(702*1.1,10)</f>
        <v/>
      </c>
      <c r="L713">
        <f>V713=ROUND(702*0.25,10)</f>
        <v/>
      </c>
      <c r="M713">
        <f>W713=ROUND(702*0.5,10)</f>
        <v/>
      </c>
      <c r="O713">
        <f>O712+0.1</f>
        <v/>
      </c>
      <c r="P713">
        <f>P712+0.2</f>
        <v/>
      </c>
      <c r="Q713">
        <f>Q712+0.3</f>
        <v/>
      </c>
      <c r="R713">
        <f>R712+0.05</f>
        <v/>
      </c>
      <c r="S713">
        <f>S712+0.01</f>
        <v/>
      </c>
      <c r="T713">
        <f>T712+0.7</f>
        <v/>
      </c>
      <c r="U713">
        <f>U712+1.1</f>
        <v/>
      </c>
      <c r="V713">
        <f>V712+0.25</f>
        <v/>
      </c>
      <c r="W713">
        <f>W712+0.5</f>
        <v/>
      </c>
    </row>
    <row r="714">
      <c r="E714">
        <f>O714=ROUND(703*0.1,10)</f>
        <v/>
      </c>
      <c r="F714">
        <f>P714=ROUND(703*0.2,10)</f>
        <v/>
      </c>
      <c r="G714">
        <f>Q714=ROUND(703*0.3,10)</f>
        <v/>
      </c>
      <c r="H714">
        <f>R714=ROUND(703*0.05,10)</f>
        <v/>
      </c>
      <c r="I714">
        <f>S714=ROUND(703*0.01,10)</f>
        <v/>
      </c>
      <c r="J714">
        <f>T714=ROUND(703*0.7,10)</f>
        <v/>
      </c>
      <c r="K714">
        <f>U714=ROUND(703*1.1,10)</f>
        <v/>
      </c>
      <c r="L714">
        <f>V714=ROUND(703*0.25,10)</f>
        <v/>
      </c>
      <c r="M714">
        <f>W714=ROUND(703*0.5,10)</f>
        <v/>
      </c>
      <c r="O714">
        <f>O713+0.1</f>
        <v/>
      </c>
      <c r="P714">
        <f>P713+0.2</f>
        <v/>
      </c>
      <c r="Q714">
        <f>Q713+0.3</f>
        <v/>
      </c>
      <c r="R714">
        <f>R713+0.05</f>
        <v/>
      </c>
      <c r="S714">
        <f>S713+0.01</f>
        <v/>
      </c>
      <c r="T714">
        <f>T713+0.7</f>
        <v/>
      </c>
      <c r="U714">
        <f>U713+1.1</f>
        <v/>
      </c>
      <c r="V714">
        <f>V713+0.25</f>
        <v/>
      </c>
      <c r="W714">
        <f>W713+0.5</f>
        <v/>
      </c>
    </row>
    <row r="715">
      <c r="E715">
        <f>O715=ROUND(704*0.1,10)</f>
        <v/>
      </c>
      <c r="F715">
        <f>P715=ROUND(704*0.2,10)</f>
        <v/>
      </c>
      <c r="G715">
        <f>Q715=ROUND(704*0.3,10)</f>
        <v/>
      </c>
      <c r="H715">
        <f>R715=ROUND(704*0.05,10)</f>
        <v/>
      </c>
      <c r="I715">
        <f>S715=ROUND(704*0.01,10)</f>
        <v/>
      </c>
      <c r="J715">
        <f>T715=ROUND(704*0.7,10)</f>
        <v/>
      </c>
      <c r="K715">
        <f>U715=ROUND(704*1.1,10)</f>
        <v/>
      </c>
      <c r="L715">
        <f>V715=ROUND(704*0.25,10)</f>
        <v/>
      </c>
      <c r="M715">
        <f>W715=ROUND(704*0.5,10)</f>
        <v/>
      </c>
      <c r="O715">
        <f>O714+0.1</f>
        <v/>
      </c>
      <c r="P715">
        <f>P714+0.2</f>
        <v/>
      </c>
      <c r="Q715">
        <f>Q714+0.3</f>
        <v/>
      </c>
      <c r="R715">
        <f>R714+0.05</f>
        <v/>
      </c>
      <c r="S715">
        <f>S714+0.01</f>
        <v/>
      </c>
      <c r="T715">
        <f>T714+0.7</f>
        <v/>
      </c>
      <c r="U715">
        <f>U714+1.1</f>
        <v/>
      </c>
      <c r="V715">
        <f>V714+0.25</f>
        <v/>
      </c>
      <c r="W715">
        <f>W714+0.5</f>
        <v/>
      </c>
    </row>
    <row r="716">
      <c r="E716">
        <f>O716=ROUND(705*0.1,10)</f>
        <v/>
      </c>
      <c r="F716">
        <f>P716=ROUND(705*0.2,10)</f>
        <v/>
      </c>
      <c r="G716">
        <f>Q716=ROUND(705*0.3,10)</f>
        <v/>
      </c>
      <c r="H716">
        <f>R716=ROUND(705*0.05,10)</f>
        <v/>
      </c>
      <c r="I716">
        <f>S716=ROUND(705*0.01,10)</f>
        <v/>
      </c>
      <c r="J716">
        <f>T716=ROUND(705*0.7,10)</f>
        <v/>
      </c>
      <c r="K716">
        <f>U716=ROUND(705*1.1,10)</f>
        <v/>
      </c>
      <c r="L716">
        <f>V716=ROUND(705*0.25,10)</f>
        <v/>
      </c>
      <c r="M716">
        <f>W716=ROUND(705*0.5,10)</f>
        <v/>
      </c>
      <c r="O716">
        <f>O715+0.1</f>
        <v/>
      </c>
      <c r="P716">
        <f>P715+0.2</f>
        <v/>
      </c>
      <c r="Q716">
        <f>Q715+0.3</f>
        <v/>
      </c>
      <c r="R716">
        <f>R715+0.05</f>
        <v/>
      </c>
      <c r="S716">
        <f>S715+0.01</f>
        <v/>
      </c>
      <c r="T716">
        <f>T715+0.7</f>
        <v/>
      </c>
      <c r="U716">
        <f>U715+1.1</f>
        <v/>
      </c>
      <c r="V716">
        <f>V715+0.25</f>
        <v/>
      </c>
      <c r="W716">
        <f>W715+0.5</f>
        <v/>
      </c>
    </row>
    <row r="717">
      <c r="E717">
        <f>O717=ROUND(706*0.1,10)</f>
        <v/>
      </c>
      <c r="F717">
        <f>P717=ROUND(706*0.2,10)</f>
        <v/>
      </c>
      <c r="G717">
        <f>Q717=ROUND(706*0.3,10)</f>
        <v/>
      </c>
      <c r="H717">
        <f>R717=ROUND(706*0.05,10)</f>
        <v/>
      </c>
      <c r="I717">
        <f>S717=ROUND(706*0.01,10)</f>
        <v/>
      </c>
      <c r="J717">
        <f>T717=ROUND(706*0.7,10)</f>
        <v/>
      </c>
      <c r="K717">
        <f>U717=ROUND(706*1.1,10)</f>
        <v/>
      </c>
      <c r="L717">
        <f>V717=ROUND(706*0.25,10)</f>
        <v/>
      </c>
      <c r="M717">
        <f>W717=ROUND(706*0.5,10)</f>
        <v/>
      </c>
      <c r="O717">
        <f>O716+0.1</f>
        <v/>
      </c>
      <c r="P717">
        <f>P716+0.2</f>
        <v/>
      </c>
      <c r="Q717">
        <f>Q716+0.3</f>
        <v/>
      </c>
      <c r="R717">
        <f>R716+0.05</f>
        <v/>
      </c>
      <c r="S717">
        <f>S716+0.01</f>
        <v/>
      </c>
      <c r="T717">
        <f>T716+0.7</f>
        <v/>
      </c>
      <c r="U717">
        <f>U716+1.1</f>
        <v/>
      </c>
      <c r="V717">
        <f>V716+0.25</f>
        <v/>
      </c>
      <c r="W717">
        <f>W716+0.5</f>
        <v/>
      </c>
    </row>
    <row r="718">
      <c r="E718">
        <f>O718=ROUND(707*0.1,10)</f>
        <v/>
      </c>
      <c r="F718">
        <f>P718=ROUND(707*0.2,10)</f>
        <v/>
      </c>
      <c r="G718">
        <f>Q718=ROUND(707*0.3,10)</f>
        <v/>
      </c>
      <c r="H718">
        <f>R718=ROUND(707*0.05,10)</f>
        <v/>
      </c>
      <c r="I718">
        <f>S718=ROUND(707*0.01,10)</f>
        <v/>
      </c>
      <c r="J718">
        <f>T718=ROUND(707*0.7,10)</f>
        <v/>
      </c>
      <c r="K718">
        <f>U718=ROUND(707*1.1,10)</f>
        <v/>
      </c>
      <c r="L718">
        <f>V718=ROUND(707*0.25,10)</f>
        <v/>
      </c>
      <c r="M718">
        <f>W718=ROUND(707*0.5,10)</f>
        <v/>
      </c>
      <c r="O718">
        <f>O717+0.1</f>
        <v/>
      </c>
      <c r="P718">
        <f>P717+0.2</f>
        <v/>
      </c>
      <c r="Q718">
        <f>Q717+0.3</f>
        <v/>
      </c>
      <c r="R718">
        <f>R717+0.05</f>
        <v/>
      </c>
      <c r="S718">
        <f>S717+0.01</f>
        <v/>
      </c>
      <c r="T718">
        <f>T717+0.7</f>
        <v/>
      </c>
      <c r="U718">
        <f>U717+1.1</f>
        <v/>
      </c>
      <c r="V718">
        <f>V717+0.25</f>
        <v/>
      </c>
      <c r="W718">
        <f>W717+0.5</f>
        <v/>
      </c>
    </row>
    <row r="719">
      <c r="E719">
        <f>O719=ROUND(708*0.1,10)</f>
        <v/>
      </c>
      <c r="F719">
        <f>P719=ROUND(708*0.2,10)</f>
        <v/>
      </c>
      <c r="G719">
        <f>Q719=ROUND(708*0.3,10)</f>
        <v/>
      </c>
      <c r="H719">
        <f>R719=ROUND(708*0.05,10)</f>
        <v/>
      </c>
      <c r="I719">
        <f>S719=ROUND(708*0.01,10)</f>
        <v/>
      </c>
      <c r="J719">
        <f>T719=ROUND(708*0.7,10)</f>
        <v/>
      </c>
      <c r="K719">
        <f>U719=ROUND(708*1.1,10)</f>
        <v/>
      </c>
      <c r="L719">
        <f>V719=ROUND(708*0.25,10)</f>
        <v/>
      </c>
      <c r="M719">
        <f>W719=ROUND(708*0.5,10)</f>
        <v/>
      </c>
      <c r="O719">
        <f>O718+0.1</f>
        <v/>
      </c>
      <c r="P719">
        <f>P718+0.2</f>
        <v/>
      </c>
      <c r="Q719">
        <f>Q718+0.3</f>
        <v/>
      </c>
      <c r="R719">
        <f>R718+0.05</f>
        <v/>
      </c>
      <c r="S719">
        <f>S718+0.01</f>
        <v/>
      </c>
      <c r="T719">
        <f>T718+0.7</f>
        <v/>
      </c>
      <c r="U719">
        <f>U718+1.1</f>
        <v/>
      </c>
      <c r="V719">
        <f>V718+0.25</f>
        <v/>
      </c>
      <c r="W719">
        <f>W718+0.5</f>
        <v/>
      </c>
    </row>
    <row r="720">
      <c r="E720">
        <f>O720=ROUND(709*0.1,10)</f>
        <v/>
      </c>
      <c r="F720">
        <f>P720=ROUND(709*0.2,10)</f>
        <v/>
      </c>
      <c r="G720">
        <f>Q720=ROUND(709*0.3,10)</f>
        <v/>
      </c>
      <c r="H720">
        <f>R720=ROUND(709*0.05,10)</f>
        <v/>
      </c>
      <c r="I720">
        <f>S720=ROUND(709*0.01,10)</f>
        <v/>
      </c>
      <c r="J720">
        <f>T720=ROUND(709*0.7,10)</f>
        <v/>
      </c>
      <c r="K720">
        <f>U720=ROUND(709*1.1,10)</f>
        <v/>
      </c>
      <c r="L720">
        <f>V720=ROUND(709*0.25,10)</f>
        <v/>
      </c>
      <c r="M720">
        <f>W720=ROUND(709*0.5,10)</f>
        <v/>
      </c>
      <c r="O720">
        <f>O719+0.1</f>
        <v/>
      </c>
      <c r="P720">
        <f>P719+0.2</f>
        <v/>
      </c>
      <c r="Q720">
        <f>Q719+0.3</f>
        <v/>
      </c>
      <c r="R720">
        <f>R719+0.05</f>
        <v/>
      </c>
      <c r="S720">
        <f>S719+0.01</f>
        <v/>
      </c>
      <c r="T720">
        <f>T719+0.7</f>
        <v/>
      </c>
      <c r="U720">
        <f>U719+1.1</f>
        <v/>
      </c>
      <c r="V720">
        <f>V719+0.25</f>
        <v/>
      </c>
      <c r="W720">
        <f>W719+0.5</f>
        <v/>
      </c>
    </row>
    <row r="721">
      <c r="E721">
        <f>O721=ROUND(710*0.1,10)</f>
        <v/>
      </c>
      <c r="F721">
        <f>P721=ROUND(710*0.2,10)</f>
        <v/>
      </c>
      <c r="G721">
        <f>Q721=ROUND(710*0.3,10)</f>
        <v/>
      </c>
      <c r="H721">
        <f>R721=ROUND(710*0.05,10)</f>
        <v/>
      </c>
      <c r="I721">
        <f>S721=ROUND(710*0.01,10)</f>
        <v/>
      </c>
      <c r="J721">
        <f>T721=ROUND(710*0.7,10)</f>
        <v/>
      </c>
      <c r="K721">
        <f>U721=ROUND(710*1.1,10)</f>
        <v/>
      </c>
      <c r="L721">
        <f>V721=ROUND(710*0.25,10)</f>
        <v/>
      </c>
      <c r="M721">
        <f>W721=ROUND(710*0.5,10)</f>
        <v/>
      </c>
      <c r="O721">
        <f>O720+0.1</f>
        <v/>
      </c>
      <c r="P721">
        <f>P720+0.2</f>
        <v/>
      </c>
      <c r="Q721">
        <f>Q720+0.3</f>
        <v/>
      </c>
      <c r="R721">
        <f>R720+0.05</f>
        <v/>
      </c>
      <c r="S721">
        <f>S720+0.01</f>
        <v/>
      </c>
      <c r="T721">
        <f>T720+0.7</f>
        <v/>
      </c>
      <c r="U721">
        <f>U720+1.1</f>
        <v/>
      </c>
      <c r="V721">
        <f>V720+0.25</f>
        <v/>
      </c>
      <c r="W721">
        <f>W720+0.5</f>
        <v/>
      </c>
    </row>
    <row r="722">
      <c r="E722">
        <f>O722=ROUND(711*0.1,10)</f>
        <v/>
      </c>
      <c r="F722">
        <f>P722=ROUND(711*0.2,10)</f>
        <v/>
      </c>
      <c r="G722">
        <f>Q722=ROUND(711*0.3,10)</f>
        <v/>
      </c>
      <c r="H722">
        <f>R722=ROUND(711*0.05,10)</f>
        <v/>
      </c>
      <c r="I722">
        <f>S722=ROUND(711*0.01,10)</f>
        <v/>
      </c>
      <c r="J722">
        <f>T722=ROUND(711*0.7,10)</f>
        <v/>
      </c>
      <c r="K722">
        <f>U722=ROUND(711*1.1,10)</f>
        <v/>
      </c>
      <c r="L722">
        <f>V722=ROUND(711*0.25,10)</f>
        <v/>
      </c>
      <c r="M722">
        <f>W722=ROUND(711*0.5,10)</f>
        <v/>
      </c>
      <c r="O722">
        <f>O721+0.1</f>
        <v/>
      </c>
      <c r="P722">
        <f>P721+0.2</f>
        <v/>
      </c>
      <c r="Q722">
        <f>Q721+0.3</f>
        <v/>
      </c>
      <c r="R722">
        <f>R721+0.05</f>
        <v/>
      </c>
      <c r="S722">
        <f>S721+0.01</f>
        <v/>
      </c>
      <c r="T722">
        <f>T721+0.7</f>
        <v/>
      </c>
      <c r="U722">
        <f>U721+1.1</f>
        <v/>
      </c>
      <c r="V722">
        <f>V721+0.25</f>
        <v/>
      </c>
      <c r="W722">
        <f>W721+0.5</f>
        <v/>
      </c>
    </row>
    <row r="723">
      <c r="E723">
        <f>O723=ROUND(712*0.1,10)</f>
        <v/>
      </c>
      <c r="F723">
        <f>P723=ROUND(712*0.2,10)</f>
        <v/>
      </c>
      <c r="G723">
        <f>Q723=ROUND(712*0.3,10)</f>
        <v/>
      </c>
      <c r="H723">
        <f>R723=ROUND(712*0.05,10)</f>
        <v/>
      </c>
      <c r="I723">
        <f>S723=ROUND(712*0.01,10)</f>
        <v/>
      </c>
      <c r="J723">
        <f>T723=ROUND(712*0.7,10)</f>
        <v/>
      </c>
      <c r="K723">
        <f>U723=ROUND(712*1.1,10)</f>
        <v/>
      </c>
      <c r="L723">
        <f>V723=ROUND(712*0.25,10)</f>
        <v/>
      </c>
      <c r="M723">
        <f>W723=ROUND(712*0.5,10)</f>
        <v/>
      </c>
      <c r="O723">
        <f>O722+0.1</f>
        <v/>
      </c>
      <c r="P723">
        <f>P722+0.2</f>
        <v/>
      </c>
      <c r="Q723">
        <f>Q722+0.3</f>
        <v/>
      </c>
      <c r="R723">
        <f>R722+0.05</f>
        <v/>
      </c>
      <c r="S723">
        <f>S722+0.01</f>
        <v/>
      </c>
      <c r="T723">
        <f>T722+0.7</f>
        <v/>
      </c>
      <c r="U723">
        <f>U722+1.1</f>
        <v/>
      </c>
      <c r="V723">
        <f>V722+0.25</f>
        <v/>
      </c>
      <c r="W723">
        <f>W722+0.5</f>
        <v/>
      </c>
    </row>
    <row r="724">
      <c r="E724">
        <f>O724=ROUND(713*0.1,10)</f>
        <v/>
      </c>
      <c r="F724">
        <f>P724=ROUND(713*0.2,10)</f>
        <v/>
      </c>
      <c r="G724">
        <f>Q724=ROUND(713*0.3,10)</f>
        <v/>
      </c>
      <c r="H724">
        <f>R724=ROUND(713*0.05,10)</f>
        <v/>
      </c>
      <c r="I724">
        <f>S724=ROUND(713*0.01,10)</f>
        <v/>
      </c>
      <c r="J724">
        <f>T724=ROUND(713*0.7,10)</f>
        <v/>
      </c>
      <c r="K724">
        <f>U724=ROUND(713*1.1,10)</f>
        <v/>
      </c>
      <c r="L724">
        <f>V724=ROUND(713*0.25,10)</f>
        <v/>
      </c>
      <c r="M724">
        <f>W724=ROUND(713*0.5,10)</f>
        <v/>
      </c>
      <c r="O724">
        <f>O723+0.1</f>
        <v/>
      </c>
      <c r="P724">
        <f>P723+0.2</f>
        <v/>
      </c>
      <c r="Q724">
        <f>Q723+0.3</f>
        <v/>
      </c>
      <c r="R724">
        <f>R723+0.05</f>
        <v/>
      </c>
      <c r="S724">
        <f>S723+0.01</f>
        <v/>
      </c>
      <c r="T724">
        <f>T723+0.7</f>
        <v/>
      </c>
      <c r="U724">
        <f>U723+1.1</f>
        <v/>
      </c>
      <c r="V724">
        <f>V723+0.25</f>
        <v/>
      </c>
      <c r="W724">
        <f>W723+0.5</f>
        <v/>
      </c>
    </row>
    <row r="725">
      <c r="E725">
        <f>O725=ROUND(714*0.1,10)</f>
        <v/>
      </c>
      <c r="F725">
        <f>P725=ROUND(714*0.2,10)</f>
        <v/>
      </c>
      <c r="G725">
        <f>Q725=ROUND(714*0.3,10)</f>
        <v/>
      </c>
      <c r="H725">
        <f>R725=ROUND(714*0.05,10)</f>
        <v/>
      </c>
      <c r="I725">
        <f>S725=ROUND(714*0.01,10)</f>
        <v/>
      </c>
      <c r="J725">
        <f>T725=ROUND(714*0.7,10)</f>
        <v/>
      </c>
      <c r="K725">
        <f>U725=ROUND(714*1.1,10)</f>
        <v/>
      </c>
      <c r="L725">
        <f>V725=ROUND(714*0.25,10)</f>
        <v/>
      </c>
      <c r="M725">
        <f>W725=ROUND(714*0.5,10)</f>
        <v/>
      </c>
      <c r="O725">
        <f>O724+0.1</f>
        <v/>
      </c>
      <c r="P725">
        <f>P724+0.2</f>
        <v/>
      </c>
      <c r="Q725">
        <f>Q724+0.3</f>
        <v/>
      </c>
      <c r="R725">
        <f>R724+0.05</f>
        <v/>
      </c>
      <c r="S725">
        <f>S724+0.01</f>
        <v/>
      </c>
      <c r="T725">
        <f>T724+0.7</f>
        <v/>
      </c>
      <c r="U725">
        <f>U724+1.1</f>
        <v/>
      </c>
      <c r="V725">
        <f>V724+0.25</f>
        <v/>
      </c>
      <c r="W725">
        <f>W724+0.5</f>
        <v/>
      </c>
    </row>
    <row r="726">
      <c r="E726">
        <f>O726=ROUND(715*0.1,10)</f>
        <v/>
      </c>
      <c r="F726">
        <f>P726=ROUND(715*0.2,10)</f>
        <v/>
      </c>
      <c r="G726">
        <f>Q726=ROUND(715*0.3,10)</f>
        <v/>
      </c>
      <c r="H726">
        <f>R726=ROUND(715*0.05,10)</f>
        <v/>
      </c>
      <c r="I726">
        <f>S726=ROUND(715*0.01,10)</f>
        <v/>
      </c>
      <c r="J726">
        <f>T726=ROUND(715*0.7,10)</f>
        <v/>
      </c>
      <c r="K726">
        <f>U726=ROUND(715*1.1,10)</f>
        <v/>
      </c>
      <c r="L726">
        <f>V726=ROUND(715*0.25,10)</f>
        <v/>
      </c>
      <c r="M726">
        <f>W726=ROUND(715*0.5,10)</f>
        <v/>
      </c>
      <c r="O726">
        <f>O725+0.1</f>
        <v/>
      </c>
      <c r="P726">
        <f>P725+0.2</f>
        <v/>
      </c>
      <c r="Q726">
        <f>Q725+0.3</f>
        <v/>
      </c>
      <c r="R726">
        <f>R725+0.05</f>
        <v/>
      </c>
      <c r="S726">
        <f>S725+0.01</f>
        <v/>
      </c>
      <c r="T726">
        <f>T725+0.7</f>
        <v/>
      </c>
      <c r="U726">
        <f>U725+1.1</f>
        <v/>
      </c>
      <c r="V726">
        <f>V725+0.25</f>
        <v/>
      </c>
      <c r="W726">
        <f>W725+0.5</f>
        <v/>
      </c>
    </row>
    <row r="727">
      <c r="E727">
        <f>O727=ROUND(716*0.1,10)</f>
        <v/>
      </c>
      <c r="F727">
        <f>P727=ROUND(716*0.2,10)</f>
        <v/>
      </c>
      <c r="G727">
        <f>Q727=ROUND(716*0.3,10)</f>
        <v/>
      </c>
      <c r="H727">
        <f>R727=ROUND(716*0.05,10)</f>
        <v/>
      </c>
      <c r="I727">
        <f>S727=ROUND(716*0.01,10)</f>
        <v/>
      </c>
      <c r="J727">
        <f>T727=ROUND(716*0.7,10)</f>
        <v/>
      </c>
      <c r="K727">
        <f>U727=ROUND(716*1.1,10)</f>
        <v/>
      </c>
      <c r="L727">
        <f>V727=ROUND(716*0.25,10)</f>
        <v/>
      </c>
      <c r="M727">
        <f>W727=ROUND(716*0.5,10)</f>
        <v/>
      </c>
      <c r="O727">
        <f>O726+0.1</f>
        <v/>
      </c>
      <c r="P727">
        <f>P726+0.2</f>
        <v/>
      </c>
      <c r="Q727">
        <f>Q726+0.3</f>
        <v/>
      </c>
      <c r="R727">
        <f>R726+0.05</f>
        <v/>
      </c>
      <c r="S727">
        <f>S726+0.01</f>
        <v/>
      </c>
      <c r="T727">
        <f>T726+0.7</f>
        <v/>
      </c>
      <c r="U727">
        <f>U726+1.1</f>
        <v/>
      </c>
      <c r="V727">
        <f>V726+0.25</f>
        <v/>
      </c>
      <c r="W727">
        <f>W726+0.5</f>
        <v/>
      </c>
    </row>
    <row r="728">
      <c r="E728">
        <f>O728=ROUND(717*0.1,10)</f>
        <v/>
      </c>
      <c r="F728">
        <f>P728=ROUND(717*0.2,10)</f>
        <v/>
      </c>
      <c r="G728">
        <f>Q728=ROUND(717*0.3,10)</f>
        <v/>
      </c>
      <c r="H728">
        <f>R728=ROUND(717*0.05,10)</f>
        <v/>
      </c>
      <c r="I728">
        <f>S728=ROUND(717*0.01,10)</f>
        <v/>
      </c>
      <c r="J728">
        <f>T728=ROUND(717*0.7,10)</f>
        <v/>
      </c>
      <c r="K728">
        <f>U728=ROUND(717*1.1,10)</f>
        <v/>
      </c>
      <c r="L728">
        <f>V728=ROUND(717*0.25,10)</f>
        <v/>
      </c>
      <c r="M728">
        <f>W728=ROUND(717*0.5,10)</f>
        <v/>
      </c>
      <c r="O728">
        <f>O727+0.1</f>
        <v/>
      </c>
      <c r="P728">
        <f>P727+0.2</f>
        <v/>
      </c>
      <c r="Q728">
        <f>Q727+0.3</f>
        <v/>
      </c>
      <c r="R728">
        <f>R727+0.05</f>
        <v/>
      </c>
      <c r="S728">
        <f>S727+0.01</f>
        <v/>
      </c>
      <c r="T728">
        <f>T727+0.7</f>
        <v/>
      </c>
      <c r="U728">
        <f>U727+1.1</f>
        <v/>
      </c>
      <c r="V728">
        <f>V727+0.25</f>
        <v/>
      </c>
      <c r="W728">
        <f>W727+0.5</f>
        <v/>
      </c>
    </row>
    <row r="729">
      <c r="E729">
        <f>O729=ROUND(718*0.1,10)</f>
        <v/>
      </c>
      <c r="F729">
        <f>P729=ROUND(718*0.2,10)</f>
        <v/>
      </c>
      <c r="G729">
        <f>Q729=ROUND(718*0.3,10)</f>
        <v/>
      </c>
      <c r="H729">
        <f>R729=ROUND(718*0.05,10)</f>
        <v/>
      </c>
      <c r="I729">
        <f>S729=ROUND(718*0.01,10)</f>
        <v/>
      </c>
      <c r="J729">
        <f>T729=ROUND(718*0.7,10)</f>
        <v/>
      </c>
      <c r="K729">
        <f>U729=ROUND(718*1.1,10)</f>
        <v/>
      </c>
      <c r="L729">
        <f>V729=ROUND(718*0.25,10)</f>
        <v/>
      </c>
      <c r="M729">
        <f>W729=ROUND(718*0.5,10)</f>
        <v/>
      </c>
      <c r="O729">
        <f>O728+0.1</f>
        <v/>
      </c>
      <c r="P729">
        <f>P728+0.2</f>
        <v/>
      </c>
      <c r="Q729">
        <f>Q728+0.3</f>
        <v/>
      </c>
      <c r="R729">
        <f>R728+0.05</f>
        <v/>
      </c>
      <c r="S729">
        <f>S728+0.01</f>
        <v/>
      </c>
      <c r="T729">
        <f>T728+0.7</f>
        <v/>
      </c>
      <c r="U729">
        <f>U728+1.1</f>
        <v/>
      </c>
      <c r="V729">
        <f>V728+0.25</f>
        <v/>
      </c>
      <c r="W729">
        <f>W728+0.5</f>
        <v/>
      </c>
    </row>
    <row r="730">
      <c r="E730">
        <f>O730=ROUND(719*0.1,10)</f>
        <v/>
      </c>
      <c r="F730">
        <f>P730=ROUND(719*0.2,10)</f>
        <v/>
      </c>
      <c r="G730">
        <f>Q730=ROUND(719*0.3,10)</f>
        <v/>
      </c>
      <c r="H730">
        <f>R730=ROUND(719*0.05,10)</f>
        <v/>
      </c>
      <c r="I730">
        <f>S730=ROUND(719*0.01,10)</f>
        <v/>
      </c>
      <c r="J730">
        <f>T730=ROUND(719*0.7,10)</f>
        <v/>
      </c>
      <c r="K730">
        <f>U730=ROUND(719*1.1,10)</f>
        <v/>
      </c>
      <c r="L730">
        <f>V730=ROUND(719*0.25,10)</f>
        <v/>
      </c>
      <c r="M730">
        <f>W730=ROUND(719*0.5,10)</f>
        <v/>
      </c>
      <c r="O730">
        <f>O729+0.1</f>
        <v/>
      </c>
      <c r="P730">
        <f>P729+0.2</f>
        <v/>
      </c>
      <c r="Q730">
        <f>Q729+0.3</f>
        <v/>
      </c>
      <c r="R730">
        <f>R729+0.05</f>
        <v/>
      </c>
      <c r="S730">
        <f>S729+0.01</f>
        <v/>
      </c>
      <c r="T730">
        <f>T729+0.7</f>
        <v/>
      </c>
      <c r="U730">
        <f>U729+1.1</f>
        <v/>
      </c>
      <c r="V730">
        <f>V729+0.25</f>
        <v/>
      </c>
      <c r="W730">
        <f>W729+0.5</f>
        <v/>
      </c>
    </row>
    <row r="731">
      <c r="E731">
        <f>O731=ROUND(720*0.1,10)</f>
        <v/>
      </c>
      <c r="F731">
        <f>P731=ROUND(720*0.2,10)</f>
        <v/>
      </c>
      <c r="G731">
        <f>Q731=ROUND(720*0.3,10)</f>
        <v/>
      </c>
      <c r="H731">
        <f>R731=ROUND(720*0.05,10)</f>
        <v/>
      </c>
      <c r="I731">
        <f>S731=ROUND(720*0.01,10)</f>
        <v/>
      </c>
      <c r="J731">
        <f>T731=ROUND(720*0.7,10)</f>
        <v/>
      </c>
      <c r="K731">
        <f>U731=ROUND(720*1.1,10)</f>
        <v/>
      </c>
      <c r="L731">
        <f>V731=ROUND(720*0.25,10)</f>
        <v/>
      </c>
      <c r="M731">
        <f>W731=ROUND(720*0.5,10)</f>
        <v/>
      </c>
      <c r="O731">
        <f>O730+0.1</f>
        <v/>
      </c>
      <c r="P731">
        <f>P730+0.2</f>
        <v/>
      </c>
      <c r="Q731">
        <f>Q730+0.3</f>
        <v/>
      </c>
      <c r="R731">
        <f>R730+0.05</f>
        <v/>
      </c>
      <c r="S731">
        <f>S730+0.01</f>
        <v/>
      </c>
      <c r="T731">
        <f>T730+0.7</f>
        <v/>
      </c>
      <c r="U731">
        <f>U730+1.1</f>
        <v/>
      </c>
      <c r="V731">
        <f>V730+0.25</f>
        <v/>
      </c>
      <c r="W731">
        <f>W730+0.5</f>
        <v/>
      </c>
    </row>
    <row r="732">
      <c r="E732">
        <f>O732=ROUND(721*0.1,10)</f>
        <v/>
      </c>
      <c r="F732">
        <f>P732=ROUND(721*0.2,10)</f>
        <v/>
      </c>
      <c r="G732">
        <f>Q732=ROUND(721*0.3,10)</f>
        <v/>
      </c>
      <c r="H732">
        <f>R732=ROUND(721*0.05,10)</f>
        <v/>
      </c>
      <c r="I732">
        <f>S732=ROUND(721*0.01,10)</f>
        <v/>
      </c>
      <c r="J732">
        <f>T732=ROUND(721*0.7,10)</f>
        <v/>
      </c>
      <c r="K732">
        <f>U732=ROUND(721*1.1,10)</f>
        <v/>
      </c>
      <c r="L732">
        <f>V732=ROUND(721*0.25,10)</f>
        <v/>
      </c>
      <c r="M732">
        <f>W732=ROUND(721*0.5,10)</f>
        <v/>
      </c>
      <c r="O732">
        <f>O731+0.1</f>
        <v/>
      </c>
      <c r="P732">
        <f>P731+0.2</f>
        <v/>
      </c>
      <c r="Q732">
        <f>Q731+0.3</f>
        <v/>
      </c>
      <c r="R732">
        <f>R731+0.05</f>
        <v/>
      </c>
      <c r="S732">
        <f>S731+0.01</f>
        <v/>
      </c>
      <c r="T732">
        <f>T731+0.7</f>
        <v/>
      </c>
      <c r="U732">
        <f>U731+1.1</f>
        <v/>
      </c>
      <c r="V732">
        <f>V731+0.25</f>
        <v/>
      </c>
      <c r="W732">
        <f>W731+0.5</f>
        <v/>
      </c>
    </row>
    <row r="733">
      <c r="E733">
        <f>O733=ROUND(722*0.1,10)</f>
        <v/>
      </c>
      <c r="F733">
        <f>P733=ROUND(722*0.2,10)</f>
        <v/>
      </c>
      <c r="G733">
        <f>Q733=ROUND(722*0.3,10)</f>
        <v/>
      </c>
      <c r="H733">
        <f>R733=ROUND(722*0.05,10)</f>
        <v/>
      </c>
      <c r="I733">
        <f>S733=ROUND(722*0.01,10)</f>
        <v/>
      </c>
      <c r="J733">
        <f>T733=ROUND(722*0.7,10)</f>
        <v/>
      </c>
      <c r="K733">
        <f>U733=ROUND(722*1.1,10)</f>
        <v/>
      </c>
      <c r="L733">
        <f>V733=ROUND(722*0.25,10)</f>
        <v/>
      </c>
      <c r="M733">
        <f>W733=ROUND(722*0.5,10)</f>
        <v/>
      </c>
      <c r="O733">
        <f>O732+0.1</f>
        <v/>
      </c>
      <c r="P733">
        <f>P732+0.2</f>
        <v/>
      </c>
      <c r="Q733">
        <f>Q732+0.3</f>
        <v/>
      </c>
      <c r="R733">
        <f>R732+0.05</f>
        <v/>
      </c>
      <c r="S733">
        <f>S732+0.01</f>
        <v/>
      </c>
      <c r="T733">
        <f>T732+0.7</f>
        <v/>
      </c>
      <c r="U733">
        <f>U732+1.1</f>
        <v/>
      </c>
      <c r="V733">
        <f>V732+0.25</f>
        <v/>
      </c>
      <c r="W733">
        <f>W732+0.5</f>
        <v/>
      </c>
    </row>
    <row r="734">
      <c r="E734">
        <f>O734=ROUND(723*0.1,10)</f>
        <v/>
      </c>
      <c r="F734">
        <f>P734=ROUND(723*0.2,10)</f>
        <v/>
      </c>
      <c r="G734">
        <f>Q734=ROUND(723*0.3,10)</f>
        <v/>
      </c>
      <c r="H734">
        <f>R734=ROUND(723*0.05,10)</f>
        <v/>
      </c>
      <c r="I734">
        <f>S734=ROUND(723*0.01,10)</f>
        <v/>
      </c>
      <c r="J734">
        <f>T734=ROUND(723*0.7,10)</f>
        <v/>
      </c>
      <c r="K734">
        <f>U734=ROUND(723*1.1,10)</f>
        <v/>
      </c>
      <c r="L734">
        <f>V734=ROUND(723*0.25,10)</f>
        <v/>
      </c>
      <c r="M734">
        <f>W734=ROUND(723*0.5,10)</f>
        <v/>
      </c>
      <c r="O734">
        <f>O733+0.1</f>
        <v/>
      </c>
      <c r="P734">
        <f>P733+0.2</f>
        <v/>
      </c>
      <c r="Q734">
        <f>Q733+0.3</f>
        <v/>
      </c>
      <c r="R734">
        <f>R733+0.05</f>
        <v/>
      </c>
      <c r="S734">
        <f>S733+0.01</f>
        <v/>
      </c>
      <c r="T734">
        <f>T733+0.7</f>
        <v/>
      </c>
      <c r="U734">
        <f>U733+1.1</f>
        <v/>
      </c>
      <c r="V734">
        <f>V733+0.25</f>
        <v/>
      </c>
      <c r="W734">
        <f>W733+0.5</f>
        <v/>
      </c>
    </row>
    <row r="735">
      <c r="E735">
        <f>O735=ROUND(724*0.1,10)</f>
        <v/>
      </c>
      <c r="F735">
        <f>P735=ROUND(724*0.2,10)</f>
        <v/>
      </c>
      <c r="G735">
        <f>Q735=ROUND(724*0.3,10)</f>
        <v/>
      </c>
      <c r="H735">
        <f>R735=ROUND(724*0.05,10)</f>
        <v/>
      </c>
      <c r="I735">
        <f>S735=ROUND(724*0.01,10)</f>
        <v/>
      </c>
      <c r="J735">
        <f>T735=ROUND(724*0.7,10)</f>
        <v/>
      </c>
      <c r="K735">
        <f>U735=ROUND(724*1.1,10)</f>
        <v/>
      </c>
      <c r="L735">
        <f>V735=ROUND(724*0.25,10)</f>
        <v/>
      </c>
      <c r="M735">
        <f>W735=ROUND(724*0.5,10)</f>
        <v/>
      </c>
      <c r="O735">
        <f>O734+0.1</f>
        <v/>
      </c>
      <c r="P735">
        <f>P734+0.2</f>
        <v/>
      </c>
      <c r="Q735">
        <f>Q734+0.3</f>
        <v/>
      </c>
      <c r="R735">
        <f>R734+0.05</f>
        <v/>
      </c>
      <c r="S735">
        <f>S734+0.01</f>
        <v/>
      </c>
      <c r="T735">
        <f>T734+0.7</f>
        <v/>
      </c>
      <c r="U735">
        <f>U734+1.1</f>
        <v/>
      </c>
      <c r="V735">
        <f>V734+0.25</f>
        <v/>
      </c>
      <c r="W735">
        <f>W734+0.5</f>
        <v/>
      </c>
    </row>
    <row r="736">
      <c r="E736">
        <f>O736=ROUND(725*0.1,10)</f>
        <v/>
      </c>
      <c r="F736">
        <f>P736=ROUND(725*0.2,10)</f>
        <v/>
      </c>
      <c r="G736">
        <f>Q736=ROUND(725*0.3,10)</f>
        <v/>
      </c>
      <c r="H736">
        <f>R736=ROUND(725*0.05,10)</f>
        <v/>
      </c>
      <c r="I736">
        <f>S736=ROUND(725*0.01,10)</f>
        <v/>
      </c>
      <c r="J736">
        <f>T736=ROUND(725*0.7,10)</f>
        <v/>
      </c>
      <c r="K736">
        <f>U736=ROUND(725*1.1,10)</f>
        <v/>
      </c>
      <c r="L736">
        <f>V736=ROUND(725*0.25,10)</f>
        <v/>
      </c>
      <c r="M736">
        <f>W736=ROUND(725*0.5,10)</f>
        <v/>
      </c>
      <c r="O736">
        <f>O735+0.1</f>
        <v/>
      </c>
      <c r="P736">
        <f>P735+0.2</f>
        <v/>
      </c>
      <c r="Q736">
        <f>Q735+0.3</f>
        <v/>
      </c>
      <c r="R736">
        <f>R735+0.05</f>
        <v/>
      </c>
      <c r="S736">
        <f>S735+0.01</f>
        <v/>
      </c>
      <c r="T736">
        <f>T735+0.7</f>
        <v/>
      </c>
      <c r="U736">
        <f>U735+1.1</f>
        <v/>
      </c>
      <c r="V736">
        <f>V735+0.25</f>
        <v/>
      </c>
      <c r="W736">
        <f>W735+0.5</f>
        <v/>
      </c>
    </row>
    <row r="737">
      <c r="E737">
        <f>O737=ROUND(726*0.1,10)</f>
        <v/>
      </c>
      <c r="F737">
        <f>P737=ROUND(726*0.2,10)</f>
        <v/>
      </c>
      <c r="G737">
        <f>Q737=ROUND(726*0.3,10)</f>
        <v/>
      </c>
      <c r="H737">
        <f>R737=ROUND(726*0.05,10)</f>
        <v/>
      </c>
      <c r="I737">
        <f>S737=ROUND(726*0.01,10)</f>
        <v/>
      </c>
      <c r="J737">
        <f>T737=ROUND(726*0.7,10)</f>
        <v/>
      </c>
      <c r="K737">
        <f>U737=ROUND(726*1.1,10)</f>
        <v/>
      </c>
      <c r="L737">
        <f>V737=ROUND(726*0.25,10)</f>
        <v/>
      </c>
      <c r="M737">
        <f>W737=ROUND(726*0.5,10)</f>
        <v/>
      </c>
      <c r="O737">
        <f>O736+0.1</f>
        <v/>
      </c>
      <c r="P737">
        <f>P736+0.2</f>
        <v/>
      </c>
      <c r="Q737">
        <f>Q736+0.3</f>
        <v/>
      </c>
      <c r="R737">
        <f>R736+0.05</f>
        <v/>
      </c>
      <c r="S737">
        <f>S736+0.01</f>
        <v/>
      </c>
      <c r="T737">
        <f>T736+0.7</f>
        <v/>
      </c>
      <c r="U737">
        <f>U736+1.1</f>
        <v/>
      </c>
      <c r="V737">
        <f>V736+0.25</f>
        <v/>
      </c>
      <c r="W737">
        <f>W736+0.5</f>
        <v/>
      </c>
    </row>
    <row r="738">
      <c r="E738">
        <f>O738=ROUND(727*0.1,10)</f>
        <v/>
      </c>
      <c r="F738">
        <f>P738=ROUND(727*0.2,10)</f>
        <v/>
      </c>
      <c r="G738">
        <f>Q738=ROUND(727*0.3,10)</f>
        <v/>
      </c>
      <c r="H738">
        <f>R738=ROUND(727*0.05,10)</f>
        <v/>
      </c>
      <c r="I738">
        <f>S738=ROUND(727*0.01,10)</f>
        <v/>
      </c>
      <c r="J738">
        <f>T738=ROUND(727*0.7,10)</f>
        <v/>
      </c>
      <c r="K738">
        <f>U738=ROUND(727*1.1,10)</f>
        <v/>
      </c>
      <c r="L738">
        <f>V738=ROUND(727*0.25,10)</f>
        <v/>
      </c>
      <c r="M738">
        <f>W738=ROUND(727*0.5,10)</f>
        <v/>
      </c>
      <c r="O738">
        <f>O737+0.1</f>
        <v/>
      </c>
      <c r="P738">
        <f>P737+0.2</f>
        <v/>
      </c>
      <c r="Q738">
        <f>Q737+0.3</f>
        <v/>
      </c>
      <c r="R738">
        <f>R737+0.05</f>
        <v/>
      </c>
      <c r="S738">
        <f>S737+0.01</f>
        <v/>
      </c>
      <c r="T738">
        <f>T737+0.7</f>
        <v/>
      </c>
      <c r="U738">
        <f>U737+1.1</f>
        <v/>
      </c>
      <c r="V738">
        <f>V737+0.25</f>
        <v/>
      </c>
      <c r="W738">
        <f>W737+0.5</f>
        <v/>
      </c>
    </row>
    <row r="739">
      <c r="E739">
        <f>O739=ROUND(728*0.1,10)</f>
        <v/>
      </c>
      <c r="F739">
        <f>P739=ROUND(728*0.2,10)</f>
        <v/>
      </c>
      <c r="G739">
        <f>Q739=ROUND(728*0.3,10)</f>
        <v/>
      </c>
      <c r="H739">
        <f>R739=ROUND(728*0.05,10)</f>
        <v/>
      </c>
      <c r="I739">
        <f>S739=ROUND(728*0.01,10)</f>
        <v/>
      </c>
      <c r="J739">
        <f>T739=ROUND(728*0.7,10)</f>
        <v/>
      </c>
      <c r="K739">
        <f>U739=ROUND(728*1.1,10)</f>
        <v/>
      </c>
      <c r="L739">
        <f>V739=ROUND(728*0.25,10)</f>
        <v/>
      </c>
      <c r="M739">
        <f>W739=ROUND(728*0.5,10)</f>
        <v/>
      </c>
      <c r="O739">
        <f>O738+0.1</f>
        <v/>
      </c>
      <c r="P739">
        <f>P738+0.2</f>
        <v/>
      </c>
      <c r="Q739">
        <f>Q738+0.3</f>
        <v/>
      </c>
      <c r="R739">
        <f>R738+0.05</f>
        <v/>
      </c>
      <c r="S739">
        <f>S738+0.01</f>
        <v/>
      </c>
      <c r="T739">
        <f>T738+0.7</f>
        <v/>
      </c>
      <c r="U739">
        <f>U738+1.1</f>
        <v/>
      </c>
      <c r="V739">
        <f>V738+0.25</f>
        <v/>
      </c>
      <c r="W739">
        <f>W738+0.5</f>
        <v/>
      </c>
    </row>
    <row r="740">
      <c r="E740">
        <f>O740=ROUND(729*0.1,10)</f>
        <v/>
      </c>
      <c r="F740">
        <f>P740=ROUND(729*0.2,10)</f>
        <v/>
      </c>
      <c r="G740">
        <f>Q740=ROUND(729*0.3,10)</f>
        <v/>
      </c>
      <c r="H740">
        <f>R740=ROUND(729*0.05,10)</f>
        <v/>
      </c>
      <c r="I740">
        <f>S740=ROUND(729*0.01,10)</f>
        <v/>
      </c>
      <c r="J740">
        <f>T740=ROUND(729*0.7,10)</f>
        <v/>
      </c>
      <c r="K740">
        <f>U740=ROUND(729*1.1,10)</f>
        <v/>
      </c>
      <c r="L740">
        <f>V740=ROUND(729*0.25,10)</f>
        <v/>
      </c>
      <c r="M740">
        <f>W740=ROUND(729*0.5,10)</f>
        <v/>
      </c>
      <c r="O740">
        <f>O739+0.1</f>
        <v/>
      </c>
      <c r="P740">
        <f>P739+0.2</f>
        <v/>
      </c>
      <c r="Q740">
        <f>Q739+0.3</f>
        <v/>
      </c>
      <c r="R740">
        <f>R739+0.05</f>
        <v/>
      </c>
      <c r="S740">
        <f>S739+0.01</f>
        <v/>
      </c>
      <c r="T740">
        <f>T739+0.7</f>
        <v/>
      </c>
      <c r="U740">
        <f>U739+1.1</f>
        <v/>
      </c>
      <c r="V740">
        <f>V739+0.25</f>
        <v/>
      </c>
      <c r="W740">
        <f>W739+0.5</f>
        <v/>
      </c>
    </row>
    <row r="741">
      <c r="E741">
        <f>O741=ROUND(730*0.1,10)</f>
        <v/>
      </c>
      <c r="F741">
        <f>P741=ROUND(730*0.2,10)</f>
        <v/>
      </c>
      <c r="G741">
        <f>Q741=ROUND(730*0.3,10)</f>
        <v/>
      </c>
      <c r="H741">
        <f>R741=ROUND(730*0.05,10)</f>
        <v/>
      </c>
      <c r="I741">
        <f>S741=ROUND(730*0.01,10)</f>
        <v/>
      </c>
      <c r="J741">
        <f>T741=ROUND(730*0.7,10)</f>
        <v/>
      </c>
      <c r="K741">
        <f>U741=ROUND(730*1.1,10)</f>
        <v/>
      </c>
      <c r="L741">
        <f>V741=ROUND(730*0.25,10)</f>
        <v/>
      </c>
      <c r="M741">
        <f>W741=ROUND(730*0.5,10)</f>
        <v/>
      </c>
      <c r="O741">
        <f>O740+0.1</f>
        <v/>
      </c>
      <c r="P741">
        <f>P740+0.2</f>
        <v/>
      </c>
      <c r="Q741">
        <f>Q740+0.3</f>
        <v/>
      </c>
      <c r="R741">
        <f>R740+0.05</f>
        <v/>
      </c>
      <c r="S741">
        <f>S740+0.01</f>
        <v/>
      </c>
      <c r="T741">
        <f>T740+0.7</f>
        <v/>
      </c>
      <c r="U741">
        <f>U740+1.1</f>
        <v/>
      </c>
      <c r="V741">
        <f>V740+0.25</f>
        <v/>
      </c>
      <c r="W741">
        <f>W740+0.5</f>
        <v/>
      </c>
    </row>
    <row r="742">
      <c r="E742">
        <f>O742=ROUND(731*0.1,10)</f>
        <v/>
      </c>
      <c r="F742">
        <f>P742=ROUND(731*0.2,10)</f>
        <v/>
      </c>
      <c r="G742">
        <f>Q742=ROUND(731*0.3,10)</f>
        <v/>
      </c>
      <c r="H742">
        <f>R742=ROUND(731*0.05,10)</f>
        <v/>
      </c>
      <c r="I742">
        <f>S742=ROUND(731*0.01,10)</f>
        <v/>
      </c>
      <c r="J742">
        <f>T742=ROUND(731*0.7,10)</f>
        <v/>
      </c>
      <c r="K742">
        <f>U742=ROUND(731*1.1,10)</f>
        <v/>
      </c>
      <c r="L742">
        <f>V742=ROUND(731*0.25,10)</f>
        <v/>
      </c>
      <c r="M742">
        <f>W742=ROUND(731*0.5,10)</f>
        <v/>
      </c>
      <c r="O742">
        <f>O741+0.1</f>
        <v/>
      </c>
      <c r="P742">
        <f>P741+0.2</f>
        <v/>
      </c>
      <c r="Q742">
        <f>Q741+0.3</f>
        <v/>
      </c>
      <c r="R742">
        <f>R741+0.05</f>
        <v/>
      </c>
      <c r="S742">
        <f>S741+0.01</f>
        <v/>
      </c>
      <c r="T742">
        <f>T741+0.7</f>
        <v/>
      </c>
      <c r="U742">
        <f>U741+1.1</f>
        <v/>
      </c>
      <c r="V742">
        <f>V741+0.25</f>
        <v/>
      </c>
      <c r="W742">
        <f>W741+0.5</f>
        <v/>
      </c>
    </row>
    <row r="743">
      <c r="E743">
        <f>O743=ROUND(732*0.1,10)</f>
        <v/>
      </c>
      <c r="F743">
        <f>P743=ROUND(732*0.2,10)</f>
        <v/>
      </c>
      <c r="G743">
        <f>Q743=ROUND(732*0.3,10)</f>
        <v/>
      </c>
      <c r="H743">
        <f>R743=ROUND(732*0.05,10)</f>
        <v/>
      </c>
      <c r="I743">
        <f>S743=ROUND(732*0.01,10)</f>
        <v/>
      </c>
      <c r="J743">
        <f>T743=ROUND(732*0.7,10)</f>
        <v/>
      </c>
      <c r="K743">
        <f>U743=ROUND(732*1.1,10)</f>
        <v/>
      </c>
      <c r="L743">
        <f>V743=ROUND(732*0.25,10)</f>
        <v/>
      </c>
      <c r="M743">
        <f>W743=ROUND(732*0.5,10)</f>
        <v/>
      </c>
      <c r="O743">
        <f>O742+0.1</f>
        <v/>
      </c>
      <c r="P743">
        <f>P742+0.2</f>
        <v/>
      </c>
      <c r="Q743">
        <f>Q742+0.3</f>
        <v/>
      </c>
      <c r="R743">
        <f>R742+0.05</f>
        <v/>
      </c>
      <c r="S743">
        <f>S742+0.01</f>
        <v/>
      </c>
      <c r="T743">
        <f>T742+0.7</f>
        <v/>
      </c>
      <c r="U743">
        <f>U742+1.1</f>
        <v/>
      </c>
      <c r="V743">
        <f>V742+0.25</f>
        <v/>
      </c>
      <c r="W743">
        <f>W742+0.5</f>
        <v/>
      </c>
    </row>
    <row r="744">
      <c r="E744">
        <f>O744=ROUND(733*0.1,10)</f>
        <v/>
      </c>
      <c r="F744">
        <f>P744=ROUND(733*0.2,10)</f>
        <v/>
      </c>
      <c r="G744">
        <f>Q744=ROUND(733*0.3,10)</f>
        <v/>
      </c>
      <c r="H744">
        <f>R744=ROUND(733*0.05,10)</f>
        <v/>
      </c>
      <c r="I744">
        <f>S744=ROUND(733*0.01,10)</f>
        <v/>
      </c>
      <c r="J744">
        <f>T744=ROUND(733*0.7,10)</f>
        <v/>
      </c>
      <c r="K744">
        <f>U744=ROUND(733*1.1,10)</f>
        <v/>
      </c>
      <c r="L744">
        <f>V744=ROUND(733*0.25,10)</f>
        <v/>
      </c>
      <c r="M744">
        <f>W744=ROUND(733*0.5,10)</f>
        <v/>
      </c>
      <c r="O744">
        <f>O743+0.1</f>
        <v/>
      </c>
      <c r="P744">
        <f>P743+0.2</f>
        <v/>
      </c>
      <c r="Q744">
        <f>Q743+0.3</f>
        <v/>
      </c>
      <c r="R744">
        <f>R743+0.05</f>
        <v/>
      </c>
      <c r="S744">
        <f>S743+0.01</f>
        <v/>
      </c>
      <c r="T744">
        <f>T743+0.7</f>
        <v/>
      </c>
      <c r="U744">
        <f>U743+1.1</f>
        <v/>
      </c>
      <c r="V744">
        <f>V743+0.25</f>
        <v/>
      </c>
      <c r="W744">
        <f>W743+0.5</f>
        <v/>
      </c>
    </row>
    <row r="745">
      <c r="E745">
        <f>O745=ROUND(734*0.1,10)</f>
        <v/>
      </c>
      <c r="F745">
        <f>P745=ROUND(734*0.2,10)</f>
        <v/>
      </c>
      <c r="G745">
        <f>Q745=ROUND(734*0.3,10)</f>
        <v/>
      </c>
      <c r="H745">
        <f>R745=ROUND(734*0.05,10)</f>
        <v/>
      </c>
      <c r="I745">
        <f>S745=ROUND(734*0.01,10)</f>
        <v/>
      </c>
      <c r="J745">
        <f>T745=ROUND(734*0.7,10)</f>
        <v/>
      </c>
      <c r="K745">
        <f>U745=ROUND(734*1.1,10)</f>
        <v/>
      </c>
      <c r="L745">
        <f>V745=ROUND(734*0.25,10)</f>
        <v/>
      </c>
      <c r="M745">
        <f>W745=ROUND(734*0.5,10)</f>
        <v/>
      </c>
      <c r="O745">
        <f>O744+0.1</f>
        <v/>
      </c>
      <c r="P745">
        <f>P744+0.2</f>
        <v/>
      </c>
      <c r="Q745">
        <f>Q744+0.3</f>
        <v/>
      </c>
      <c r="R745">
        <f>R744+0.05</f>
        <v/>
      </c>
      <c r="S745">
        <f>S744+0.01</f>
        <v/>
      </c>
      <c r="T745">
        <f>T744+0.7</f>
        <v/>
      </c>
      <c r="U745">
        <f>U744+1.1</f>
        <v/>
      </c>
      <c r="V745">
        <f>V744+0.25</f>
        <v/>
      </c>
      <c r="W745">
        <f>W744+0.5</f>
        <v/>
      </c>
    </row>
    <row r="746">
      <c r="E746">
        <f>O746=ROUND(735*0.1,10)</f>
        <v/>
      </c>
      <c r="F746">
        <f>P746=ROUND(735*0.2,10)</f>
        <v/>
      </c>
      <c r="G746">
        <f>Q746=ROUND(735*0.3,10)</f>
        <v/>
      </c>
      <c r="H746">
        <f>R746=ROUND(735*0.05,10)</f>
        <v/>
      </c>
      <c r="I746">
        <f>S746=ROUND(735*0.01,10)</f>
        <v/>
      </c>
      <c r="J746">
        <f>T746=ROUND(735*0.7,10)</f>
        <v/>
      </c>
      <c r="K746">
        <f>U746=ROUND(735*1.1,10)</f>
        <v/>
      </c>
      <c r="L746">
        <f>V746=ROUND(735*0.25,10)</f>
        <v/>
      </c>
      <c r="M746">
        <f>W746=ROUND(735*0.5,10)</f>
        <v/>
      </c>
      <c r="O746">
        <f>O745+0.1</f>
        <v/>
      </c>
      <c r="P746">
        <f>P745+0.2</f>
        <v/>
      </c>
      <c r="Q746">
        <f>Q745+0.3</f>
        <v/>
      </c>
      <c r="R746">
        <f>R745+0.05</f>
        <v/>
      </c>
      <c r="S746">
        <f>S745+0.01</f>
        <v/>
      </c>
      <c r="T746">
        <f>T745+0.7</f>
        <v/>
      </c>
      <c r="U746">
        <f>U745+1.1</f>
        <v/>
      </c>
      <c r="V746">
        <f>V745+0.25</f>
        <v/>
      </c>
      <c r="W746">
        <f>W745+0.5</f>
        <v/>
      </c>
    </row>
    <row r="747">
      <c r="E747">
        <f>O747=ROUND(736*0.1,10)</f>
        <v/>
      </c>
      <c r="F747">
        <f>P747=ROUND(736*0.2,10)</f>
        <v/>
      </c>
      <c r="G747">
        <f>Q747=ROUND(736*0.3,10)</f>
        <v/>
      </c>
      <c r="H747">
        <f>R747=ROUND(736*0.05,10)</f>
        <v/>
      </c>
      <c r="I747">
        <f>S747=ROUND(736*0.01,10)</f>
        <v/>
      </c>
      <c r="J747">
        <f>T747=ROUND(736*0.7,10)</f>
        <v/>
      </c>
      <c r="K747">
        <f>U747=ROUND(736*1.1,10)</f>
        <v/>
      </c>
      <c r="L747">
        <f>V747=ROUND(736*0.25,10)</f>
        <v/>
      </c>
      <c r="M747">
        <f>W747=ROUND(736*0.5,10)</f>
        <v/>
      </c>
      <c r="O747">
        <f>O746+0.1</f>
        <v/>
      </c>
      <c r="P747">
        <f>P746+0.2</f>
        <v/>
      </c>
      <c r="Q747">
        <f>Q746+0.3</f>
        <v/>
      </c>
      <c r="R747">
        <f>R746+0.05</f>
        <v/>
      </c>
      <c r="S747">
        <f>S746+0.01</f>
        <v/>
      </c>
      <c r="T747">
        <f>T746+0.7</f>
        <v/>
      </c>
      <c r="U747">
        <f>U746+1.1</f>
        <v/>
      </c>
      <c r="V747">
        <f>V746+0.25</f>
        <v/>
      </c>
      <c r="W747">
        <f>W746+0.5</f>
        <v/>
      </c>
    </row>
    <row r="748">
      <c r="E748">
        <f>O748=ROUND(737*0.1,10)</f>
        <v/>
      </c>
      <c r="F748">
        <f>P748=ROUND(737*0.2,10)</f>
        <v/>
      </c>
      <c r="G748">
        <f>Q748=ROUND(737*0.3,10)</f>
        <v/>
      </c>
      <c r="H748">
        <f>R748=ROUND(737*0.05,10)</f>
        <v/>
      </c>
      <c r="I748">
        <f>S748=ROUND(737*0.01,10)</f>
        <v/>
      </c>
      <c r="J748">
        <f>T748=ROUND(737*0.7,10)</f>
        <v/>
      </c>
      <c r="K748">
        <f>U748=ROUND(737*1.1,10)</f>
        <v/>
      </c>
      <c r="L748">
        <f>V748=ROUND(737*0.25,10)</f>
        <v/>
      </c>
      <c r="M748">
        <f>W748=ROUND(737*0.5,10)</f>
        <v/>
      </c>
      <c r="O748">
        <f>O747+0.1</f>
        <v/>
      </c>
      <c r="P748">
        <f>P747+0.2</f>
        <v/>
      </c>
      <c r="Q748">
        <f>Q747+0.3</f>
        <v/>
      </c>
      <c r="R748">
        <f>R747+0.05</f>
        <v/>
      </c>
      <c r="S748">
        <f>S747+0.01</f>
        <v/>
      </c>
      <c r="T748">
        <f>T747+0.7</f>
        <v/>
      </c>
      <c r="U748">
        <f>U747+1.1</f>
        <v/>
      </c>
      <c r="V748">
        <f>V747+0.25</f>
        <v/>
      </c>
      <c r="W748">
        <f>W747+0.5</f>
        <v/>
      </c>
    </row>
    <row r="749">
      <c r="E749">
        <f>O749=ROUND(738*0.1,10)</f>
        <v/>
      </c>
      <c r="F749">
        <f>P749=ROUND(738*0.2,10)</f>
        <v/>
      </c>
      <c r="G749">
        <f>Q749=ROUND(738*0.3,10)</f>
        <v/>
      </c>
      <c r="H749">
        <f>R749=ROUND(738*0.05,10)</f>
        <v/>
      </c>
      <c r="I749">
        <f>S749=ROUND(738*0.01,10)</f>
        <v/>
      </c>
      <c r="J749">
        <f>T749=ROUND(738*0.7,10)</f>
        <v/>
      </c>
      <c r="K749">
        <f>U749=ROUND(738*1.1,10)</f>
        <v/>
      </c>
      <c r="L749">
        <f>V749=ROUND(738*0.25,10)</f>
        <v/>
      </c>
      <c r="M749">
        <f>W749=ROUND(738*0.5,10)</f>
        <v/>
      </c>
      <c r="O749">
        <f>O748+0.1</f>
        <v/>
      </c>
      <c r="P749">
        <f>P748+0.2</f>
        <v/>
      </c>
      <c r="Q749">
        <f>Q748+0.3</f>
        <v/>
      </c>
      <c r="R749">
        <f>R748+0.05</f>
        <v/>
      </c>
      <c r="S749">
        <f>S748+0.01</f>
        <v/>
      </c>
      <c r="T749">
        <f>T748+0.7</f>
        <v/>
      </c>
      <c r="U749">
        <f>U748+1.1</f>
        <v/>
      </c>
      <c r="V749">
        <f>V748+0.25</f>
        <v/>
      </c>
      <c r="W749">
        <f>W748+0.5</f>
        <v/>
      </c>
    </row>
    <row r="750">
      <c r="E750">
        <f>O750=ROUND(739*0.1,10)</f>
        <v/>
      </c>
      <c r="F750">
        <f>P750=ROUND(739*0.2,10)</f>
        <v/>
      </c>
      <c r="G750">
        <f>Q750=ROUND(739*0.3,10)</f>
        <v/>
      </c>
      <c r="H750">
        <f>R750=ROUND(739*0.05,10)</f>
        <v/>
      </c>
      <c r="I750">
        <f>S750=ROUND(739*0.01,10)</f>
        <v/>
      </c>
      <c r="J750">
        <f>T750=ROUND(739*0.7,10)</f>
        <v/>
      </c>
      <c r="K750">
        <f>U750=ROUND(739*1.1,10)</f>
        <v/>
      </c>
      <c r="L750">
        <f>V750=ROUND(739*0.25,10)</f>
        <v/>
      </c>
      <c r="M750">
        <f>W750=ROUND(739*0.5,10)</f>
        <v/>
      </c>
      <c r="O750">
        <f>O749+0.1</f>
        <v/>
      </c>
      <c r="P750">
        <f>P749+0.2</f>
        <v/>
      </c>
      <c r="Q750">
        <f>Q749+0.3</f>
        <v/>
      </c>
      <c r="R750">
        <f>R749+0.05</f>
        <v/>
      </c>
      <c r="S750">
        <f>S749+0.01</f>
        <v/>
      </c>
      <c r="T750">
        <f>T749+0.7</f>
        <v/>
      </c>
      <c r="U750">
        <f>U749+1.1</f>
        <v/>
      </c>
      <c r="V750">
        <f>V749+0.25</f>
        <v/>
      </c>
      <c r="W750">
        <f>W749+0.5</f>
        <v/>
      </c>
    </row>
    <row r="751">
      <c r="E751">
        <f>O751=ROUND(740*0.1,10)</f>
        <v/>
      </c>
      <c r="F751">
        <f>P751=ROUND(740*0.2,10)</f>
        <v/>
      </c>
      <c r="G751">
        <f>Q751=ROUND(740*0.3,10)</f>
        <v/>
      </c>
      <c r="H751">
        <f>R751=ROUND(740*0.05,10)</f>
        <v/>
      </c>
      <c r="I751">
        <f>S751=ROUND(740*0.01,10)</f>
        <v/>
      </c>
      <c r="J751">
        <f>T751=ROUND(740*0.7,10)</f>
        <v/>
      </c>
      <c r="K751">
        <f>U751=ROUND(740*1.1,10)</f>
        <v/>
      </c>
      <c r="L751">
        <f>V751=ROUND(740*0.25,10)</f>
        <v/>
      </c>
      <c r="M751">
        <f>W751=ROUND(740*0.5,10)</f>
        <v/>
      </c>
      <c r="O751">
        <f>O750+0.1</f>
        <v/>
      </c>
      <c r="P751">
        <f>P750+0.2</f>
        <v/>
      </c>
      <c r="Q751">
        <f>Q750+0.3</f>
        <v/>
      </c>
      <c r="R751">
        <f>R750+0.05</f>
        <v/>
      </c>
      <c r="S751">
        <f>S750+0.01</f>
        <v/>
      </c>
      <c r="T751">
        <f>T750+0.7</f>
        <v/>
      </c>
      <c r="U751">
        <f>U750+1.1</f>
        <v/>
      </c>
      <c r="V751">
        <f>V750+0.25</f>
        <v/>
      </c>
      <c r="W751">
        <f>W750+0.5</f>
        <v/>
      </c>
    </row>
    <row r="752">
      <c r="E752">
        <f>O752=ROUND(741*0.1,10)</f>
        <v/>
      </c>
      <c r="F752">
        <f>P752=ROUND(741*0.2,10)</f>
        <v/>
      </c>
      <c r="G752">
        <f>Q752=ROUND(741*0.3,10)</f>
        <v/>
      </c>
      <c r="H752">
        <f>R752=ROUND(741*0.05,10)</f>
        <v/>
      </c>
      <c r="I752">
        <f>S752=ROUND(741*0.01,10)</f>
        <v/>
      </c>
      <c r="J752">
        <f>T752=ROUND(741*0.7,10)</f>
        <v/>
      </c>
      <c r="K752">
        <f>U752=ROUND(741*1.1,10)</f>
        <v/>
      </c>
      <c r="L752">
        <f>V752=ROUND(741*0.25,10)</f>
        <v/>
      </c>
      <c r="M752">
        <f>W752=ROUND(741*0.5,10)</f>
        <v/>
      </c>
      <c r="O752">
        <f>O751+0.1</f>
        <v/>
      </c>
      <c r="P752">
        <f>P751+0.2</f>
        <v/>
      </c>
      <c r="Q752">
        <f>Q751+0.3</f>
        <v/>
      </c>
      <c r="R752">
        <f>R751+0.05</f>
        <v/>
      </c>
      <c r="S752">
        <f>S751+0.01</f>
        <v/>
      </c>
      <c r="T752">
        <f>T751+0.7</f>
        <v/>
      </c>
      <c r="U752">
        <f>U751+1.1</f>
        <v/>
      </c>
      <c r="V752">
        <f>V751+0.25</f>
        <v/>
      </c>
      <c r="W752">
        <f>W751+0.5</f>
        <v/>
      </c>
    </row>
    <row r="753">
      <c r="E753">
        <f>O753=ROUND(742*0.1,10)</f>
        <v/>
      </c>
      <c r="F753">
        <f>P753=ROUND(742*0.2,10)</f>
        <v/>
      </c>
      <c r="G753">
        <f>Q753=ROUND(742*0.3,10)</f>
        <v/>
      </c>
      <c r="H753">
        <f>R753=ROUND(742*0.05,10)</f>
        <v/>
      </c>
      <c r="I753">
        <f>S753=ROUND(742*0.01,10)</f>
        <v/>
      </c>
      <c r="J753">
        <f>T753=ROUND(742*0.7,10)</f>
        <v/>
      </c>
      <c r="K753">
        <f>U753=ROUND(742*1.1,10)</f>
        <v/>
      </c>
      <c r="L753">
        <f>V753=ROUND(742*0.25,10)</f>
        <v/>
      </c>
      <c r="M753">
        <f>W753=ROUND(742*0.5,10)</f>
        <v/>
      </c>
      <c r="O753">
        <f>O752+0.1</f>
        <v/>
      </c>
      <c r="P753">
        <f>P752+0.2</f>
        <v/>
      </c>
      <c r="Q753">
        <f>Q752+0.3</f>
        <v/>
      </c>
      <c r="R753">
        <f>R752+0.05</f>
        <v/>
      </c>
      <c r="S753">
        <f>S752+0.01</f>
        <v/>
      </c>
      <c r="T753">
        <f>T752+0.7</f>
        <v/>
      </c>
      <c r="U753">
        <f>U752+1.1</f>
        <v/>
      </c>
      <c r="V753">
        <f>V752+0.25</f>
        <v/>
      </c>
      <c r="W753">
        <f>W752+0.5</f>
        <v/>
      </c>
    </row>
    <row r="754">
      <c r="E754">
        <f>O754=ROUND(743*0.1,10)</f>
        <v/>
      </c>
      <c r="F754">
        <f>P754=ROUND(743*0.2,10)</f>
        <v/>
      </c>
      <c r="G754">
        <f>Q754=ROUND(743*0.3,10)</f>
        <v/>
      </c>
      <c r="H754">
        <f>R754=ROUND(743*0.05,10)</f>
        <v/>
      </c>
      <c r="I754">
        <f>S754=ROUND(743*0.01,10)</f>
        <v/>
      </c>
      <c r="J754">
        <f>T754=ROUND(743*0.7,10)</f>
        <v/>
      </c>
      <c r="K754">
        <f>U754=ROUND(743*1.1,10)</f>
        <v/>
      </c>
      <c r="L754">
        <f>V754=ROUND(743*0.25,10)</f>
        <v/>
      </c>
      <c r="M754">
        <f>W754=ROUND(743*0.5,10)</f>
        <v/>
      </c>
      <c r="O754">
        <f>O753+0.1</f>
        <v/>
      </c>
      <c r="P754">
        <f>P753+0.2</f>
        <v/>
      </c>
      <c r="Q754">
        <f>Q753+0.3</f>
        <v/>
      </c>
      <c r="R754">
        <f>R753+0.05</f>
        <v/>
      </c>
      <c r="S754">
        <f>S753+0.01</f>
        <v/>
      </c>
      <c r="T754">
        <f>T753+0.7</f>
        <v/>
      </c>
      <c r="U754">
        <f>U753+1.1</f>
        <v/>
      </c>
      <c r="V754">
        <f>V753+0.25</f>
        <v/>
      </c>
      <c r="W754">
        <f>W753+0.5</f>
        <v/>
      </c>
    </row>
    <row r="755">
      <c r="E755">
        <f>O755=ROUND(744*0.1,10)</f>
        <v/>
      </c>
      <c r="F755">
        <f>P755=ROUND(744*0.2,10)</f>
        <v/>
      </c>
      <c r="G755">
        <f>Q755=ROUND(744*0.3,10)</f>
        <v/>
      </c>
      <c r="H755">
        <f>R755=ROUND(744*0.05,10)</f>
        <v/>
      </c>
      <c r="I755">
        <f>S755=ROUND(744*0.01,10)</f>
        <v/>
      </c>
      <c r="J755">
        <f>T755=ROUND(744*0.7,10)</f>
        <v/>
      </c>
      <c r="K755">
        <f>U755=ROUND(744*1.1,10)</f>
        <v/>
      </c>
      <c r="L755">
        <f>V755=ROUND(744*0.25,10)</f>
        <v/>
      </c>
      <c r="M755">
        <f>W755=ROUND(744*0.5,10)</f>
        <v/>
      </c>
      <c r="O755">
        <f>O754+0.1</f>
        <v/>
      </c>
      <c r="P755">
        <f>P754+0.2</f>
        <v/>
      </c>
      <c r="Q755">
        <f>Q754+0.3</f>
        <v/>
      </c>
      <c r="R755">
        <f>R754+0.05</f>
        <v/>
      </c>
      <c r="S755">
        <f>S754+0.01</f>
        <v/>
      </c>
      <c r="T755">
        <f>T754+0.7</f>
        <v/>
      </c>
      <c r="U755">
        <f>U754+1.1</f>
        <v/>
      </c>
      <c r="V755">
        <f>V754+0.25</f>
        <v/>
      </c>
      <c r="W755">
        <f>W754+0.5</f>
        <v/>
      </c>
    </row>
    <row r="756">
      <c r="E756">
        <f>O756=ROUND(745*0.1,10)</f>
        <v/>
      </c>
      <c r="F756">
        <f>P756=ROUND(745*0.2,10)</f>
        <v/>
      </c>
      <c r="G756">
        <f>Q756=ROUND(745*0.3,10)</f>
        <v/>
      </c>
      <c r="H756">
        <f>R756=ROUND(745*0.05,10)</f>
        <v/>
      </c>
      <c r="I756">
        <f>S756=ROUND(745*0.01,10)</f>
        <v/>
      </c>
      <c r="J756">
        <f>T756=ROUND(745*0.7,10)</f>
        <v/>
      </c>
      <c r="K756">
        <f>U756=ROUND(745*1.1,10)</f>
        <v/>
      </c>
      <c r="L756">
        <f>V756=ROUND(745*0.25,10)</f>
        <v/>
      </c>
      <c r="M756">
        <f>W756=ROUND(745*0.5,10)</f>
        <v/>
      </c>
      <c r="O756">
        <f>O755+0.1</f>
        <v/>
      </c>
      <c r="P756">
        <f>P755+0.2</f>
        <v/>
      </c>
      <c r="Q756">
        <f>Q755+0.3</f>
        <v/>
      </c>
      <c r="R756">
        <f>R755+0.05</f>
        <v/>
      </c>
      <c r="S756">
        <f>S755+0.01</f>
        <v/>
      </c>
      <c r="T756">
        <f>T755+0.7</f>
        <v/>
      </c>
      <c r="U756">
        <f>U755+1.1</f>
        <v/>
      </c>
      <c r="V756">
        <f>V755+0.25</f>
        <v/>
      </c>
      <c r="W756">
        <f>W755+0.5</f>
        <v/>
      </c>
    </row>
    <row r="757">
      <c r="E757">
        <f>O757=ROUND(746*0.1,10)</f>
        <v/>
      </c>
      <c r="F757">
        <f>P757=ROUND(746*0.2,10)</f>
        <v/>
      </c>
      <c r="G757">
        <f>Q757=ROUND(746*0.3,10)</f>
        <v/>
      </c>
      <c r="H757">
        <f>R757=ROUND(746*0.05,10)</f>
        <v/>
      </c>
      <c r="I757">
        <f>S757=ROUND(746*0.01,10)</f>
        <v/>
      </c>
      <c r="J757">
        <f>T757=ROUND(746*0.7,10)</f>
        <v/>
      </c>
      <c r="K757">
        <f>U757=ROUND(746*1.1,10)</f>
        <v/>
      </c>
      <c r="L757">
        <f>V757=ROUND(746*0.25,10)</f>
        <v/>
      </c>
      <c r="M757">
        <f>W757=ROUND(746*0.5,10)</f>
        <v/>
      </c>
      <c r="O757">
        <f>O756+0.1</f>
        <v/>
      </c>
      <c r="P757">
        <f>P756+0.2</f>
        <v/>
      </c>
      <c r="Q757">
        <f>Q756+0.3</f>
        <v/>
      </c>
      <c r="R757">
        <f>R756+0.05</f>
        <v/>
      </c>
      <c r="S757">
        <f>S756+0.01</f>
        <v/>
      </c>
      <c r="T757">
        <f>T756+0.7</f>
        <v/>
      </c>
      <c r="U757">
        <f>U756+1.1</f>
        <v/>
      </c>
      <c r="V757">
        <f>V756+0.25</f>
        <v/>
      </c>
      <c r="W757">
        <f>W756+0.5</f>
        <v/>
      </c>
    </row>
    <row r="758">
      <c r="E758">
        <f>O758=ROUND(747*0.1,10)</f>
        <v/>
      </c>
      <c r="F758">
        <f>P758=ROUND(747*0.2,10)</f>
        <v/>
      </c>
      <c r="G758">
        <f>Q758=ROUND(747*0.3,10)</f>
        <v/>
      </c>
      <c r="H758">
        <f>R758=ROUND(747*0.05,10)</f>
        <v/>
      </c>
      <c r="I758">
        <f>S758=ROUND(747*0.01,10)</f>
        <v/>
      </c>
      <c r="J758">
        <f>T758=ROUND(747*0.7,10)</f>
        <v/>
      </c>
      <c r="K758">
        <f>U758=ROUND(747*1.1,10)</f>
        <v/>
      </c>
      <c r="L758">
        <f>V758=ROUND(747*0.25,10)</f>
        <v/>
      </c>
      <c r="M758">
        <f>W758=ROUND(747*0.5,10)</f>
        <v/>
      </c>
      <c r="O758">
        <f>O757+0.1</f>
        <v/>
      </c>
      <c r="P758">
        <f>P757+0.2</f>
        <v/>
      </c>
      <c r="Q758">
        <f>Q757+0.3</f>
        <v/>
      </c>
      <c r="R758">
        <f>R757+0.05</f>
        <v/>
      </c>
      <c r="S758">
        <f>S757+0.01</f>
        <v/>
      </c>
      <c r="T758">
        <f>T757+0.7</f>
        <v/>
      </c>
      <c r="U758">
        <f>U757+1.1</f>
        <v/>
      </c>
      <c r="V758">
        <f>V757+0.25</f>
        <v/>
      </c>
      <c r="W758">
        <f>W757+0.5</f>
        <v/>
      </c>
    </row>
    <row r="759">
      <c r="E759">
        <f>O759=ROUND(748*0.1,10)</f>
        <v/>
      </c>
      <c r="F759">
        <f>P759=ROUND(748*0.2,10)</f>
        <v/>
      </c>
      <c r="G759">
        <f>Q759=ROUND(748*0.3,10)</f>
        <v/>
      </c>
      <c r="H759">
        <f>R759=ROUND(748*0.05,10)</f>
        <v/>
      </c>
      <c r="I759">
        <f>S759=ROUND(748*0.01,10)</f>
        <v/>
      </c>
      <c r="J759">
        <f>T759=ROUND(748*0.7,10)</f>
        <v/>
      </c>
      <c r="K759">
        <f>U759=ROUND(748*1.1,10)</f>
        <v/>
      </c>
      <c r="L759">
        <f>V759=ROUND(748*0.25,10)</f>
        <v/>
      </c>
      <c r="M759">
        <f>W759=ROUND(748*0.5,10)</f>
        <v/>
      </c>
      <c r="O759">
        <f>O758+0.1</f>
        <v/>
      </c>
      <c r="P759">
        <f>P758+0.2</f>
        <v/>
      </c>
      <c r="Q759">
        <f>Q758+0.3</f>
        <v/>
      </c>
      <c r="R759">
        <f>R758+0.05</f>
        <v/>
      </c>
      <c r="S759">
        <f>S758+0.01</f>
        <v/>
      </c>
      <c r="T759">
        <f>T758+0.7</f>
        <v/>
      </c>
      <c r="U759">
        <f>U758+1.1</f>
        <v/>
      </c>
      <c r="V759">
        <f>V758+0.25</f>
        <v/>
      </c>
      <c r="W759">
        <f>W758+0.5</f>
        <v/>
      </c>
    </row>
    <row r="760">
      <c r="E760">
        <f>O760=ROUND(749*0.1,10)</f>
        <v/>
      </c>
      <c r="F760">
        <f>P760=ROUND(749*0.2,10)</f>
        <v/>
      </c>
      <c r="G760">
        <f>Q760=ROUND(749*0.3,10)</f>
        <v/>
      </c>
      <c r="H760">
        <f>R760=ROUND(749*0.05,10)</f>
        <v/>
      </c>
      <c r="I760">
        <f>S760=ROUND(749*0.01,10)</f>
        <v/>
      </c>
      <c r="J760">
        <f>T760=ROUND(749*0.7,10)</f>
        <v/>
      </c>
      <c r="K760">
        <f>U760=ROUND(749*1.1,10)</f>
        <v/>
      </c>
      <c r="L760">
        <f>V760=ROUND(749*0.25,10)</f>
        <v/>
      </c>
      <c r="M760">
        <f>W760=ROUND(749*0.5,10)</f>
        <v/>
      </c>
      <c r="O760">
        <f>O759+0.1</f>
        <v/>
      </c>
      <c r="P760">
        <f>P759+0.2</f>
        <v/>
      </c>
      <c r="Q760">
        <f>Q759+0.3</f>
        <v/>
      </c>
      <c r="R760">
        <f>R759+0.05</f>
        <v/>
      </c>
      <c r="S760">
        <f>S759+0.01</f>
        <v/>
      </c>
      <c r="T760">
        <f>T759+0.7</f>
        <v/>
      </c>
      <c r="U760">
        <f>U759+1.1</f>
        <v/>
      </c>
      <c r="V760">
        <f>V759+0.25</f>
        <v/>
      </c>
      <c r="W760">
        <f>W759+0.5</f>
        <v/>
      </c>
    </row>
    <row r="761">
      <c r="E761">
        <f>O761=ROUND(750*0.1,10)</f>
        <v/>
      </c>
      <c r="F761">
        <f>P761=ROUND(750*0.2,10)</f>
        <v/>
      </c>
      <c r="G761">
        <f>Q761=ROUND(750*0.3,10)</f>
        <v/>
      </c>
      <c r="H761">
        <f>R761=ROUND(750*0.05,10)</f>
        <v/>
      </c>
      <c r="I761">
        <f>S761=ROUND(750*0.01,10)</f>
        <v/>
      </c>
      <c r="J761">
        <f>T761=ROUND(750*0.7,10)</f>
        <v/>
      </c>
      <c r="K761">
        <f>U761=ROUND(750*1.1,10)</f>
        <v/>
      </c>
      <c r="L761">
        <f>V761=ROUND(750*0.25,10)</f>
        <v/>
      </c>
      <c r="M761">
        <f>W761=ROUND(750*0.5,10)</f>
        <v/>
      </c>
      <c r="O761">
        <f>O760+0.1</f>
        <v/>
      </c>
      <c r="P761">
        <f>P760+0.2</f>
        <v/>
      </c>
      <c r="Q761">
        <f>Q760+0.3</f>
        <v/>
      </c>
      <c r="R761">
        <f>R760+0.05</f>
        <v/>
      </c>
      <c r="S761">
        <f>S760+0.01</f>
        <v/>
      </c>
      <c r="T761">
        <f>T760+0.7</f>
        <v/>
      </c>
      <c r="U761">
        <f>U760+1.1</f>
        <v/>
      </c>
      <c r="V761">
        <f>V760+0.25</f>
        <v/>
      </c>
      <c r="W761">
        <f>W760+0.5</f>
        <v/>
      </c>
    </row>
    <row r="762">
      <c r="E762">
        <f>O762=ROUND(751*0.1,10)</f>
        <v/>
      </c>
      <c r="F762">
        <f>P762=ROUND(751*0.2,10)</f>
        <v/>
      </c>
      <c r="G762">
        <f>Q762=ROUND(751*0.3,10)</f>
        <v/>
      </c>
      <c r="H762">
        <f>R762=ROUND(751*0.05,10)</f>
        <v/>
      </c>
      <c r="I762">
        <f>S762=ROUND(751*0.01,10)</f>
        <v/>
      </c>
      <c r="J762">
        <f>T762=ROUND(751*0.7,10)</f>
        <v/>
      </c>
      <c r="K762">
        <f>U762=ROUND(751*1.1,10)</f>
        <v/>
      </c>
      <c r="L762">
        <f>V762=ROUND(751*0.25,10)</f>
        <v/>
      </c>
      <c r="M762">
        <f>W762=ROUND(751*0.5,10)</f>
        <v/>
      </c>
      <c r="O762">
        <f>O761+0.1</f>
        <v/>
      </c>
      <c r="P762">
        <f>P761+0.2</f>
        <v/>
      </c>
      <c r="Q762">
        <f>Q761+0.3</f>
        <v/>
      </c>
      <c r="R762">
        <f>R761+0.05</f>
        <v/>
      </c>
      <c r="S762">
        <f>S761+0.01</f>
        <v/>
      </c>
      <c r="T762">
        <f>T761+0.7</f>
        <v/>
      </c>
      <c r="U762">
        <f>U761+1.1</f>
        <v/>
      </c>
      <c r="V762">
        <f>V761+0.25</f>
        <v/>
      </c>
      <c r="W762">
        <f>W761+0.5</f>
        <v/>
      </c>
    </row>
    <row r="763">
      <c r="E763">
        <f>O763=ROUND(752*0.1,10)</f>
        <v/>
      </c>
      <c r="F763">
        <f>P763=ROUND(752*0.2,10)</f>
        <v/>
      </c>
      <c r="G763">
        <f>Q763=ROUND(752*0.3,10)</f>
        <v/>
      </c>
      <c r="H763">
        <f>R763=ROUND(752*0.05,10)</f>
        <v/>
      </c>
      <c r="I763">
        <f>S763=ROUND(752*0.01,10)</f>
        <v/>
      </c>
      <c r="J763">
        <f>T763=ROUND(752*0.7,10)</f>
        <v/>
      </c>
      <c r="K763">
        <f>U763=ROUND(752*1.1,10)</f>
        <v/>
      </c>
      <c r="L763">
        <f>V763=ROUND(752*0.25,10)</f>
        <v/>
      </c>
      <c r="M763">
        <f>W763=ROUND(752*0.5,10)</f>
        <v/>
      </c>
      <c r="O763">
        <f>O762+0.1</f>
        <v/>
      </c>
      <c r="P763">
        <f>P762+0.2</f>
        <v/>
      </c>
      <c r="Q763">
        <f>Q762+0.3</f>
        <v/>
      </c>
      <c r="R763">
        <f>R762+0.05</f>
        <v/>
      </c>
      <c r="S763">
        <f>S762+0.01</f>
        <v/>
      </c>
      <c r="T763">
        <f>T762+0.7</f>
        <v/>
      </c>
      <c r="U763">
        <f>U762+1.1</f>
        <v/>
      </c>
      <c r="V763">
        <f>V762+0.25</f>
        <v/>
      </c>
      <c r="W763">
        <f>W762+0.5</f>
        <v/>
      </c>
    </row>
    <row r="764">
      <c r="E764">
        <f>O764=ROUND(753*0.1,10)</f>
        <v/>
      </c>
      <c r="F764">
        <f>P764=ROUND(753*0.2,10)</f>
        <v/>
      </c>
      <c r="G764">
        <f>Q764=ROUND(753*0.3,10)</f>
        <v/>
      </c>
      <c r="H764">
        <f>R764=ROUND(753*0.05,10)</f>
        <v/>
      </c>
      <c r="I764">
        <f>S764=ROUND(753*0.01,10)</f>
        <v/>
      </c>
      <c r="J764">
        <f>T764=ROUND(753*0.7,10)</f>
        <v/>
      </c>
      <c r="K764">
        <f>U764=ROUND(753*1.1,10)</f>
        <v/>
      </c>
      <c r="L764">
        <f>V764=ROUND(753*0.25,10)</f>
        <v/>
      </c>
      <c r="M764">
        <f>W764=ROUND(753*0.5,10)</f>
        <v/>
      </c>
      <c r="O764">
        <f>O763+0.1</f>
        <v/>
      </c>
      <c r="P764">
        <f>P763+0.2</f>
        <v/>
      </c>
      <c r="Q764">
        <f>Q763+0.3</f>
        <v/>
      </c>
      <c r="R764">
        <f>R763+0.05</f>
        <v/>
      </c>
      <c r="S764">
        <f>S763+0.01</f>
        <v/>
      </c>
      <c r="T764">
        <f>T763+0.7</f>
        <v/>
      </c>
      <c r="U764">
        <f>U763+1.1</f>
        <v/>
      </c>
      <c r="V764">
        <f>V763+0.25</f>
        <v/>
      </c>
      <c r="W764">
        <f>W763+0.5</f>
        <v/>
      </c>
    </row>
    <row r="765">
      <c r="E765">
        <f>O765=ROUND(754*0.1,10)</f>
        <v/>
      </c>
      <c r="F765">
        <f>P765=ROUND(754*0.2,10)</f>
        <v/>
      </c>
      <c r="G765">
        <f>Q765=ROUND(754*0.3,10)</f>
        <v/>
      </c>
      <c r="H765">
        <f>R765=ROUND(754*0.05,10)</f>
        <v/>
      </c>
      <c r="I765">
        <f>S765=ROUND(754*0.01,10)</f>
        <v/>
      </c>
      <c r="J765">
        <f>T765=ROUND(754*0.7,10)</f>
        <v/>
      </c>
      <c r="K765">
        <f>U765=ROUND(754*1.1,10)</f>
        <v/>
      </c>
      <c r="L765">
        <f>V765=ROUND(754*0.25,10)</f>
        <v/>
      </c>
      <c r="M765">
        <f>W765=ROUND(754*0.5,10)</f>
        <v/>
      </c>
      <c r="O765">
        <f>O764+0.1</f>
        <v/>
      </c>
      <c r="P765">
        <f>P764+0.2</f>
        <v/>
      </c>
      <c r="Q765">
        <f>Q764+0.3</f>
        <v/>
      </c>
      <c r="R765">
        <f>R764+0.05</f>
        <v/>
      </c>
      <c r="S765">
        <f>S764+0.01</f>
        <v/>
      </c>
      <c r="T765">
        <f>T764+0.7</f>
        <v/>
      </c>
      <c r="U765">
        <f>U764+1.1</f>
        <v/>
      </c>
      <c r="V765">
        <f>V764+0.25</f>
        <v/>
      </c>
      <c r="W765">
        <f>W764+0.5</f>
        <v/>
      </c>
    </row>
    <row r="766">
      <c r="E766">
        <f>O766=ROUND(755*0.1,10)</f>
        <v/>
      </c>
      <c r="F766">
        <f>P766=ROUND(755*0.2,10)</f>
        <v/>
      </c>
      <c r="G766">
        <f>Q766=ROUND(755*0.3,10)</f>
        <v/>
      </c>
      <c r="H766">
        <f>R766=ROUND(755*0.05,10)</f>
        <v/>
      </c>
      <c r="I766">
        <f>S766=ROUND(755*0.01,10)</f>
        <v/>
      </c>
      <c r="J766">
        <f>T766=ROUND(755*0.7,10)</f>
        <v/>
      </c>
      <c r="K766">
        <f>U766=ROUND(755*1.1,10)</f>
        <v/>
      </c>
      <c r="L766">
        <f>V766=ROUND(755*0.25,10)</f>
        <v/>
      </c>
      <c r="M766">
        <f>W766=ROUND(755*0.5,10)</f>
        <v/>
      </c>
      <c r="O766">
        <f>O765+0.1</f>
        <v/>
      </c>
      <c r="P766">
        <f>P765+0.2</f>
        <v/>
      </c>
      <c r="Q766">
        <f>Q765+0.3</f>
        <v/>
      </c>
      <c r="R766">
        <f>R765+0.05</f>
        <v/>
      </c>
      <c r="S766">
        <f>S765+0.01</f>
        <v/>
      </c>
      <c r="T766">
        <f>T765+0.7</f>
        <v/>
      </c>
      <c r="U766">
        <f>U765+1.1</f>
        <v/>
      </c>
      <c r="V766">
        <f>V765+0.25</f>
        <v/>
      </c>
      <c r="W766">
        <f>W765+0.5</f>
        <v/>
      </c>
    </row>
    <row r="767">
      <c r="E767">
        <f>O767=ROUND(756*0.1,10)</f>
        <v/>
      </c>
      <c r="F767">
        <f>P767=ROUND(756*0.2,10)</f>
        <v/>
      </c>
      <c r="G767">
        <f>Q767=ROUND(756*0.3,10)</f>
        <v/>
      </c>
      <c r="H767">
        <f>R767=ROUND(756*0.05,10)</f>
        <v/>
      </c>
      <c r="I767">
        <f>S767=ROUND(756*0.01,10)</f>
        <v/>
      </c>
      <c r="J767">
        <f>T767=ROUND(756*0.7,10)</f>
        <v/>
      </c>
      <c r="K767">
        <f>U767=ROUND(756*1.1,10)</f>
        <v/>
      </c>
      <c r="L767">
        <f>V767=ROUND(756*0.25,10)</f>
        <v/>
      </c>
      <c r="M767">
        <f>W767=ROUND(756*0.5,10)</f>
        <v/>
      </c>
      <c r="O767">
        <f>O766+0.1</f>
        <v/>
      </c>
      <c r="P767">
        <f>P766+0.2</f>
        <v/>
      </c>
      <c r="Q767">
        <f>Q766+0.3</f>
        <v/>
      </c>
      <c r="R767">
        <f>R766+0.05</f>
        <v/>
      </c>
      <c r="S767">
        <f>S766+0.01</f>
        <v/>
      </c>
      <c r="T767">
        <f>T766+0.7</f>
        <v/>
      </c>
      <c r="U767">
        <f>U766+1.1</f>
        <v/>
      </c>
      <c r="V767">
        <f>V766+0.25</f>
        <v/>
      </c>
      <c r="W767">
        <f>W766+0.5</f>
        <v/>
      </c>
    </row>
    <row r="768">
      <c r="E768">
        <f>O768=ROUND(757*0.1,10)</f>
        <v/>
      </c>
      <c r="F768">
        <f>P768=ROUND(757*0.2,10)</f>
        <v/>
      </c>
      <c r="G768">
        <f>Q768=ROUND(757*0.3,10)</f>
        <v/>
      </c>
      <c r="H768">
        <f>R768=ROUND(757*0.05,10)</f>
        <v/>
      </c>
      <c r="I768">
        <f>S768=ROUND(757*0.01,10)</f>
        <v/>
      </c>
      <c r="J768">
        <f>T768=ROUND(757*0.7,10)</f>
        <v/>
      </c>
      <c r="K768">
        <f>U768=ROUND(757*1.1,10)</f>
        <v/>
      </c>
      <c r="L768">
        <f>V768=ROUND(757*0.25,10)</f>
        <v/>
      </c>
      <c r="M768">
        <f>W768=ROUND(757*0.5,10)</f>
        <v/>
      </c>
      <c r="O768">
        <f>O767+0.1</f>
        <v/>
      </c>
      <c r="P768">
        <f>P767+0.2</f>
        <v/>
      </c>
      <c r="Q768">
        <f>Q767+0.3</f>
        <v/>
      </c>
      <c r="R768">
        <f>R767+0.05</f>
        <v/>
      </c>
      <c r="S768">
        <f>S767+0.01</f>
        <v/>
      </c>
      <c r="T768">
        <f>T767+0.7</f>
        <v/>
      </c>
      <c r="U768">
        <f>U767+1.1</f>
        <v/>
      </c>
      <c r="V768">
        <f>V767+0.25</f>
        <v/>
      </c>
      <c r="W768">
        <f>W767+0.5</f>
        <v/>
      </c>
    </row>
    <row r="769">
      <c r="E769">
        <f>O769=ROUND(758*0.1,10)</f>
        <v/>
      </c>
      <c r="F769">
        <f>P769=ROUND(758*0.2,10)</f>
        <v/>
      </c>
      <c r="G769">
        <f>Q769=ROUND(758*0.3,10)</f>
        <v/>
      </c>
      <c r="H769">
        <f>R769=ROUND(758*0.05,10)</f>
        <v/>
      </c>
      <c r="I769">
        <f>S769=ROUND(758*0.01,10)</f>
        <v/>
      </c>
      <c r="J769">
        <f>T769=ROUND(758*0.7,10)</f>
        <v/>
      </c>
      <c r="K769">
        <f>U769=ROUND(758*1.1,10)</f>
        <v/>
      </c>
      <c r="L769">
        <f>V769=ROUND(758*0.25,10)</f>
        <v/>
      </c>
      <c r="M769">
        <f>W769=ROUND(758*0.5,10)</f>
        <v/>
      </c>
      <c r="O769">
        <f>O768+0.1</f>
        <v/>
      </c>
      <c r="P769">
        <f>P768+0.2</f>
        <v/>
      </c>
      <c r="Q769">
        <f>Q768+0.3</f>
        <v/>
      </c>
      <c r="R769">
        <f>R768+0.05</f>
        <v/>
      </c>
      <c r="S769">
        <f>S768+0.01</f>
        <v/>
      </c>
      <c r="T769">
        <f>T768+0.7</f>
        <v/>
      </c>
      <c r="U769">
        <f>U768+1.1</f>
        <v/>
      </c>
      <c r="V769">
        <f>V768+0.25</f>
        <v/>
      </c>
      <c r="W769">
        <f>W768+0.5</f>
        <v/>
      </c>
    </row>
    <row r="770">
      <c r="E770">
        <f>O770=ROUND(759*0.1,10)</f>
        <v/>
      </c>
      <c r="F770">
        <f>P770=ROUND(759*0.2,10)</f>
        <v/>
      </c>
      <c r="G770">
        <f>Q770=ROUND(759*0.3,10)</f>
        <v/>
      </c>
      <c r="H770">
        <f>R770=ROUND(759*0.05,10)</f>
        <v/>
      </c>
      <c r="I770">
        <f>S770=ROUND(759*0.01,10)</f>
        <v/>
      </c>
      <c r="J770">
        <f>T770=ROUND(759*0.7,10)</f>
        <v/>
      </c>
      <c r="K770">
        <f>U770=ROUND(759*1.1,10)</f>
        <v/>
      </c>
      <c r="L770">
        <f>V770=ROUND(759*0.25,10)</f>
        <v/>
      </c>
      <c r="M770">
        <f>W770=ROUND(759*0.5,10)</f>
        <v/>
      </c>
      <c r="O770">
        <f>O769+0.1</f>
        <v/>
      </c>
      <c r="P770">
        <f>P769+0.2</f>
        <v/>
      </c>
      <c r="Q770">
        <f>Q769+0.3</f>
        <v/>
      </c>
      <c r="R770">
        <f>R769+0.05</f>
        <v/>
      </c>
      <c r="S770">
        <f>S769+0.01</f>
        <v/>
      </c>
      <c r="T770">
        <f>T769+0.7</f>
        <v/>
      </c>
      <c r="U770">
        <f>U769+1.1</f>
        <v/>
      </c>
      <c r="V770">
        <f>V769+0.25</f>
        <v/>
      </c>
      <c r="W770">
        <f>W769+0.5</f>
        <v/>
      </c>
    </row>
    <row r="771">
      <c r="E771">
        <f>O771=ROUND(760*0.1,10)</f>
        <v/>
      </c>
      <c r="F771">
        <f>P771=ROUND(760*0.2,10)</f>
        <v/>
      </c>
      <c r="G771">
        <f>Q771=ROUND(760*0.3,10)</f>
        <v/>
      </c>
      <c r="H771">
        <f>R771=ROUND(760*0.05,10)</f>
        <v/>
      </c>
      <c r="I771">
        <f>S771=ROUND(760*0.01,10)</f>
        <v/>
      </c>
      <c r="J771">
        <f>T771=ROUND(760*0.7,10)</f>
        <v/>
      </c>
      <c r="K771">
        <f>U771=ROUND(760*1.1,10)</f>
        <v/>
      </c>
      <c r="L771">
        <f>V771=ROUND(760*0.25,10)</f>
        <v/>
      </c>
      <c r="M771">
        <f>W771=ROUND(760*0.5,10)</f>
        <v/>
      </c>
      <c r="O771">
        <f>O770+0.1</f>
        <v/>
      </c>
      <c r="P771">
        <f>P770+0.2</f>
        <v/>
      </c>
      <c r="Q771">
        <f>Q770+0.3</f>
        <v/>
      </c>
      <c r="R771">
        <f>R770+0.05</f>
        <v/>
      </c>
      <c r="S771">
        <f>S770+0.01</f>
        <v/>
      </c>
      <c r="T771">
        <f>T770+0.7</f>
        <v/>
      </c>
      <c r="U771">
        <f>U770+1.1</f>
        <v/>
      </c>
      <c r="V771">
        <f>V770+0.25</f>
        <v/>
      </c>
      <c r="W771">
        <f>W770+0.5</f>
        <v/>
      </c>
    </row>
    <row r="772">
      <c r="E772">
        <f>O772=ROUND(761*0.1,10)</f>
        <v/>
      </c>
      <c r="F772">
        <f>P772=ROUND(761*0.2,10)</f>
        <v/>
      </c>
      <c r="G772">
        <f>Q772=ROUND(761*0.3,10)</f>
        <v/>
      </c>
      <c r="H772">
        <f>R772=ROUND(761*0.05,10)</f>
        <v/>
      </c>
      <c r="I772">
        <f>S772=ROUND(761*0.01,10)</f>
        <v/>
      </c>
      <c r="J772">
        <f>T772=ROUND(761*0.7,10)</f>
        <v/>
      </c>
      <c r="K772">
        <f>U772=ROUND(761*1.1,10)</f>
        <v/>
      </c>
      <c r="L772">
        <f>V772=ROUND(761*0.25,10)</f>
        <v/>
      </c>
      <c r="M772">
        <f>W772=ROUND(761*0.5,10)</f>
        <v/>
      </c>
      <c r="O772">
        <f>O771+0.1</f>
        <v/>
      </c>
      <c r="P772">
        <f>P771+0.2</f>
        <v/>
      </c>
      <c r="Q772">
        <f>Q771+0.3</f>
        <v/>
      </c>
      <c r="R772">
        <f>R771+0.05</f>
        <v/>
      </c>
      <c r="S772">
        <f>S771+0.01</f>
        <v/>
      </c>
      <c r="T772">
        <f>T771+0.7</f>
        <v/>
      </c>
      <c r="U772">
        <f>U771+1.1</f>
        <v/>
      </c>
      <c r="V772">
        <f>V771+0.25</f>
        <v/>
      </c>
      <c r="W772">
        <f>W771+0.5</f>
        <v/>
      </c>
    </row>
    <row r="773">
      <c r="E773">
        <f>O773=ROUND(762*0.1,10)</f>
        <v/>
      </c>
      <c r="F773">
        <f>P773=ROUND(762*0.2,10)</f>
        <v/>
      </c>
      <c r="G773">
        <f>Q773=ROUND(762*0.3,10)</f>
        <v/>
      </c>
      <c r="H773">
        <f>R773=ROUND(762*0.05,10)</f>
        <v/>
      </c>
      <c r="I773">
        <f>S773=ROUND(762*0.01,10)</f>
        <v/>
      </c>
      <c r="J773">
        <f>T773=ROUND(762*0.7,10)</f>
        <v/>
      </c>
      <c r="K773">
        <f>U773=ROUND(762*1.1,10)</f>
        <v/>
      </c>
      <c r="L773">
        <f>V773=ROUND(762*0.25,10)</f>
        <v/>
      </c>
      <c r="M773">
        <f>W773=ROUND(762*0.5,10)</f>
        <v/>
      </c>
      <c r="O773">
        <f>O772+0.1</f>
        <v/>
      </c>
      <c r="P773">
        <f>P772+0.2</f>
        <v/>
      </c>
      <c r="Q773">
        <f>Q772+0.3</f>
        <v/>
      </c>
      <c r="R773">
        <f>R772+0.05</f>
        <v/>
      </c>
      <c r="S773">
        <f>S772+0.01</f>
        <v/>
      </c>
      <c r="T773">
        <f>T772+0.7</f>
        <v/>
      </c>
      <c r="U773">
        <f>U772+1.1</f>
        <v/>
      </c>
      <c r="V773">
        <f>V772+0.25</f>
        <v/>
      </c>
      <c r="W773">
        <f>W772+0.5</f>
        <v/>
      </c>
    </row>
    <row r="774">
      <c r="E774">
        <f>O774=ROUND(763*0.1,10)</f>
        <v/>
      </c>
      <c r="F774">
        <f>P774=ROUND(763*0.2,10)</f>
        <v/>
      </c>
      <c r="G774">
        <f>Q774=ROUND(763*0.3,10)</f>
        <v/>
      </c>
      <c r="H774">
        <f>R774=ROUND(763*0.05,10)</f>
        <v/>
      </c>
      <c r="I774">
        <f>S774=ROUND(763*0.01,10)</f>
        <v/>
      </c>
      <c r="J774">
        <f>T774=ROUND(763*0.7,10)</f>
        <v/>
      </c>
      <c r="K774">
        <f>U774=ROUND(763*1.1,10)</f>
        <v/>
      </c>
      <c r="L774">
        <f>V774=ROUND(763*0.25,10)</f>
        <v/>
      </c>
      <c r="M774">
        <f>W774=ROUND(763*0.5,10)</f>
        <v/>
      </c>
      <c r="O774">
        <f>O773+0.1</f>
        <v/>
      </c>
      <c r="P774">
        <f>P773+0.2</f>
        <v/>
      </c>
      <c r="Q774">
        <f>Q773+0.3</f>
        <v/>
      </c>
      <c r="R774">
        <f>R773+0.05</f>
        <v/>
      </c>
      <c r="S774">
        <f>S773+0.01</f>
        <v/>
      </c>
      <c r="T774">
        <f>T773+0.7</f>
        <v/>
      </c>
      <c r="U774">
        <f>U773+1.1</f>
        <v/>
      </c>
      <c r="V774">
        <f>V773+0.25</f>
        <v/>
      </c>
      <c r="W774">
        <f>W773+0.5</f>
        <v/>
      </c>
    </row>
    <row r="775">
      <c r="E775">
        <f>O775=ROUND(764*0.1,10)</f>
        <v/>
      </c>
      <c r="F775">
        <f>P775=ROUND(764*0.2,10)</f>
        <v/>
      </c>
      <c r="G775">
        <f>Q775=ROUND(764*0.3,10)</f>
        <v/>
      </c>
      <c r="H775">
        <f>R775=ROUND(764*0.05,10)</f>
        <v/>
      </c>
      <c r="I775">
        <f>S775=ROUND(764*0.01,10)</f>
        <v/>
      </c>
      <c r="J775">
        <f>T775=ROUND(764*0.7,10)</f>
        <v/>
      </c>
      <c r="K775">
        <f>U775=ROUND(764*1.1,10)</f>
        <v/>
      </c>
      <c r="L775">
        <f>V775=ROUND(764*0.25,10)</f>
        <v/>
      </c>
      <c r="M775">
        <f>W775=ROUND(764*0.5,10)</f>
        <v/>
      </c>
      <c r="O775">
        <f>O774+0.1</f>
        <v/>
      </c>
      <c r="P775">
        <f>P774+0.2</f>
        <v/>
      </c>
      <c r="Q775">
        <f>Q774+0.3</f>
        <v/>
      </c>
      <c r="R775">
        <f>R774+0.05</f>
        <v/>
      </c>
      <c r="S775">
        <f>S774+0.01</f>
        <v/>
      </c>
      <c r="T775">
        <f>T774+0.7</f>
        <v/>
      </c>
      <c r="U775">
        <f>U774+1.1</f>
        <v/>
      </c>
      <c r="V775">
        <f>V774+0.25</f>
        <v/>
      </c>
      <c r="W775">
        <f>W774+0.5</f>
        <v/>
      </c>
    </row>
    <row r="776">
      <c r="E776">
        <f>O776=ROUND(765*0.1,10)</f>
        <v/>
      </c>
      <c r="F776">
        <f>P776=ROUND(765*0.2,10)</f>
        <v/>
      </c>
      <c r="G776">
        <f>Q776=ROUND(765*0.3,10)</f>
        <v/>
      </c>
      <c r="H776">
        <f>R776=ROUND(765*0.05,10)</f>
        <v/>
      </c>
      <c r="I776">
        <f>S776=ROUND(765*0.01,10)</f>
        <v/>
      </c>
      <c r="J776">
        <f>T776=ROUND(765*0.7,10)</f>
        <v/>
      </c>
      <c r="K776">
        <f>U776=ROUND(765*1.1,10)</f>
        <v/>
      </c>
      <c r="L776">
        <f>V776=ROUND(765*0.25,10)</f>
        <v/>
      </c>
      <c r="M776">
        <f>W776=ROUND(765*0.5,10)</f>
        <v/>
      </c>
      <c r="O776">
        <f>O775+0.1</f>
        <v/>
      </c>
      <c r="P776">
        <f>P775+0.2</f>
        <v/>
      </c>
      <c r="Q776">
        <f>Q775+0.3</f>
        <v/>
      </c>
      <c r="R776">
        <f>R775+0.05</f>
        <v/>
      </c>
      <c r="S776">
        <f>S775+0.01</f>
        <v/>
      </c>
      <c r="T776">
        <f>T775+0.7</f>
        <v/>
      </c>
      <c r="U776">
        <f>U775+1.1</f>
        <v/>
      </c>
      <c r="V776">
        <f>V775+0.25</f>
        <v/>
      </c>
      <c r="W776">
        <f>W775+0.5</f>
        <v/>
      </c>
    </row>
    <row r="777">
      <c r="E777">
        <f>O777=ROUND(766*0.1,10)</f>
        <v/>
      </c>
      <c r="F777">
        <f>P777=ROUND(766*0.2,10)</f>
        <v/>
      </c>
      <c r="G777">
        <f>Q777=ROUND(766*0.3,10)</f>
        <v/>
      </c>
      <c r="H777">
        <f>R777=ROUND(766*0.05,10)</f>
        <v/>
      </c>
      <c r="I777">
        <f>S777=ROUND(766*0.01,10)</f>
        <v/>
      </c>
      <c r="J777">
        <f>T777=ROUND(766*0.7,10)</f>
        <v/>
      </c>
      <c r="K777">
        <f>U777=ROUND(766*1.1,10)</f>
        <v/>
      </c>
      <c r="L777">
        <f>V777=ROUND(766*0.25,10)</f>
        <v/>
      </c>
      <c r="M777">
        <f>W777=ROUND(766*0.5,10)</f>
        <v/>
      </c>
      <c r="O777">
        <f>O776+0.1</f>
        <v/>
      </c>
      <c r="P777">
        <f>P776+0.2</f>
        <v/>
      </c>
      <c r="Q777">
        <f>Q776+0.3</f>
        <v/>
      </c>
      <c r="R777">
        <f>R776+0.05</f>
        <v/>
      </c>
      <c r="S777">
        <f>S776+0.01</f>
        <v/>
      </c>
      <c r="T777">
        <f>T776+0.7</f>
        <v/>
      </c>
      <c r="U777">
        <f>U776+1.1</f>
        <v/>
      </c>
      <c r="V777">
        <f>V776+0.25</f>
        <v/>
      </c>
      <c r="W777">
        <f>W776+0.5</f>
        <v/>
      </c>
    </row>
    <row r="778">
      <c r="E778">
        <f>O778=ROUND(767*0.1,10)</f>
        <v/>
      </c>
      <c r="F778">
        <f>P778=ROUND(767*0.2,10)</f>
        <v/>
      </c>
      <c r="G778">
        <f>Q778=ROUND(767*0.3,10)</f>
        <v/>
      </c>
      <c r="H778">
        <f>R778=ROUND(767*0.05,10)</f>
        <v/>
      </c>
      <c r="I778">
        <f>S778=ROUND(767*0.01,10)</f>
        <v/>
      </c>
      <c r="J778">
        <f>T778=ROUND(767*0.7,10)</f>
        <v/>
      </c>
      <c r="K778">
        <f>U778=ROUND(767*1.1,10)</f>
        <v/>
      </c>
      <c r="L778">
        <f>V778=ROUND(767*0.25,10)</f>
        <v/>
      </c>
      <c r="M778">
        <f>W778=ROUND(767*0.5,10)</f>
        <v/>
      </c>
      <c r="O778">
        <f>O777+0.1</f>
        <v/>
      </c>
      <c r="P778">
        <f>P777+0.2</f>
        <v/>
      </c>
      <c r="Q778">
        <f>Q777+0.3</f>
        <v/>
      </c>
      <c r="R778">
        <f>R777+0.05</f>
        <v/>
      </c>
      <c r="S778">
        <f>S777+0.01</f>
        <v/>
      </c>
      <c r="T778">
        <f>T777+0.7</f>
        <v/>
      </c>
      <c r="U778">
        <f>U777+1.1</f>
        <v/>
      </c>
      <c r="V778">
        <f>V777+0.25</f>
        <v/>
      </c>
      <c r="W778">
        <f>W777+0.5</f>
        <v/>
      </c>
    </row>
    <row r="779">
      <c r="E779">
        <f>O779=ROUND(768*0.1,10)</f>
        <v/>
      </c>
      <c r="F779">
        <f>P779=ROUND(768*0.2,10)</f>
        <v/>
      </c>
      <c r="G779">
        <f>Q779=ROUND(768*0.3,10)</f>
        <v/>
      </c>
      <c r="H779">
        <f>R779=ROUND(768*0.05,10)</f>
        <v/>
      </c>
      <c r="I779">
        <f>S779=ROUND(768*0.01,10)</f>
        <v/>
      </c>
      <c r="J779">
        <f>T779=ROUND(768*0.7,10)</f>
        <v/>
      </c>
      <c r="K779">
        <f>U779=ROUND(768*1.1,10)</f>
        <v/>
      </c>
      <c r="L779">
        <f>V779=ROUND(768*0.25,10)</f>
        <v/>
      </c>
      <c r="M779">
        <f>W779=ROUND(768*0.5,10)</f>
        <v/>
      </c>
      <c r="O779">
        <f>O778+0.1</f>
        <v/>
      </c>
      <c r="P779">
        <f>P778+0.2</f>
        <v/>
      </c>
      <c r="Q779">
        <f>Q778+0.3</f>
        <v/>
      </c>
      <c r="R779">
        <f>R778+0.05</f>
        <v/>
      </c>
      <c r="S779">
        <f>S778+0.01</f>
        <v/>
      </c>
      <c r="T779">
        <f>T778+0.7</f>
        <v/>
      </c>
      <c r="U779">
        <f>U778+1.1</f>
        <v/>
      </c>
      <c r="V779">
        <f>V778+0.25</f>
        <v/>
      </c>
      <c r="W779">
        <f>W778+0.5</f>
        <v/>
      </c>
    </row>
    <row r="780">
      <c r="E780">
        <f>O780=ROUND(769*0.1,10)</f>
        <v/>
      </c>
      <c r="F780">
        <f>P780=ROUND(769*0.2,10)</f>
        <v/>
      </c>
      <c r="G780">
        <f>Q780=ROUND(769*0.3,10)</f>
        <v/>
      </c>
      <c r="H780">
        <f>R780=ROUND(769*0.05,10)</f>
        <v/>
      </c>
      <c r="I780">
        <f>S780=ROUND(769*0.01,10)</f>
        <v/>
      </c>
      <c r="J780">
        <f>T780=ROUND(769*0.7,10)</f>
        <v/>
      </c>
      <c r="K780">
        <f>U780=ROUND(769*1.1,10)</f>
        <v/>
      </c>
      <c r="L780">
        <f>V780=ROUND(769*0.25,10)</f>
        <v/>
      </c>
      <c r="M780">
        <f>W780=ROUND(769*0.5,10)</f>
        <v/>
      </c>
      <c r="O780">
        <f>O779+0.1</f>
        <v/>
      </c>
      <c r="P780">
        <f>P779+0.2</f>
        <v/>
      </c>
      <c r="Q780">
        <f>Q779+0.3</f>
        <v/>
      </c>
      <c r="R780">
        <f>R779+0.05</f>
        <v/>
      </c>
      <c r="S780">
        <f>S779+0.01</f>
        <v/>
      </c>
      <c r="T780">
        <f>T779+0.7</f>
        <v/>
      </c>
      <c r="U780">
        <f>U779+1.1</f>
        <v/>
      </c>
      <c r="V780">
        <f>V779+0.25</f>
        <v/>
      </c>
      <c r="W780">
        <f>W779+0.5</f>
        <v/>
      </c>
    </row>
    <row r="781">
      <c r="E781">
        <f>O781=ROUND(770*0.1,10)</f>
        <v/>
      </c>
      <c r="F781">
        <f>P781=ROUND(770*0.2,10)</f>
        <v/>
      </c>
      <c r="G781">
        <f>Q781=ROUND(770*0.3,10)</f>
        <v/>
      </c>
      <c r="H781">
        <f>R781=ROUND(770*0.05,10)</f>
        <v/>
      </c>
      <c r="I781">
        <f>S781=ROUND(770*0.01,10)</f>
        <v/>
      </c>
      <c r="J781">
        <f>T781=ROUND(770*0.7,10)</f>
        <v/>
      </c>
      <c r="K781">
        <f>U781=ROUND(770*1.1,10)</f>
        <v/>
      </c>
      <c r="L781">
        <f>V781=ROUND(770*0.25,10)</f>
        <v/>
      </c>
      <c r="M781">
        <f>W781=ROUND(770*0.5,10)</f>
        <v/>
      </c>
      <c r="O781">
        <f>O780+0.1</f>
        <v/>
      </c>
      <c r="P781">
        <f>P780+0.2</f>
        <v/>
      </c>
      <c r="Q781">
        <f>Q780+0.3</f>
        <v/>
      </c>
      <c r="R781">
        <f>R780+0.05</f>
        <v/>
      </c>
      <c r="S781">
        <f>S780+0.01</f>
        <v/>
      </c>
      <c r="T781">
        <f>T780+0.7</f>
        <v/>
      </c>
      <c r="U781">
        <f>U780+1.1</f>
        <v/>
      </c>
      <c r="V781">
        <f>V780+0.25</f>
        <v/>
      </c>
      <c r="W781">
        <f>W780+0.5</f>
        <v/>
      </c>
    </row>
    <row r="782">
      <c r="E782">
        <f>O782=ROUND(771*0.1,10)</f>
        <v/>
      </c>
      <c r="F782">
        <f>P782=ROUND(771*0.2,10)</f>
        <v/>
      </c>
      <c r="G782">
        <f>Q782=ROUND(771*0.3,10)</f>
        <v/>
      </c>
      <c r="H782">
        <f>R782=ROUND(771*0.05,10)</f>
        <v/>
      </c>
      <c r="I782">
        <f>S782=ROUND(771*0.01,10)</f>
        <v/>
      </c>
      <c r="J782">
        <f>T782=ROUND(771*0.7,10)</f>
        <v/>
      </c>
      <c r="K782">
        <f>U782=ROUND(771*1.1,10)</f>
        <v/>
      </c>
      <c r="L782">
        <f>V782=ROUND(771*0.25,10)</f>
        <v/>
      </c>
      <c r="M782">
        <f>W782=ROUND(771*0.5,10)</f>
        <v/>
      </c>
      <c r="O782">
        <f>O781+0.1</f>
        <v/>
      </c>
      <c r="P782">
        <f>P781+0.2</f>
        <v/>
      </c>
      <c r="Q782">
        <f>Q781+0.3</f>
        <v/>
      </c>
      <c r="R782">
        <f>R781+0.05</f>
        <v/>
      </c>
      <c r="S782">
        <f>S781+0.01</f>
        <v/>
      </c>
      <c r="T782">
        <f>T781+0.7</f>
        <v/>
      </c>
      <c r="U782">
        <f>U781+1.1</f>
        <v/>
      </c>
      <c r="V782">
        <f>V781+0.25</f>
        <v/>
      </c>
      <c r="W782">
        <f>W781+0.5</f>
        <v/>
      </c>
    </row>
    <row r="783">
      <c r="E783">
        <f>O783=ROUND(772*0.1,10)</f>
        <v/>
      </c>
      <c r="F783">
        <f>P783=ROUND(772*0.2,10)</f>
        <v/>
      </c>
      <c r="G783">
        <f>Q783=ROUND(772*0.3,10)</f>
        <v/>
      </c>
      <c r="H783">
        <f>R783=ROUND(772*0.05,10)</f>
        <v/>
      </c>
      <c r="I783">
        <f>S783=ROUND(772*0.01,10)</f>
        <v/>
      </c>
      <c r="J783">
        <f>T783=ROUND(772*0.7,10)</f>
        <v/>
      </c>
      <c r="K783">
        <f>U783=ROUND(772*1.1,10)</f>
        <v/>
      </c>
      <c r="L783">
        <f>V783=ROUND(772*0.25,10)</f>
        <v/>
      </c>
      <c r="M783">
        <f>W783=ROUND(772*0.5,10)</f>
        <v/>
      </c>
      <c r="O783">
        <f>O782+0.1</f>
        <v/>
      </c>
      <c r="P783">
        <f>P782+0.2</f>
        <v/>
      </c>
      <c r="Q783">
        <f>Q782+0.3</f>
        <v/>
      </c>
      <c r="R783">
        <f>R782+0.05</f>
        <v/>
      </c>
      <c r="S783">
        <f>S782+0.01</f>
        <v/>
      </c>
      <c r="T783">
        <f>T782+0.7</f>
        <v/>
      </c>
      <c r="U783">
        <f>U782+1.1</f>
        <v/>
      </c>
      <c r="V783">
        <f>V782+0.25</f>
        <v/>
      </c>
      <c r="W783">
        <f>W782+0.5</f>
        <v/>
      </c>
    </row>
    <row r="784">
      <c r="E784">
        <f>O784=ROUND(773*0.1,10)</f>
        <v/>
      </c>
      <c r="F784">
        <f>P784=ROUND(773*0.2,10)</f>
        <v/>
      </c>
      <c r="G784">
        <f>Q784=ROUND(773*0.3,10)</f>
        <v/>
      </c>
      <c r="H784">
        <f>R784=ROUND(773*0.05,10)</f>
        <v/>
      </c>
      <c r="I784">
        <f>S784=ROUND(773*0.01,10)</f>
        <v/>
      </c>
      <c r="J784">
        <f>T784=ROUND(773*0.7,10)</f>
        <v/>
      </c>
      <c r="K784">
        <f>U784=ROUND(773*1.1,10)</f>
        <v/>
      </c>
      <c r="L784">
        <f>V784=ROUND(773*0.25,10)</f>
        <v/>
      </c>
      <c r="M784">
        <f>W784=ROUND(773*0.5,10)</f>
        <v/>
      </c>
      <c r="O784">
        <f>O783+0.1</f>
        <v/>
      </c>
      <c r="P784">
        <f>P783+0.2</f>
        <v/>
      </c>
      <c r="Q784">
        <f>Q783+0.3</f>
        <v/>
      </c>
      <c r="R784">
        <f>R783+0.05</f>
        <v/>
      </c>
      <c r="S784">
        <f>S783+0.01</f>
        <v/>
      </c>
      <c r="T784">
        <f>T783+0.7</f>
        <v/>
      </c>
      <c r="U784">
        <f>U783+1.1</f>
        <v/>
      </c>
      <c r="V784">
        <f>V783+0.25</f>
        <v/>
      </c>
      <c r="W784">
        <f>W783+0.5</f>
        <v/>
      </c>
    </row>
    <row r="785">
      <c r="E785">
        <f>O785=ROUND(774*0.1,10)</f>
        <v/>
      </c>
      <c r="F785">
        <f>P785=ROUND(774*0.2,10)</f>
        <v/>
      </c>
      <c r="G785">
        <f>Q785=ROUND(774*0.3,10)</f>
        <v/>
      </c>
      <c r="H785">
        <f>R785=ROUND(774*0.05,10)</f>
        <v/>
      </c>
      <c r="I785">
        <f>S785=ROUND(774*0.01,10)</f>
        <v/>
      </c>
      <c r="J785">
        <f>T785=ROUND(774*0.7,10)</f>
        <v/>
      </c>
      <c r="K785">
        <f>U785=ROUND(774*1.1,10)</f>
        <v/>
      </c>
      <c r="L785">
        <f>V785=ROUND(774*0.25,10)</f>
        <v/>
      </c>
      <c r="M785">
        <f>W785=ROUND(774*0.5,10)</f>
        <v/>
      </c>
      <c r="O785">
        <f>O784+0.1</f>
        <v/>
      </c>
      <c r="P785">
        <f>P784+0.2</f>
        <v/>
      </c>
      <c r="Q785">
        <f>Q784+0.3</f>
        <v/>
      </c>
      <c r="R785">
        <f>R784+0.05</f>
        <v/>
      </c>
      <c r="S785">
        <f>S784+0.01</f>
        <v/>
      </c>
      <c r="T785">
        <f>T784+0.7</f>
        <v/>
      </c>
      <c r="U785">
        <f>U784+1.1</f>
        <v/>
      </c>
      <c r="V785">
        <f>V784+0.25</f>
        <v/>
      </c>
      <c r="W785">
        <f>W784+0.5</f>
        <v/>
      </c>
    </row>
    <row r="786">
      <c r="E786">
        <f>O786=ROUND(775*0.1,10)</f>
        <v/>
      </c>
      <c r="F786">
        <f>P786=ROUND(775*0.2,10)</f>
        <v/>
      </c>
      <c r="G786">
        <f>Q786=ROUND(775*0.3,10)</f>
        <v/>
      </c>
      <c r="H786">
        <f>R786=ROUND(775*0.05,10)</f>
        <v/>
      </c>
      <c r="I786">
        <f>S786=ROUND(775*0.01,10)</f>
        <v/>
      </c>
      <c r="J786">
        <f>T786=ROUND(775*0.7,10)</f>
        <v/>
      </c>
      <c r="K786">
        <f>U786=ROUND(775*1.1,10)</f>
        <v/>
      </c>
      <c r="L786">
        <f>V786=ROUND(775*0.25,10)</f>
        <v/>
      </c>
      <c r="M786">
        <f>W786=ROUND(775*0.5,10)</f>
        <v/>
      </c>
      <c r="O786">
        <f>O785+0.1</f>
        <v/>
      </c>
      <c r="P786">
        <f>P785+0.2</f>
        <v/>
      </c>
      <c r="Q786">
        <f>Q785+0.3</f>
        <v/>
      </c>
      <c r="R786">
        <f>R785+0.05</f>
        <v/>
      </c>
      <c r="S786">
        <f>S785+0.01</f>
        <v/>
      </c>
      <c r="T786">
        <f>T785+0.7</f>
        <v/>
      </c>
      <c r="U786">
        <f>U785+1.1</f>
        <v/>
      </c>
      <c r="V786">
        <f>V785+0.25</f>
        <v/>
      </c>
      <c r="W786">
        <f>W785+0.5</f>
        <v/>
      </c>
    </row>
    <row r="787">
      <c r="E787">
        <f>O787=ROUND(776*0.1,10)</f>
        <v/>
      </c>
      <c r="F787">
        <f>P787=ROUND(776*0.2,10)</f>
        <v/>
      </c>
      <c r="G787">
        <f>Q787=ROUND(776*0.3,10)</f>
        <v/>
      </c>
      <c r="H787">
        <f>R787=ROUND(776*0.05,10)</f>
        <v/>
      </c>
      <c r="I787">
        <f>S787=ROUND(776*0.01,10)</f>
        <v/>
      </c>
      <c r="J787">
        <f>T787=ROUND(776*0.7,10)</f>
        <v/>
      </c>
      <c r="K787">
        <f>U787=ROUND(776*1.1,10)</f>
        <v/>
      </c>
      <c r="L787">
        <f>V787=ROUND(776*0.25,10)</f>
        <v/>
      </c>
      <c r="M787">
        <f>W787=ROUND(776*0.5,10)</f>
        <v/>
      </c>
      <c r="O787">
        <f>O786+0.1</f>
        <v/>
      </c>
      <c r="P787">
        <f>P786+0.2</f>
        <v/>
      </c>
      <c r="Q787">
        <f>Q786+0.3</f>
        <v/>
      </c>
      <c r="R787">
        <f>R786+0.05</f>
        <v/>
      </c>
      <c r="S787">
        <f>S786+0.01</f>
        <v/>
      </c>
      <c r="T787">
        <f>T786+0.7</f>
        <v/>
      </c>
      <c r="U787">
        <f>U786+1.1</f>
        <v/>
      </c>
      <c r="V787">
        <f>V786+0.25</f>
        <v/>
      </c>
      <c r="W787">
        <f>W786+0.5</f>
        <v/>
      </c>
    </row>
    <row r="788">
      <c r="E788">
        <f>O788=ROUND(777*0.1,10)</f>
        <v/>
      </c>
      <c r="F788">
        <f>P788=ROUND(777*0.2,10)</f>
        <v/>
      </c>
      <c r="G788">
        <f>Q788=ROUND(777*0.3,10)</f>
        <v/>
      </c>
      <c r="H788">
        <f>R788=ROUND(777*0.05,10)</f>
        <v/>
      </c>
      <c r="I788">
        <f>S788=ROUND(777*0.01,10)</f>
        <v/>
      </c>
      <c r="J788">
        <f>T788=ROUND(777*0.7,10)</f>
        <v/>
      </c>
      <c r="K788">
        <f>U788=ROUND(777*1.1,10)</f>
        <v/>
      </c>
      <c r="L788">
        <f>V788=ROUND(777*0.25,10)</f>
        <v/>
      </c>
      <c r="M788">
        <f>W788=ROUND(777*0.5,10)</f>
        <v/>
      </c>
      <c r="O788">
        <f>O787+0.1</f>
        <v/>
      </c>
      <c r="P788">
        <f>P787+0.2</f>
        <v/>
      </c>
      <c r="Q788">
        <f>Q787+0.3</f>
        <v/>
      </c>
      <c r="R788">
        <f>R787+0.05</f>
        <v/>
      </c>
      <c r="S788">
        <f>S787+0.01</f>
        <v/>
      </c>
      <c r="T788">
        <f>T787+0.7</f>
        <v/>
      </c>
      <c r="U788">
        <f>U787+1.1</f>
        <v/>
      </c>
      <c r="V788">
        <f>V787+0.25</f>
        <v/>
      </c>
      <c r="W788">
        <f>W787+0.5</f>
        <v/>
      </c>
    </row>
    <row r="789">
      <c r="E789">
        <f>O789=ROUND(778*0.1,10)</f>
        <v/>
      </c>
      <c r="F789">
        <f>P789=ROUND(778*0.2,10)</f>
        <v/>
      </c>
      <c r="G789">
        <f>Q789=ROUND(778*0.3,10)</f>
        <v/>
      </c>
      <c r="H789">
        <f>R789=ROUND(778*0.05,10)</f>
        <v/>
      </c>
      <c r="I789">
        <f>S789=ROUND(778*0.01,10)</f>
        <v/>
      </c>
      <c r="J789">
        <f>T789=ROUND(778*0.7,10)</f>
        <v/>
      </c>
      <c r="K789">
        <f>U789=ROUND(778*1.1,10)</f>
        <v/>
      </c>
      <c r="L789">
        <f>V789=ROUND(778*0.25,10)</f>
        <v/>
      </c>
      <c r="M789">
        <f>W789=ROUND(778*0.5,10)</f>
        <v/>
      </c>
      <c r="O789">
        <f>O788+0.1</f>
        <v/>
      </c>
      <c r="P789">
        <f>P788+0.2</f>
        <v/>
      </c>
      <c r="Q789">
        <f>Q788+0.3</f>
        <v/>
      </c>
      <c r="R789">
        <f>R788+0.05</f>
        <v/>
      </c>
      <c r="S789">
        <f>S788+0.01</f>
        <v/>
      </c>
      <c r="T789">
        <f>T788+0.7</f>
        <v/>
      </c>
      <c r="U789">
        <f>U788+1.1</f>
        <v/>
      </c>
      <c r="V789">
        <f>V788+0.25</f>
        <v/>
      </c>
      <c r="W789">
        <f>W788+0.5</f>
        <v/>
      </c>
    </row>
    <row r="790">
      <c r="E790">
        <f>O790=ROUND(779*0.1,10)</f>
        <v/>
      </c>
      <c r="F790">
        <f>P790=ROUND(779*0.2,10)</f>
        <v/>
      </c>
      <c r="G790">
        <f>Q790=ROUND(779*0.3,10)</f>
        <v/>
      </c>
      <c r="H790">
        <f>R790=ROUND(779*0.05,10)</f>
        <v/>
      </c>
      <c r="I790">
        <f>S790=ROUND(779*0.01,10)</f>
        <v/>
      </c>
      <c r="J790">
        <f>T790=ROUND(779*0.7,10)</f>
        <v/>
      </c>
      <c r="K790">
        <f>U790=ROUND(779*1.1,10)</f>
        <v/>
      </c>
      <c r="L790">
        <f>V790=ROUND(779*0.25,10)</f>
        <v/>
      </c>
      <c r="M790">
        <f>W790=ROUND(779*0.5,10)</f>
        <v/>
      </c>
      <c r="O790">
        <f>O789+0.1</f>
        <v/>
      </c>
      <c r="P790">
        <f>P789+0.2</f>
        <v/>
      </c>
      <c r="Q790">
        <f>Q789+0.3</f>
        <v/>
      </c>
      <c r="R790">
        <f>R789+0.05</f>
        <v/>
      </c>
      <c r="S790">
        <f>S789+0.01</f>
        <v/>
      </c>
      <c r="T790">
        <f>T789+0.7</f>
        <v/>
      </c>
      <c r="U790">
        <f>U789+1.1</f>
        <v/>
      </c>
      <c r="V790">
        <f>V789+0.25</f>
        <v/>
      </c>
      <c r="W790">
        <f>W789+0.5</f>
        <v/>
      </c>
    </row>
    <row r="791">
      <c r="E791">
        <f>O791=ROUND(780*0.1,10)</f>
        <v/>
      </c>
      <c r="F791">
        <f>P791=ROUND(780*0.2,10)</f>
        <v/>
      </c>
      <c r="G791">
        <f>Q791=ROUND(780*0.3,10)</f>
        <v/>
      </c>
      <c r="H791">
        <f>R791=ROUND(780*0.05,10)</f>
        <v/>
      </c>
      <c r="I791">
        <f>S791=ROUND(780*0.01,10)</f>
        <v/>
      </c>
      <c r="J791">
        <f>T791=ROUND(780*0.7,10)</f>
        <v/>
      </c>
      <c r="K791">
        <f>U791=ROUND(780*1.1,10)</f>
        <v/>
      </c>
      <c r="L791">
        <f>V791=ROUND(780*0.25,10)</f>
        <v/>
      </c>
      <c r="M791">
        <f>W791=ROUND(780*0.5,10)</f>
        <v/>
      </c>
      <c r="O791">
        <f>O790+0.1</f>
        <v/>
      </c>
      <c r="P791">
        <f>P790+0.2</f>
        <v/>
      </c>
      <c r="Q791">
        <f>Q790+0.3</f>
        <v/>
      </c>
      <c r="R791">
        <f>R790+0.05</f>
        <v/>
      </c>
      <c r="S791">
        <f>S790+0.01</f>
        <v/>
      </c>
      <c r="T791">
        <f>T790+0.7</f>
        <v/>
      </c>
      <c r="U791">
        <f>U790+1.1</f>
        <v/>
      </c>
      <c r="V791">
        <f>V790+0.25</f>
        <v/>
      </c>
      <c r="W791">
        <f>W790+0.5</f>
        <v/>
      </c>
    </row>
    <row r="792">
      <c r="E792">
        <f>O792=ROUND(781*0.1,10)</f>
        <v/>
      </c>
      <c r="F792">
        <f>P792=ROUND(781*0.2,10)</f>
        <v/>
      </c>
      <c r="G792">
        <f>Q792=ROUND(781*0.3,10)</f>
        <v/>
      </c>
      <c r="H792">
        <f>R792=ROUND(781*0.05,10)</f>
        <v/>
      </c>
      <c r="I792">
        <f>S792=ROUND(781*0.01,10)</f>
        <v/>
      </c>
      <c r="J792">
        <f>T792=ROUND(781*0.7,10)</f>
        <v/>
      </c>
      <c r="K792">
        <f>U792=ROUND(781*1.1,10)</f>
        <v/>
      </c>
      <c r="L792">
        <f>V792=ROUND(781*0.25,10)</f>
        <v/>
      </c>
      <c r="M792">
        <f>W792=ROUND(781*0.5,10)</f>
        <v/>
      </c>
      <c r="O792">
        <f>O791+0.1</f>
        <v/>
      </c>
      <c r="P792">
        <f>P791+0.2</f>
        <v/>
      </c>
      <c r="Q792">
        <f>Q791+0.3</f>
        <v/>
      </c>
      <c r="R792">
        <f>R791+0.05</f>
        <v/>
      </c>
      <c r="S792">
        <f>S791+0.01</f>
        <v/>
      </c>
      <c r="T792">
        <f>T791+0.7</f>
        <v/>
      </c>
      <c r="U792">
        <f>U791+1.1</f>
        <v/>
      </c>
      <c r="V792">
        <f>V791+0.25</f>
        <v/>
      </c>
      <c r="W792">
        <f>W791+0.5</f>
        <v/>
      </c>
    </row>
    <row r="793">
      <c r="E793">
        <f>O793=ROUND(782*0.1,10)</f>
        <v/>
      </c>
      <c r="F793">
        <f>P793=ROUND(782*0.2,10)</f>
        <v/>
      </c>
      <c r="G793">
        <f>Q793=ROUND(782*0.3,10)</f>
        <v/>
      </c>
      <c r="H793">
        <f>R793=ROUND(782*0.05,10)</f>
        <v/>
      </c>
      <c r="I793">
        <f>S793=ROUND(782*0.01,10)</f>
        <v/>
      </c>
      <c r="J793">
        <f>T793=ROUND(782*0.7,10)</f>
        <v/>
      </c>
      <c r="K793">
        <f>U793=ROUND(782*1.1,10)</f>
        <v/>
      </c>
      <c r="L793">
        <f>V793=ROUND(782*0.25,10)</f>
        <v/>
      </c>
      <c r="M793">
        <f>W793=ROUND(782*0.5,10)</f>
        <v/>
      </c>
      <c r="O793">
        <f>O792+0.1</f>
        <v/>
      </c>
      <c r="P793">
        <f>P792+0.2</f>
        <v/>
      </c>
      <c r="Q793">
        <f>Q792+0.3</f>
        <v/>
      </c>
      <c r="R793">
        <f>R792+0.05</f>
        <v/>
      </c>
      <c r="S793">
        <f>S792+0.01</f>
        <v/>
      </c>
      <c r="T793">
        <f>T792+0.7</f>
        <v/>
      </c>
      <c r="U793">
        <f>U792+1.1</f>
        <v/>
      </c>
      <c r="V793">
        <f>V792+0.25</f>
        <v/>
      </c>
      <c r="W793">
        <f>W792+0.5</f>
        <v/>
      </c>
    </row>
    <row r="794">
      <c r="E794">
        <f>O794=ROUND(783*0.1,10)</f>
        <v/>
      </c>
      <c r="F794">
        <f>P794=ROUND(783*0.2,10)</f>
        <v/>
      </c>
      <c r="G794">
        <f>Q794=ROUND(783*0.3,10)</f>
        <v/>
      </c>
      <c r="H794">
        <f>R794=ROUND(783*0.05,10)</f>
        <v/>
      </c>
      <c r="I794">
        <f>S794=ROUND(783*0.01,10)</f>
        <v/>
      </c>
      <c r="J794">
        <f>T794=ROUND(783*0.7,10)</f>
        <v/>
      </c>
      <c r="K794">
        <f>U794=ROUND(783*1.1,10)</f>
        <v/>
      </c>
      <c r="L794">
        <f>V794=ROUND(783*0.25,10)</f>
        <v/>
      </c>
      <c r="M794">
        <f>W794=ROUND(783*0.5,10)</f>
        <v/>
      </c>
      <c r="O794">
        <f>O793+0.1</f>
        <v/>
      </c>
      <c r="P794">
        <f>P793+0.2</f>
        <v/>
      </c>
      <c r="Q794">
        <f>Q793+0.3</f>
        <v/>
      </c>
      <c r="R794">
        <f>R793+0.05</f>
        <v/>
      </c>
      <c r="S794">
        <f>S793+0.01</f>
        <v/>
      </c>
      <c r="T794">
        <f>T793+0.7</f>
        <v/>
      </c>
      <c r="U794">
        <f>U793+1.1</f>
        <v/>
      </c>
      <c r="V794">
        <f>V793+0.25</f>
        <v/>
      </c>
      <c r="W794">
        <f>W793+0.5</f>
        <v/>
      </c>
    </row>
    <row r="795">
      <c r="E795">
        <f>O795=ROUND(784*0.1,10)</f>
        <v/>
      </c>
      <c r="F795">
        <f>P795=ROUND(784*0.2,10)</f>
        <v/>
      </c>
      <c r="G795">
        <f>Q795=ROUND(784*0.3,10)</f>
        <v/>
      </c>
      <c r="H795">
        <f>R795=ROUND(784*0.05,10)</f>
        <v/>
      </c>
      <c r="I795">
        <f>S795=ROUND(784*0.01,10)</f>
        <v/>
      </c>
      <c r="J795">
        <f>T795=ROUND(784*0.7,10)</f>
        <v/>
      </c>
      <c r="K795">
        <f>U795=ROUND(784*1.1,10)</f>
        <v/>
      </c>
      <c r="L795">
        <f>V795=ROUND(784*0.25,10)</f>
        <v/>
      </c>
      <c r="M795">
        <f>W795=ROUND(784*0.5,10)</f>
        <v/>
      </c>
      <c r="O795">
        <f>O794+0.1</f>
        <v/>
      </c>
      <c r="P795">
        <f>P794+0.2</f>
        <v/>
      </c>
      <c r="Q795">
        <f>Q794+0.3</f>
        <v/>
      </c>
      <c r="R795">
        <f>R794+0.05</f>
        <v/>
      </c>
      <c r="S795">
        <f>S794+0.01</f>
        <v/>
      </c>
      <c r="T795">
        <f>T794+0.7</f>
        <v/>
      </c>
      <c r="U795">
        <f>U794+1.1</f>
        <v/>
      </c>
      <c r="V795">
        <f>V794+0.25</f>
        <v/>
      </c>
      <c r="W795">
        <f>W794+0.5</f>
        <v/>
      </c>
    </row>
    <row r="796">
      <c r="E796">
        <f>O796=ROUND(785*0.1,10)</f>
        <v/>
      </c>
      <c r="F796">
        <f>P796=ROUND(785*0.2,10)</f>
        <v/>
      </c>
      <c r="G796">
        <f>Q796=ROUND(785*0.3,10)</f>
        <v/>
      </c>
      <c r="H796">
        <f>R796=ROUND(785*0.05,10)</f>
        <v/>
      </c>
      <c r="I796">
        <f>S796=ROUND(785*0.01,10)</f>
        <v/>
      </c>
      <c r="J796">
        <f>T796=ROUND(785*0.7,10)</f>
        <v/>
      </c>
      <c r="K796">
        <f>U796=ROUND(785*1.1,10)</f>
        <v/>
      </c>
      <c r="L796">
        <f>V796=ROUND(785*0.25,10)</f>
        <v/>
      </c>
      <c r="M796">
        <f>W796=ROUND(785*0.5,10)</f>
        <v/>
      </c>
      <c r="O796">
        <f>O795+0.1</f>
        <v/>
      </c>
      <c r="P796">
        <f>P795+0.2</f>
        <v/>
      </c>
      <c r="Q796">
        <f>Q795+0.3</f>
        <v/>
      </c>
      <c r="R796">
        <f>R795+0.05</f>
        <v/>
      </c>
      <c r="S796">
        <f>S795+0.01</f>
        <v/>
      </c>
      <c r="T796">
        <f>T795+0.7</f>
        <v/>
      </c>
      <c r="U796">
        <f>U795+1.1</f>
        <v/>
      </c>
      <c r="V796">
        <f>V795+0.25</f>
        <v/>
      </c>
      <c r="W796">
        <f>W795+0.5</f>
        <v/>
      </c>
    </row>
    <row r="797">
      <c r="E797">
        <f>O797=ROUND(786*0.1,10)</f>
        <v/>
      </c>
      <c r="F797">
        <f>P797=ROUND(786*0.2,10)</f>
        <v/>
      </c>
      <c r="G797">
        <f>Q797=ROUND(786*0.3,10)</f>
        <v/>
      </c>
      <c r="H797">
        <f>R797=ROUND(786*0.05,10)</f>
        <v/>
      </c>
      <c r="I797">
        <f>S797=ROUND(786*0.01,10)</f>
        <v/>
      </c>
      <c r="J797">
        <f>T797=ROUND(786*0.7,10)</f>
        <v/>
      </c>
      <c r="K797">
        <f>U797=ROUND(786*1.1,10)</f>
        <v/>
      </c>
      <c r="L797">
        <f>V797=ROUND(786*0.25,10)</f>
        <v/>
      </c>
      <c r="M797">
        <f>W797=ROUND(786*0.5,10)</f>
        <v/>
      </c>
      <c r="O797">
        <f>O796+0.1</f>
        <v/>
      </c>
      <c r="P797">
        <f>P796+0.2</f>
        <v/>
      </c>
      <c r="Q797">
        <f>Q796+0.3</f>
        <v/>
      </c>
      <c r="R797">
        <f>R796+0.05</f>
        <v/>
      </c>
      <c r="S797">
        <f>S796+0.01</f>
        <v/>
      </c>
      <c r="T797">
        <f>T796+0.7</f>
        <v/>
      </c>
      <c r="U797">
        <f>U796+1.1</f>
        <v/>
      </c>
      <c r="V797">
        <f>V796+0.25</f>
        <v/>
      </c>
      <c r="W797">
        <f>W796+0.5</f>
        <v/>
      </c>
    </row>
    <row r="798">
      <c r="E798">
        <f>O798=ROUND(787*0.1,10)</f>
        <v/>
      </c>
      <c r="F798">
        <f>P798=ROUND(787*0.2,10)</f>
        <v/>
      </c>
      <c r="G798">
        <f>Q798=ROUND(787*0.3,10)</f>
        <v/>
      </c>
      <c r="H798">
        <f>R798=ROUND(787*0.05,10)</f>
        <v/>
      </c>
      <c r="I798">
        <f>S798=ROUND(787*0.01,10)</f>
        <v/>
      </c>
      <c r="J798">
        <f>T798=ROUND(787*0.7,10)</f>
        <v/>
      </c>
      <c r="K798">
        <f>U798=ROUND(787*1.1,10)</f>
        <v/>
      </c>
      <c r="L798">
        <f>V798=ROUND(787*0.25,10)</f>
        <v/>
      </c>
      <c r="M798">
        <f>W798=ROUND(787*0.5,10)</f>
        <v/>
      </c>
      <c r="O798">
        <f>O797+0.1</f>
        <v/>
      </c>
      <c r="P798">
        <f>P797+0.2</f>
        <v/>
      </c>
      <c r="Q798">
        <f>Q797+0.3</f>
        <v/>
      </c>
      <c r="R798">
        <f>R797+0.05</f>
        <v/>
      </c>
      <c r="S798">
        <f>S797+0.01</f>
        <v/>
      </c>
      <c r="T798">
        <f>T797+0.7</f>
        <v/>
      </c>
      <c r="U798">
        <f>U797+1.1</f>
        <v/>
      </c>
      <c r="V798">
        <f>V797+0.25</f>
        <v/>
      </c>
      <c r="W798">
        <f>W797+0.5</f>
        <v/>
      </c>
    </row>
    <row r="799">
      <c r="E799">
        <f>O799=ROUND(788*0.1,10)</f>
        <v/>
      </c>
      <c r="F799">
        <f>P799=ROUND(788*0.2,10)</f>
        <v/>
      </c>
      <c r="G799">
        <f>Q799=ROUND(788*0.3,10)</f>
        <v/>
      </c>
      <c r="H799">
        <f>R799=ROUND(788*0.05,10)</f>
        <v/>
      </c>
      <c r="I799">
        <f>S799=ROUND(788*0.01,10)</f>
        <v/>
      </c>
      <c r="J799">
        <f>T799=ROUND(788*0.7,10)</f>
        <v/>
      </c>
      <c r="K799">
        <f>U799=ROUND(788*1.1,10)</f>
        <v/>
      </c>
      <c r="L799">
        <f>V799=ROUND(788*0.25,10)</f>
        <v/>
      </c>
      <c r="M799">
        <f>W799=ROUND(788*0.5,10)</f>
        <v/>
      </c>
      <c r="O799">
        <f>O798+0.1</f>
        <v/>
      </c>
      <c r="P799">
        <f>P798+0.2</f>
        <v/>
      </c>
      <c r="Q799">
        <f>Q798+0.3</f>
        <v/>
      </c>
      <c r="R799">
        <f>R798+0.05</f>
        <v/>
      </c>
      <c r="S799">
        <f>S798+0.01</f>
        <v/>
      </c>
      <c r="T799">
        <f>T798+0.7</f>
        <v/>
      </c>
      <c r="U799">
        <f>U798+1.1</f>
        <v/>
      </c>
      <c r="V799">
        <f>V798+0.25</f>
        <v/>
      </c>
      <c r="W799">
        <f>W798+0.5</f>
        <v/>
      </c>
    </row>
    <row r="800">
      <c r="E800">
        <f>O800=ROUND(789*0.1,10)</f>
        <v/>
      </c>
      <c r="F800">
        <f>P800=ROUND(789*0.2,10)</f>
        <v/>
      </c>
      <c r="G800">
        <f>Q800=ROUND(789*0.3,10)</f>
        <v/>
      </c>
      <c r="H800">
        <f>R800=ROUND(789*0.05,10)</f>
        <v/>
      </c>
      <c r="I800">
        <f>S800=ROUND(789*0.01,10)</f>
        <v/>
      </c>
      <c r="J800">
        <f>T800=ROUND(789*0.7,10)</f>
        <v/>
      </c>
      <c r="K800">
        <f>U800=ROUND(789*1.1,10)</f>
        <v/>
      </c>
      <c r="L800">
        <f>V800=ROUND(789*0.25,10)</f>
        <v/>
      </c>
      <c r="M800">
        <f>W800=ROUND(789*0.5,10)</f>
        <v/>
      </c>
      <c r="O800">
        <f>O799+0.1</f>
        <v/>
      </c>
      <c r="P800">
        <f>P799+0.2</f>
        <v/>
      </c>
      <c r="Q800">
        <f>Q799+0.3</f>
        <v/>
      </c>
      <c r="R800">
        <f>R799+0.05</f>
        <v/>
      </c>
      <c r="S800">
        <f>S799+0.01</f>
        <v/>
      </c>
      <c r="T800">
        <f>T799+0.7</f>
        <v/>
      </c>
      <c r="U800">
        <f>U799+1.1</f>
        <v/>
      </c>
      <c r="V800">
        <f>V799+0.25</f>
        <v/>
      </c>
      <c r="W800">
        <f>W799+0.5</f>
        <v/>
      </c>
    </row>
    <row r="801">
      <c r="E801">
        <f>O801=ROUND(790*0.1,10)</f>
        <v/>
      </c>
      <c r="F801">
        <f>P801=ROUND(790*0.2,10)</f>
        <v/>
      </c>
      <c r="G801">
        <f>Q801=ROUND(790*0.3,10)</f>
        <v/>
      </c>
      <c r="H801">
        <f>R801=ROUND(790*0.05,10)</f>
        <v/>
      </c>
      <c r="I801">
        <f>S801=ROUND(790*0.01,10)</f>
        <v/>
      </c>
      <c r="J801">
        <f>T801=ROUND(790*0.7,10)</f>
        <v/>
      </c>
      <c r="K801">
        <f>U801=ROUND(790*1.1,10)</f>
        <v/>
      </c>
      <c r="L801">
        <f>V801=ROUND(790*0.25,10)</f>
        <v/>
      </c>
      <c r="M801">
        <f>W801=ROUND(790*0.5,10)</f>
        <v/>
      </c>
      <c r="O801">
        <f>O800+0.1</f>
        <v/>
      </c>
      <c r="P801">
        <f>P800+0.2</f>
        <v/>
      </c>
      <c r="Q801">
        <f>Q800+0.3</f>
        <v/>
      </c>
      <c r="R801">
        <f>R800+0.05</f>
        <v/>
      </c>
      <c r="S801">
        <f>S800+0.01</f>
        <v/>
      </c>
      <c r="T801">
        <f>T800+0.7</f>
        <v/>
      </c>
      <c r="U801">
        <f>U800+1.1</f>
        <v/>
      </c>
      <c r="V801">
        <f>V800+0.25</f>
        <v/>
      </c>
      <c r="W801">
        <f>W800+0.5</f>
        <v/>
      </c>
    </row>
    <row r="802">
      <c r="E802">
        <f>O802=ROUND(791*0.1,10)</f>
        <v/>
      </c>
      <c r="F802">
        <f>P802=ROUND(791*0.2,10)</f>
        <v/>
      </c>
      <c r="G802">
        <f>Q802=ROUND(791*0.3,10)</f>
        <v/>
      </c>
      <c r="H802">
        <f>R802=ROUND(791*0.05,10)</f>
        <v/>
      </c>
      <c r="I802">
        <f>S802=ROUND(791*0.01,10)</f>
        <v/>
      </c>
      <c r="J802">
        <f>T802=ROUND(791*0.7,10)</f>
        <v/>
      </c>
      <c r="K802">
        <f>U802=ROUND(791*1.1,10)</f>
        <v/>
      </c>
      <c r="L802">
        <f>V802=ROUND(791*0.25,10)</f>
        <v/>
      </c>
      <c r="M802">
        <f>W802=ROUND(791*0.5,10)</f>
        <v/>
      </c>
      <c r="O802">
        <f>O801+0.1</f>
        <v/>
      </c>
      <c r="P802">
        <f>P801+0.2</f>
        <v/>
      </c>
      <c r="Q802">
        <f>Q801+0.3</f>
        <v/>
      </c>
      <c r="R802">
        <f>R801+0.05</f>
        <v/>
      </c>
      <c r="S802">
        <f>S801+0.01</f>
        <v/>
      </c>
      <c r="T802">
        <f>T801+0.7</f>
        <v/>
      </c>
      <c r="U802">
        <f>U801+1.1</f>
        <v/>
      </c>
      <c r="V802">
        <f>V801+0.25</f>
        <v/>
      </c>
      <c r="W802">
        <f>W801+0.5</f>
        <v/>
      </c>
    </row>
    <row r="803">
      <c r="E803">
        <f>O803=ROUND(792*0.1,10)</f>
        <v/>
      </c>
      <c r="F803">
        <f>P803=ROUND(792*0.2,10)</f>
        <v/>
      </c>
      <c r="G803">
        <f>Q803=ROUND(792*0.3,10)</f>
        <v/>
      </c>
      <c r="H803">
        <f>R803=ROUND(792*0.05,10)</f>
        <v/>
      </c>
      <c r="I803">
        <f>S803=ROUND(792*0.01,10)</f>
        <v/>
      </c>
      <c r="J803">
        <f>T803=ROUND(792*0.7,10)</f>
        <v/>
      </c>
      <c r="K803">
        <f>U803=ROUND(792*1.1,10)</f>
        <v/>
      </c>
      <c r="L803">
        <f>V803=ROUND(792*0.25,10)</f>
        <v/>
      </c>
      <c r="M803">
        <f>W803=ROUND(792*0.5,10)</f>
        <v/>
      </c>
      <c r="O803">
        <f>O802+0.1</f>
        <v/>
      </c>
      <c r="P803">
        <f>P802+0.2</f>
        <v/>
      </c>
      <c r="Q803">
        <f>Q802+0.3</f>
        <v/>
      </c>
      <c r="R803">
        <f>R802+0.05</f>
        <v/>
      </c>
      <c r="S803">
        <f>S802+0.01</f>
        <v/>
      </c>
      <c r="T803">
        <f>T802+0.7</f>
        <v/>
      </c>
      <c r="U803">
        <f>U802+1.1</f>
        <v/>
      </c>
      <c r="V803">
        <f>V802+0.25</f>
        <v/>
      </c>
      <c r="W803">
        <f>W802+0.5</f>
        <v/>
      </c>
    </row>
    <row r="804">
      <c r="E804">
        <f>O804=ROUND(793*0.1,10)</f>
        <v/>
      </c>
      <c r="F804">
        <f>P804=ROUND(793*0.2,10)</f>
        <v/>
      </c>
      <c r="G804">
        <f>Q804=ROUND(793*0.3,10)</f>
        <v/>
      </c>
      <c r="H804">
        <f>R804=ROUND(793*0.05,10)</f>
        <v/>
      </c>
      <c r="I804">
        <f>S804=ROUND(793*0.01,10)</f>
        <v/>
      </c>
      <c r="J804">
        <f>T804=ROUND(793*0.7,10)</f>
        <v/>
      </c>
      <c r="K804">
        <f>U804=ROUND(793*1.1,10)</f>
        <v/>
      </c>
      <c r="L804">
        <f>V804=ROUND(793*0.25,10)</f>
        <v/>
      </c>
      <c r="M804">
        <f>W804=ROUND(793*0.5,10)</f>
        <v/>
      </c>
      <c r="O804">
        <f>O803+0.1</f>
        <v/>
      </c>
      <c r="P804">
        <f>P803+0.2</f>
        <v/>
      </c>
      <c r="Q804">
        <f>Q803+0.3</f>
        <v/>
      </c>
      <c r="R804">
        <f>R803+0.05</f>
        <v/>
      </c>
      <c r="S804">
        <f>S803+0.01</f>
        <v/>
      </c>
      <c r="T804">
        <f>T803+0.7</f>
        <v/>
      </c>
      <c r="U804">
        <f>U803+1.1</f>
        <v/>
      </c>
      <c r="V804">
        <f>V803+0.25</f>
        <v/>
      </c>
      <c r="W804">
        <f>W803+0.5</f>
        <v/>
      </c>
    </row>
    <row r="805">
      <c r="E805">
        <f>O805=ROUND(794*0.1,10)</f>
        <v/>
      </c>
      <c r="F805">
        <f>P805=ROUND(794*0.2,10)</f>
        <v/>
      </c>
      <c r="G805">
        <f>Q805=ROUND(794*0.3,10)</f>
        <v/>
      </c>
      <c r="H805">
        <f>R805=ROUND(794*0.05,10)</f>
        <v/>
      </c>
      <c r="I805">
        <f>S805=ROUND(794*0.01,10)</f>
        <v/>
      </c>
      <c r="J805">
        <f>T805=ROUND(794*0.7,10)</f>
        <v/>
      </c>
      <c r="K805">
        <f>U805=ROUND(794*1.1,10)</f>
        <v/>
      </c>
      <c r="L805">
        <f>V805=ROUND(794*0.25,10)</f>
        <v/>
      </c>
      <c r="M805">
        <f>W805=ROUND(794*0.5,10)</f>
        <v/>
      </c>
      <c r="O805">
        <f>O804+0.1</f>
        <v/>
      </c>
      <c r="P805">
        <f>P804+0.2</f>
        <v/>
      </c>
      <c r="Q805">
        <f>Q804+0.3</f>
        <v/>
      </c>
      <c r="R805">
        <f>R804+0.05</f>
        <v/>
      </c>
      <c r="S805">
        <f>S804+0.01</f>
        <v/>
      </c>
      <c r="T805">
        <f>T804+0.7</f>
        <v/>
      </c>
      <c r="U805">
        <f>U804+1.1</f>
        <v/>
      </c>
      <c r="V805">
        <f>V804+0.25</f>
        <v/>
      </c>
      <c r="W805">
        <f>W804+0.5</f>
        <v/>
      </c>
    </row>
    <row r="806">
      <c r="E806">
        <f>O806=ROUND(795*0.1,10)</f>
        <v/>
      </c>
      <c r="F806">
        <f>P806=ROUND(795*0.2,10)</f>
        <v/>
      </c>
      <c r="G806">
        <f>Q806=ROUND(795*0.3,10)</f>
        <v/>
      </c>
      <c r="H806">
        <f>R806=ROUND(795*0.05,10)</f>
        <v/>
      </c>
      <c r="I806">
        <f>S806=ROUND(795*0.01,10)</f>
        <v/>
      </c>
      <c r="J806">
        <f>T806=ROUND(795*0.7,10)</f>
        <v/>
      </c>
      <c r="K806">
        <f>U806=ROUND(795*1.1,10)</f>
        <v/>
      </c>
      <c r="L806">
        <f>V806=ROUND(795*0.25,10)</f>
        <v/>
      </c>
      <c r="M806">
        <f>W806=ROUND(795*0.5,10)</f>
        <v/>
      </c>
      <c r="O806">
        <f>O805+0.1</f>
        <v/>
      </c>
      <c r="P806">
        <f>P805+0.2</f>
        <v/>
      </c>
      <c r="Q806">
        <f>Q805+0.3</f>
        <v/>
      </c>
      <c r="R806">
        <f>R805+0.05</f>
        <v/>
      </c>
      <c r="S806">
        <f>S805+0.01</f>
        <v/>
      </c>
      <c r="T806">
        <f>T805+0.7</f>
        <v/>
      </c>
      <c r="U806">
        <f>U805+1.1</f>
        <v/>
      </c>
      <c r="V806">
        <f>V805+0.25</f>
        <v/>
      </c>
      <c r="W806">
        <f>W805+0.5</f>
        <v/>
      </c>
    </row>
    <row r="807">
      <c r="E807">
        <f>O807=ROUND(796*0.1,10)</f>
        <v/>
      </c>
      <c r="F807">
        <f>P807=ROUND(796*0.2,10)</f>
        <v/>
      </c>
      <c r="G807">
        <f>Q807=ROUND(796*0.3,10)</f>
        <v/>
      </c>
      <c r="H807">
        <f>R807=ROUND(796*0.05,10)</f>
        <v/>
      </c>
      <c r="I807">
        <f>S807=ROUND(796*0.01,10)</f>
        <v/>
      </c>
      <c r="J807">
        <f>T807=ROUND(796*0.7,10)</f>
        <v/>
      </c>
      <c r="K807">
        <f>U807=ROUND(796*1.1,10)</f>
        <v/>
      </c>
      <c r="L807">
        <f>V807=ROUND(796*0.25,10)</f>
        <v/>
      </c>
      <c r="M807">
        <f>W807=ROUND(796*0.5,10)</f>
        <v/>
      </c>
      <c r="O807">
        <f>O806+0.1</f>
        <v/>
      </c>
      <c r="P807">
        <f>P806+0.2</f>
        <v/>
      </c>
      <c r="Q807">
        <f>Q806+0.3</f>
        <v/>
      </c>
      <c r="R807">
        <f>R806+0.05</f>
        <v/>
      </c>
      <c r="S807">
        <f>S806+0.01</f>
        <v/>
      </c>
      <c r="T807">
        <f>T806+0.7</f>
        <v/>
      </c>
      <c r="U807">
        <f>U806+1.1</f>
        <v/>
      </c>
      <c r="V807">
        <f>V806+0.25</f>
        <v/>
      </c>
      <c r="W807">
        <f>W806+0.5</f>
        <v/>
      </c>
    </row>
    <row r="808">
      <c r="E808">
        <f>O808=ROUND(797*0.1,10)</f>
        <v/>
      </c>
      <c r="F808">
        <f>P808=ROUND(797*0.2,10)</f>
        <v/>
      </c>
      <c r="G808">
        <f>Q808=ROUND(797*0.3,10)</f>
        <v/>
      </c>
      <c r="H808">
        <f>R808=ROUND(797*0.05,10)</f>
        <v/>
      </c>
      <c r="I808">
        <f>S808=ROUND(797*0.01,10)</f>
        <v/>
      </c>
      <c r="J808">
        <f>T808=ROUND(797*0.7,10)</f>
        <v/>
      </c>
      <c r="K808">
        <f>U808=ROUND(797*1.1,10)</f>
        <v/>
      </c>
      <c r="L808">
        <f>V808=ROUND(797*0.25,10)</f>
        <v/>
      </c>
      <c r="M808">
        <f>W808=ROUND(797*0.5,10)</f>
        <v/>
      </c>
      <c r="O808">
        <f>O807+0.1</f>
        <v/>
      </c>
      <c r="P808">
        <f>P807+0.2</f>
        <v/>
      </c>
      <c r="Q808">
        <f>Q807+0.3</f>
        <v/>
      </c>
      <c r="R808">
        <f>R807+0.05</f>
        <v/>
      </c>
      <c r="S808">
        <f>S807+0.01</f>
        <v/>
      </c>
      <c r="T808">
        <f>T807+0.7</f>
        <v/>
      </c>
      <c r="U808">
        <f>U807+1.1</f>
        <v/>
      </c>
      <c r="V808">
        <f>V807+0.25</f>
        <v/>
      </c>
      <c r="W808">
        <f>W807+0.5</f>
        <v/>
      </c>
    </row>
    <row r="809">
      <c r="E809">
        <f>O809=ROUND(798*0.1,10)</f>
        <v/>
      </c>
      <c r="F809">
        <f>P809=ROUND(798*0.2,10)</f>
        <v/>
      </c>
      <c r="G809">
        <f>Q809=ROUND(798*0.3,10)</f>
        <v/>
      </c>
      <c r="H809">
        <f>R809=ROUND(798*0.05,10)</f>
        <v/>
      </c>
      <c r="I809">
        <f>S809=ROUND(798*0.01,10)</f>
        <v/>
      </c>
      <c r="J809">
        <f>T809=ROUND(798*0.7,10)</f>
        <v/>
      </c>
      <c r="K809">
        <f>U809=ROUND(798*1.1,10)</f>
        <v/>
      </c>
      <c r="L809">
        <f>V809=ROUND(798*0.25,10)</f>
        <v/>
      </c>
      <c r="M809">
        <f>W809=ROUND(798*0.5,10)</f>
        <v/>
      </c>
      <c r="O809">
        <f>O808+0.1</f>
        <v/>
      </c>
      <c r="P809">
        <f>P808+0.2</f>
        <v/>
      </c>
      <c r="Q809">
        <f>Q808+0.3</f>
        <v/>
      </c>
      <c r="R809">
        <f>R808+0.05</f>
        <v/>
      </c>
      <c r="S809">
        <f>S808+0.01</f>
        <v/>
      </c>
      <c r="T809">
        <f>T808+0.7</f>
        <v/>
      </c>
      <c r="U809">
        <f>U808+1.1</f>
        <v/>
      </c>
      <c r="V809">
        <f>V808+0.25</f>
        <v/>
      </c>
      <c r="W809">
        <f>W808+0.5</f>
        <v/>
      </c>
    </row>
    <row r="810">
      <c r="E810">
        <f>O810=ROUND(799*0.1,10)</f>
        <v/>
      </c>
      <c r="F810">
        <f>P810=ROUND(799*0.2,10)</f>
        <v/>
      </c>
      <c r="G810">
        <f>Q810=ROUND(799*0.3,10)</f>
        <v/>
      </c>
      <c r="H810">
        <f>R810=ROUND(799*0.05,10)</f>
        <v/>
      </c>
      <c r="I810">
        <f>S810=ROUND(799*0.01,10)</f>
        <v/>
      </c>
      <c r="J810">
        <f>T810=ROUND(799*0.7,10)</f>
        <v/>
      </c>
      <c r="K810">
        <f>U810=ROUND(799*1.1,10)</f>
        <v/>
      </c>
      <c r="L810">
        <f>V810=ROUND(799*0.25,10)</f>
        <v/>
      </c>
      <c r="M810">
        <f>W810=ROUND(799*0.5,10)</f>
        <v/>
      </c>
      <c r="O810">
        <f>O809+0.1</f>
        <v/>
      </c>
      <c r="P810">
        <f>P809+0.2</f>
        <v/>
      </c>
      <c r="Q810">
        <f>Q809+0.3</f>
        <v/>
      </c>
      <c r="R810">
        <f>R809+0.05</f>
        <v/>
      </c>
      <c r="S810">
        <f>S809+0.01</f>
        <v/>
      </c>
      <c r="T810">
        <f>T809+0.7</f>
        <v/>
      </c>
      <c r="U810">
        <f>U809+1.1</f>
        <v/>
      </c>
      <c r="V810">
        <f>V809+0.25</f>
        <v/>
      </c>
      <c r="W810">
        <f>W809+0.5</f>
        <v/>
      </c>
    </row>
    <row r="811">
      <c r="E811">
        <f>O811=ROUND(800*0.1,10)</f>
        <v/>
      </c>
      <c r="F811">
        <f>P811=ROUND(800*0.2,10)</f>
        <v/>
      </c>
      <c r="G811">
        <f>Q811=ROUND(800*0.3,10)</f>
        <v/>
      </c>
      <c r="H811">
        <f>R811=ROUND(800*0.05,10)</f>
        <v/>
      </c>
      <c r="I811">
        <f>S811=ROUND(800*0.01,10)</f>
        <v/>
      </c>
      <c r="J811">
        <f>T811=ROUND(800*0.7,10)</f>
        <v/>
      </c>
      <c r="K811">
        <f>U811=ROUND(800*1.1,10)</f>
        <v/>
      </c>
      <c r="L811">
        <f>V811=ROUND(800*0.25,10)</f>
        <v/>
      </c>
      <c r="M811">
        <f>W811=ROUND(800*0.5,10)</f>
        <v/>
      </c>
      <c r="O811">
        <f>O810+0.1</f>
        <v/>
      </c>
      <c r="P811">
        <f>P810+0.2</f>
        <v/>
      </c>
      <c r="Q811">
        <f>Q810+0.3</f>
        <v/>
      </c>
      <c r="R811">
        <f>R810+0.05</f>
        <v/>
      </c>
      <c r="S811">
        <f>S810+0.01</f>
        <v/>
      </c>
      <c r="T811">
        <f>T810+0.7</f>
        <v/>
      </c>
      <c r="U811">
        <f>U810+1.1</f>
        <v/>
      </c>
      <c r="V811">
        <f>V810+0.25</f>
        <v/>
      </c>
      <c r="W811">
        <f>W810+0.5</f>
        <v/>
      </c>
    </row>
    <row r="812">
      <c r="E812">
        <f>O812=ROUND(801*0.1,10)</f>
        <v/>
      </c>
      <c r="F812">
        <f>P812=ROUND(801*0.2,10)</f>
        <v/>
      </c>
      <c r="G812">
        <f>Q812=ROUND(801*0.3,10)</f>
        <v/>
      </c>
      <c r="H812">
        <f>R812=ROUND(801*0.05,10)</f>
        <v/>
      </c>
      <c r="I812">
        <f>S812=ROUND(801*0.01,10)</f>
        <v/>
      </c>
      <c r="J812">
        <f>T812=ROUND(801*0.7,10)</f>
        <v/>
      </c>
      <c r="K812">
        <f>U812=ROUND(801*1.1,10)</f>
        <v/>
      </c>
      <c r="L812">
        <f>V812=ROUND(801*0.25,10)</f>
        <v/>
      </c>
      <c r="M812">
        <f>W812=ROUND(801*0.5,10)</f>
        <v/>
      </c>
      <c r="O812">
        <f>O811+0.1</f>
        <v/>
      </c>
      <c r="P812">
        <f>P811+0.2</f>
        <v/>
      </c>
      <c r="Q812">
        <f>Q811+0.3</f>
        <v/>
      </c>
      <c r="R812">
        <f>R811+0.05</f>
        <v/>
      </c>
      <c r="S812">
        <f>S811+0.01</f>
        <v/>
      </c>
      <c r="T812">
        <f>T811+0.7</f>
        <v/>
      </c>
      <c r="U812">
        <f>U811+1.1</f>
        <v/>
      </c>
      <c r="V812">
        <f>V811+0.25</f>
        <v/>
      </c>
      <c r="W812">
        <f>W811+0.5</f>
        <v/>
      </c>
    </row>
    <row r="813">
      <c r="E813">
        <f>O813=ROUND(802*0.1,10)</f>
        <v/>
      </c>
      <c r="F813">
        <f>P813=ROUND(802*0.2,10)</f>
        <v/>
      </c>
      <c r="G813">
        <f>Q813=ROUND(802*0.3,10)</f>
        <v/>
      </c>
      <c r="H813">
        <f>R813=ROUND(802*0.05,10)</f>
        <v/>
      </c>
      <c r="I813">
        <f>S813=ROUND(802*0.01,10)</f>
        <v/>
      </c>
      <c r="J813">
        <f>T813=ROUND(802*0.7,10)</f>
        <v/>
      </c>
      <c r="K813">
        <f>U813=ROUND(802*1.1,10)</f>
        <v/>
      </c>
      <c r="L813">
        <f>V813=ROUND(802*0.25,10)</f>
        <v/>
      </c>
      <c r="M813">
        <f>W813=ROUND(802*0.5,10)</f>
        <v/>
      </c>
      <c r="O813">
        <f>O812+0.1</f>
        <v/>
      </c>
      <c r="P813">
        <f>P812+0.2</f>
        <v/>
      </c>
      <c r="Q813">
        <f>Q812+0.3</f>
        <v/>
      </c>
      <c r="R813">
        <f>R812+0.05</f>
        <v/>
      </c>
      <c r="S813">
        <f>S812+0.01</f>
        <v/>
      </c>
      <c r="T813">
        <f>T812+0.7</f>
        <v/>
      </c>
      <c r="U813">
        <f>U812+1.1</f>
        <v/>
      </c>
      <c r="V813">
        <f>V812+0.25</f>
        <v/>
      </c>
      <c r="W813">
        <f>W812+0.5</f>
        <v/>
      </c>
    </row>
    <row r="814">
      <c r="E814">
        <f>O814=ROUND(803*0.1,10)</f>
        <v/>
      </c>
      <c r="F814">
        <f>P814=ROUND(803*0.2,10)</f>
        <v/>
      </c>
      <c r="G814">
        <f>Q814=ROUND(803*0.3,10)</f>
        <v/>
      </c>
      <c r="H814">
        <f>R814=ROUND(803*0.05,10)</f>
        <v/>
      </c>
      <c r="I814">
        <f>S814=ROUND(803*0.01,10)</f>
        <v/>
      </c>
      <c r="J814">
        <f>T814=ROUND(803*0.7,10)</f>
        <v/>
      </c>
      <c r="K814">
        <f>U814=ROUND(803*1.1,10)</f>
        <v/>
      </c>
      <c r="L814">
        <f>V814=ROUND(803*0.25,10)</f>
        <v/>
      </c>
      <c r="M814">
        <f>W814=ROUND(803*0.5,10)</f>
        <v/>
      </c>
      <c r="O814">
        <f>O813+0.1</f>
        <v/>
      </c>
      <c r="P814">
        <f>P813+0.2</f>
        <v/>
      </c>
      <c r="Q814">
        <f>Q813+0.3</f>
        <v/>
      </c>
      <c r="R814">
        <f>R813+0.05</f>
        <v/>
      </c>
      <c r="S814">
        <f>S813+0.01</f>
        <v/>
      </c>
      <c r="T814">
        <f>T813+0.7</f>
        <v/>
      </c>
      <c r="U814">
        <f>U813+1.1</f>
        <v/>
      </c>
      <c r="V814">
        <f>V813+0.25</f>
        <v/>
      </c>
      <c r="W814">
        <f>W813+0.5</f>
        <v/>
      </c>
    </row>
    <row r="815">
      <c r="E815">
        <f>O815=ROUND(804*0.1,10)</f>
        <v/>
      </c>
      <c r="F815">
        <f>P815=ROUND(804*0.2,10)</f>
        <v/>
      </c>
      <c r="G815">
        <f>Q815=ROUND(804*0.3,10)</f>
        <v/>
      </c>
      <c r="H815">
        <f>R815=ROUND(804*0.05,10)</f>
        <v/>
      </c>
      <c r="I815">
        <f>S815=ROUND(804*0.01,10)</f>
        <v/>
      </c>
      <c r="J815">
        <f>T815=ROUND(804*0.7,10)</f>
        <v/>
      </c>
      <c r="K815">
        <f>U815=ROUND(804*1.1,10)</f>
        <v/>
      </c>
      <c r="L815">
        <f>V815=ROUND(804*0.25,10)</f>
        <v/>
      </c>
      <c r="M815">
        <f>W815=ROUND(804*0.5,10)</f>
        <v/>
      </c>
      <c r="O815">
        <f>O814+0.1</f>
        <v/>
      </c>
      <c r="P815">
        <f>P814+0.2</f>
        <v/>
      </c>
      <c r="Q815">
        <f>Q814+0.3</f>
        <v/>
      </c>
      <c r="R815">
        <f>R814+0.05</f>
        <v/>
      </c>
      <c r="S815">
        <f>S814+0.01</f>
        <v/>
      </c>
      <c r="T815">
        <f>T814+0.7</f>
        <v/>
      </c>
      <c r="U815">
        <f>U814+1.1</f>
        <v/>
      </c>
      <c r="V815">
        <f>V814+0.25</f>
        <v/>
      </c>
      <c r="W815">
        <f>W814+0.5</f>
        <v/>
      </c>
    </row>
    <row r="816">
      <c r="E816">
        <f>O816=ROUND(805*0.1,10)</f>
        <v/>
      </c>
      <c r="F816">
        <f>P816=ROUND(805*0.2,10)</f>
        <v/>
      </c>
      <c r="G816">
        <f>Q816=ROUND(805*0.3,10)</f>
        <v/>
      </c>
      <c r="H816">
        <f>R816=ROUND(805*0.05,10)</f>
        <v/>
      </c>
      <c r="I816">
        <f>S816=ROUND(805*0.01,10)</f>
        <v/>
      </c>
      <c r="J816">
        <f>T816=ROUND(805*0.7,10)</f>
        <v/>
      </c>
      <c r="K816">
        <f>U816=ROUND(805*1.1,10)</f>
        <v/>
      </c>
      <c r="L816">
        <f>V816=ROUND(805*0.25,10)</f>
        <v/>
      </c>
      <c r="M816">
        <f>W816=ROUND(805*0.5,10)</f>
        <v/>
      </c>
      <c r="O816">
        <f>O815+0.1</f>
        <v/>
      </c>
      <c r="P816">
        <f>P815+0.2</f>
        <v/>
      </c>
      <c r="Q816">
        <f>Q815+0.3</f>
        <v/>
      </c>
      <c r="R816">
        <f>R815+0.05</f>
        <v/>
      </c>
      <c r="S816">
        <f>S815+0.01</f>
        <v/>
      </c>
      <c r="T816">
        <f>T815+0.7</f>
        <v/>
      </c>
      <c r="U816">
        <f>U815+1.1</f>
        <v/>
      </c>
      <c r="V816">
        <f>V815+0.25</f>
        <v/>
      </c>
      <c r="W816">
        <f>W815+0.5</f>
        <v/>
      </c>
    </row>
    <row r="817">
      <c r="E817">
        <f>O817=ROUND(806*0.1,10)</f>
        <v/>
      </c>
      <c r="F817">
        <f>P817=ROUND(806*0.2,10)</f>
        <v/>
      </c>
      <c r="G817">
        <f>Q817=ROUND(806*0.3,10)</f>
        <v/>
      </c>
      <c r="H817">
        <f>R817=ROUND(806*0.05,10)</f>
        <v/>
      </c>
      <c r="I817">
        <f>S817=ROUND(806*0.01,10)</f>
        <v/>
      </c>
      <c r="J817">
        <f>T817=ROUND(806*0.7,10)</f>
        <v/>
      </c>
      <c r="K817">
        <f>U817=ROUND(806*1.1,10)</f>
        <v/>
      </c>
      <c r="L817">
        <f>V817=ROUND(806*0.25,10)</f>
        <v/>
      </c>
      <c r="M817">
        <f>W817=ROUND(806*0.5,10)</f>
        <v/>
      </c>
      <c r="O817">
        <f>O816+0.1</f>
        <v/>
      </c>
      <c r="P817">
        <f>P816+0.2</f>
        <v/>
      </c>
      <c r="Q817">
        <f>Q816+0.3</f>
        <v/>
      </c>
      <c r="R817">
        <f>R816+0.05</f>
        <v/>
      </c>
      <c r="S817">
        <f>S816+0.01</f>
        <v/>
      </c>
      <c r="T817">
        <f>T816+0.7</f>
        <v/>
      </c>
      <c r="U817">
        <f>U816+1.1</f>
        <v/>
      </c>
      <c r="V817">
        <f>V816+0.25</f>
        <v/>
      </c>
      <c r="W817">
        <f>W816+0.5</f>
        <v/>
      </c>
    </row>
    <row r="818">
      <c r="E818">
        <f>O818=ROUND(807*0.1,10)</f>
        <v/>
      </c>
      <c r="F818">
        <f>P818=ROUND(807*0.2,10)</f>
        <v/>
      </c>
      <c r="G818">
        <f>Q818=ROUND(807*0.3,10)</f>
        <v/>
      </c>
      <c r="H818">
        <f>R818=ROUND(807*0.05,10)</f>
        <v/>
      </c>
      <c r="I818">
        <f>S818=ROUND(807*0.01,10)</f>
        <v/>
      </c>
      <c r="J818">
        <f>T818=ROUND(807*0.7,10)</f>
        <v/>
      </c>
      <c r="K818">
        <f>U818=ROUND(807*1.1,10)</f>
        <v/>
      </c>
      <c r="L818">
        <f>V818=ROUND(807*0.25,10)</f>
        <v/>
      </c>
      <c r="M818">
        <f>W818=ROUND(807*0.5,10)</f>
        <v/>
      </c>
      <c r="O818">
        <f>O817+0.1</f>
        <v/>
      </c>
      <c r="P818">
        <f>P817+0.2</f>
        <v/>
      </c>
      <c r="Q818">
        <f>Q817+0.3</f>
        <v/>
      </c>
      <c r="R818">
        <f>R817+0.05</f>
        <v/>
      </c>
      <c r="S818">
        <f>S817+0.01</f>
        <v/>
      </c>
      <c r="T818">
        <f>T817+0.7</f>
        <v/>
      </c>
      <c r="U818">
        <f>U817+1.1</f>
        <v/>
      </c>
      <c r="V818">
        <f>V817+0.25</f>
        <v/>
      </c>
      <c r="W818">
        <f>W817+0.5</f>
        <v/>
      </c>
    </row>
    <row r="819">
      <c r="E819">
        <f>O819=ROUND(808*0.1,10)</f>
        <v/>
      </c>
      <c r="F819">
        <f>P819=ROUND(808*0.2,10)</f>
        <v/>
      </c>
      <c r="G819">
        <f>Q819=ROUND(808*0.3,10)</f>
        <v/>
      </c>
      <c r="H819">
        <f>R819=ROUND(808*0.05,10)</f>
        <v/>
      </c>
      <c r="I819">
        <f>S819=ROUND(808*0.01,10)</f>
        <v/>
      </c>
      <c r="J819">
        <f>T819=ROUND(808*0.7,10)</f>
        <v/>
      </c>
      <c r="K819">
        <f>U819=ROUND(808*1.1,10)</f>
        <v/>
      </c>
      <c r="L819">
        <f>V819=ROUND(808*0.25,10)</f>
        <v/>
      </c>
      <c r="M819">
        <f>W819=ROUND(808*0.5,10)</f>
        <v/>
      </c>
      <c r="O819">
        <f>O818+0.1</f>
        <v/>
      </c>
      <c r="P819">
        <f>P818+0.2</f>
        <v/>
      </c>
      <c r="Q819">
        <f>Q818+0.3</f>
        <v/>
      </c>
      <c r="R819">
        <f>R818+0.05</f>
        <v/>
      </c>
      <c r="S819">
        <f>S818+0.01</f>
        <v/>
      </c>
      <c r="T819">
        <f>T818+0.7</f>
        <v/>
      </c>
      <c r="U819">
        <f>U818+1.1</f>
        <v/>
      </c>
      <c r="V819">
        <f>V818+0.25</f>
        <v/>
      </c>
      <c r="W819">
        <f>W818+0.5</f>
        <v/>
      </c>
    </row>
    <row r="820">
      <c r="E820">
        <f>O820=ROUND(809*0.1,10)</f>
        <v/>
      </c>
      <c r="F820">
        <f>P820=ROUND(809*0.2,10)</f>
        <v/>
      </c>
      <c r="G820">
        <f>Q820=ROUND(809*0.3,10)</f>
        <v/>
      </c>
      <c r="H820">
        <f>R820=ROUND(809*0.05,10)</f>
        <v/>
      </c>
      <c r="I820">
        <f>S820=ROUND(809*0.01,10)</f>
        <v/>
      </c>
      <c r="J820">
        <f>T820=ROUND(809*0.7,10)</f>
        <v/>
      </c>
      <c r="K820">
        <f>U820=ROUND(809*1.1,10)</f>
        <v/>
      </c>
      <c r="L820">
        <f>V820=ROUND(809*0.25,10)</f>
        <v/>
      </c>
      <c r="M820">
        <f>W820=ROUND(809*0.5,10)</f>
        <v/>
      </c>
      <c r="O820">
        <f>O819+0.1</f>
        <v/>
      </c>
      <c r="P820">
        <f>P819+0.2</f>
        <v/>
      </c>
      <c r="Q820">
        <f>Q819+0.3</f>
        <v/>
      </c>
      <c r="R820">
        <f>R819+0.05</f>
        <v/>
      </c>
      <c r="S820">
        <f>S819+0.01</f>
        <v/>
      </c>
      <c r="T820">
        <f>T819+0.7</f>
        <v/>
      </c>
      <c r="U820">
        <f>U819+1.1</f>
        <v/>
      </c>
      <c r="V820">
        <f>V819+0.25</f>
        <v/>
      </c>
      <c r="W820">
        <f>W819+0.5</f>
        <v/>
      </c>
    </row>
    <row r="821">
      <c r="E821">
        <f>O821=ROUND(810*0.1,10)</f>
        <v/>
      </c>
      <c r="F821">
        <f>P821=ROUND(810*0.2,10)</f>
        <v/>
      </c>
      <c r="G821">
        <f>Q821=ROUND(810*0.3,10)</f>
        <v/>
      </c>
      <c r="H821">
        <f>R821=ROUND(810*0.05,10)</f>
        <v/>
      </c>
      <c r="I821">
        <f>S821=ROUND(810*0.01,10)</f>
        <v/>
      </c>
      <c r="J821">
        <f>T821=ROUND(810*0.7,10)</f>
        <v/>
      </c>
      <c r="K821">
        <f>U821=ROUND(810*1.1,10)</f>
        <v/>
      </c>
      <c r="L821">
        <f>V821=ROUND(810*0.25,10)</f>
        <v/>
      </c>
      <c r="M821">
        <f>W821=ROUND(810*0.5,10)</f>
        <v/>
      </c>
      <c r="O821">
        <f>O820+0.1</f>
        <v/>
      </c>
      <c r="P821">
        <f>P820+0.2</f>
        <v/>
      </c>
      <c r="Q821">
        <f>Q820+0.3</f>
        <v/>
      </c>
      <c r="R821">
        <f>R820+0.05</f>
        <v/>
      </c>
      <c r="S821">
        <f>S820+0.01</f>
        <v/>
      </c>
      <c r="T821">
        <f>T820+0.7</f>
        <v/>
      </c>
      <c r="U821">
        <f>U820+1.1</f>
        <v/>
      </c>
      <c r="V821">
        <f>V820+0.25</f>
        <v/>
      </c>
      <c r="W821">
        <f>W820+0.5</f>
        <v/>
      </c>
    </row>
    <row r="822">
      <c r="E822">
        <f>O822=ROUND(811*0.1,10)</f>
        <v/>
      </c>
      <c r="F822">
        <f>P822=ROUND(811*0.2,10)</f>
        <v/>
      </c>
      <c r="G822">
        <f>Q822=ROUND(811*0.3,10)</f>
        <v/>
      </c>
      <c r="H822">
        <f>R822=ROUND(811*0.05,10)</f>
        <v/>
      </c>
      <c r="I822">
        <f>S822=ROUND(811*0.01,10)</f>
        <v/>
      </c>
      <c r="J822">
        <f>T822=ROUND(811*0.7,10)</f>
        <v/>
      </c>
      <c r="K822">
        <f>U822=ROUND(811*1.1,10)</f>
        <v/>
      </c>
      <c r="L822">
        <f>V822=ROUND(811*0.25,10)</f>
        <v/>
      </c>
      <c r="M822">
        <f>W822=ROUND(811*0.5,10)</f>
        <v/>
      </c>
      <c r="O822">
        <f>O821+0.1</f>
        <v/>
      </c>
      <c r="P822">
        <f>P821+0.2</f>
        <v/>
      </c>
      <c r="Q822">
        <f>Q821+0.3</f>
        <v/>
      </c>
      <c r="R822">
        <f>R821+0.05</f>
        <v/>
      </c>
      <c r="S822">
        <f>S821+0.01</f>
        <v/>
      </c>
      <c r="T822">
        <f>T821+0.7</f>
        <v/>
      </c>
      <c r="U822">
        <f>U821+1.1</f>
        <v/>
      </c>
      <c r="V822">
        <f>V821+0.25</f>
        <v/>
      </c>
      <c r="W822">
        <f>W821+0.5</f>
        <v/>
      </c>
    </row>
    <row r="823">
      <c r="E823">
        <f>O823=ROUND(812*0.1,10)</f>
        <v/>
      </c>
      <c r="F823">
        <f>P823=ROUND(812*0.2,10)</f>
        <v/>
      </c>
      <c r="G823">
        <f>Q823=ROUND(812*0.3,10)</f>
        <v/>
      </c>
      <c r="H823">
        <f>R823=ROUND(812*0.05,10)</f>
        <v/>
      </c>
      <c r="I823">
        <f>S823=ROUND(812*0.01,10)</f>
        <v/>
      </c>
      <c r="J823">
        <f>T823=ROUND(812*0.7,10)</f>
        <v/>
      </c>
      <c r="K823">
        <f>U823=ROUND(812*1.1,10)</f>
        <v/>
      </c>
      <c r="L823">
        <f>V823=ROUND(812*0.25,10)</f>
        <v/>
      </c>
      <c r="M823">
        <f>W823=ROUND(812*0.5,10)</f>
        <v/>
      </c>
      <c r="O823">
        <f>O822+0.1</f>
        <v/>
      </c>
      <c r="P823">
        <f>P822+0.2</f>
        <v/>
      </c>
      <c r="Q823">
        <f>Q822+0.3</f>
        <v/>
      </c>
      <c r="R823">
        <f>R822+0.05</f>
        <v/>
      </c>
      <c r="S823">
        <f>S822+0.01</f>
        <v/>
      </c>
      <c r="T823">
        <f>T822+0.7</f>
        <v/>
      </c>
      <c r="U823">
        <f>U822+1.1</f>
        <v/>
      </c>
      <c r="V823">
        <f>V822+0.25</f>
        <v/>
      </c>
      <c r="W823">
        <f>W822+0.5</f>
        <v/>
      </c>
    </row>
    <row r="824">
      <c r="E824">
        <f>O824=ROUND(813*0.1,10)</f>
        <v/>
      </c>
      <c r="F824">
        <f>P824=ROUND(813*0.2,10)</f>
        <v/>
      </c>
      <c r="G824">
        <f>Q824=ROUND(813*0.3,10)</f>
        <v/>
      </c>
      <c r="H824">
        <f>R824=ROUND(813*0.05,10)</f>
        <v/>
      </c>
      <c r="I824">
        <f>S824=ROUND(813*0.01,10)</f>
        <v/>
      </c>
      <c r="J824">
        <f>T824=ROUND(813*0.7,10)</f>
        <v/>
      </c>
      <c r="K824">
        <f>U824=ROUND(813*1.1,10)</f>
        <v/>
      </c>
      <c r="L824">
        <f>V824=ROUND(813*0.25,10)</f>
        <v/>
      </c>
      <c r="M824">
        <f>W824=ROUND(813*0.5,10)</f>
        <v/>
      </c>
      <c r="O824">
        <f>O823+0.1</f>
        <v/>
      </c>
      <c r="P824">
        <f>P823+0.2</f>
        <v/>
      </c>
      <c r="Q824">
        <f>Q823+0.3</f>
        <v/>
      </c>
      <c r="R824">
        <f>R823+0.05</f>
        <v/>
      </c>
      <c r="S824">
        <f>S823+0.01</f>
        <v/>
      </c>
      <c r="T824">
        <f>T823+0.7</f>
        <v/>
      </c>
      <c r="U824">
        <f>U823+1.1</f>
        <v/>
      </c>
      <c r="V824">
        <f>V823+0.25</f>
        <v/>
      </c>
      <c r="W824">
        <f>W823+0.5</f>
        <v/>
      </c>
    </row>
    <row r="825">
      <c r="E825">
        <f>O825=ROUND(814*0.1,10)</f>
        <v/>
      </c>
      <c r="F825">
        <f>P825=ROUND(814*0.2,10)</f>
        <v/>
      </c>
      <c r="G825">
        <f>Q825=ROUND(814*0.3,10)</f>
        <v/>
      </c>
      <c r="H825">
        <f>R825=ROUND(814*0.05,10)</f>
        <v/>
      </c>
      <c r="I825">
        <f>S825=ROUND(814*0.01,10)</f>
        <v/>
      </c>
      <c r="J825">
        <f>T825=ROUND(814*0.7,10)</f>
        <v/>
      </c>
      <c r="K825">
        <f>U825=ROUND(814*1.1,10)</f>
        <v/>
      </c>
      <c r="L825">
        <f>V825=ROUND(814*0.25,10)</f>
        <v/>
      </c>
      <c r="M825">
        <f>W825=ROUND(814*0.5,10)</f>
        <v/>
      </c>
      <c r="O825">
        <f>O824+0.1</f>
        <v/>
      </c>
      <c r="P825">
        <f>P824+0.2</f>
        <v/>
      </c>
      <c r="Q825">
        <f>Q824+0.3</f>
        <v/>
      </c>
      <c r="R825">
        <f>R824+0.05</f>
        <v/>
      </c>
      <c r="S825">
        <f>S824+0.01</f>
        <v/>
      </c>
      <c r="T825">
        <f>T824+0.7</f>
        <v/>
      </c>
      <c r="U825">
        <f>U824+1.1</f>
        <v/>
      </c>
      <c r="V825">
        <f>V824+0.25</f>
        <v/>
      </c>
      <c r="W825">
        <f>W824+0.5</f>
        <v/>
      </c>
    </row>
    <row r="826">
      <c r="E826">
        <f>O826=ROUND(815*0.1,10)</f>
        <v/>
      </c>
      <c r="F826">
        <f>P826=ROUND(815*0.2,10)</f>
        <v/>
      </c>
      <c r="G826">
        <f>Q826=ROUND(815*0.3,10)</f>
        <v/>
      </c>
      <c r="H826">
        <f>R826=ROUND(815*0.05,10)</f>
        <v/>
      </c>
      <c r="I826">
        <f>S826=ROUND(815*0.01,10)</f>
        <v/>
      </c>
      <c r="J826">
        <f>T826=ROUND(815*0.7,10)</f>
        <v/>
      </c>
      <c r="K826">
        <f>U826=ROUND(815*1.1,10)</f>
        <v/>
      </c>
      <c r="L826">
        <f>V826=ROUND(815*0.25,10)</f>
        <v/>
      </c>
      <c r="M826">
        <f>W826=ROUND(815*0.5,10)</f>
        <v/>
      </c>
      <c r="O826">
        <f>O825+0.1</f>
        <v/>
      </c>
      <c r="P826">
        <f>P825+0.2</f>
        <v/>
      </c>
      <c r="Q826">
        <f>Q825+0.3</f>
        <v/>
      </c>
      <c r="R826">
        <f>R825+0.05</f>
        <v/>
      </c>
      <c r="S826">
        <f>S825+0.01</f>
        <v/>
      </c>
      <c r="T826">
        <f>T825+0.7</f>
        <v/>
      </c>
      <c r="U826">
        <f>U825+1.1</f>
        <v/>
      </c>
      <c r="V826">
        <f>V825+0.25</f>
        <v/>
      </c>
      <c r="W826">
        <f>W825+0.5</f>
        <v/>
      </c>
    </row>
    <row r="827">
      <c r="E827">
        <f>O827=ROUND(816*0.1,10)</f>
        <v/>
      </c>
      <c r="F827">
        <f>P827=ROUND(816*0.2,10)</f>
        <v/>
      </c>
      <c r="G827">
        <f>Q827=ROUND(816*0.3,10)</f>
        <v/>
      </c>
      <c r="H827">
        <f>R827=ROUND(816*0.05,10)</f>
        <v/>
      </c>
      <c r="I827">
        <f>S827=ROUND(816*0.01,10)</f>
        <v/>
      </c>
      <c r="J827">
        <f>T827=ROUND(816*0.7,10)</f>
        <v/>
      </c>
      <c r="K827">
        <f>U827=ROUND(816*1.1,10)</f>
        <v/>
      </c>
      <c r="L827">
        <f>V827=ROUND(816*0.25,10)</f>
        <v/>
      </c>
      <c r="M827">
        <f>W827=ROUND(816*0.5,10)</f>
        <v/>
      </c>
      <c r="O827">
        <f>O826+0.1</f>
        <v/>
      </c>
      <c r="P827">
        <f>P826+0.2</f>
        <v/>
      </c>
      <c r="Q827">
        <f>Q826+0.3</f>
        <v/>
      </c>
      <c r="R827">
        <f>R826+0.05</f>
        <v/>
      </c>
      <c r="S827">
        <f>S826+0.01</f>
        <v/>
      </c>
      <c r="T827">
        <f>T826+0.7</f>
        <v/>
      </c>
      <c r="U827">
        <f>U826+1.1</f>
        <v/>
      </c>
      <c r="V827">
        <f>V826+0.25</f>
        <v/>
      </c>
      <c r="W827">
        <f>W826+0.5</f>
        <v/>
      </c>
    </row>
    <row r="828">
      <c r="E828">
        <f>O828=ROUND(817*0.1,10)</f>
        <v/>
      </c>
      <c r="F828">
        <f>P828=ROUND(817*0.2,10)</f>
        <v/>
      </c>
      <c r="G828">
        <f>Q828=ROUND(817*0.3,10)</f>
        <v/>
      </c>
      <c r="H828">
        <f>R828=ROUND(817*0.05,10)</f>
        <v/>
      </c>
      <c r="I828">
        <f>S828=ROUND(817*0.01,10)</f>
        <v/>
      </c>
      <c r="J828">
        <f>T828=ROUND(817*0.7,10)</f>
        <v/>
      </c>
      <c r="K828">
        <f>U828=ROUND(817*1.1,10)</f>
        <v/>
      </c>
      <c r="L828">
        <f>V828=ROUND(817*0.25,10)</f>
        <v/>
      </c>
      <c r="M828">
        <f>W828=ROUND(817*0.5,10)</f>
        <v/>
      </c>
      <c r="O828">
        <f>O827+0.1</f>
        <v/>
      </c>
      <c r="P828">
        <f>P827+0.2</f>
        <v/>
      </c>
      <c r="Q828">
        <f>Q827+0.3</f>
        <v/>
      </c>
      <c r="R828">
        <f>R827+0.05</f>
        <v/>
      </c>
      <c r="S828">
        <f>S827+0.01</f>
        <v/>
      </c>
      <c r="T828">
        <f>T827+0.7</f>
        <v/>
      </c>
      <c r="U828">
        <f>U827+1.1</f>
        <v/>
      </c>
      <c r="V828">
        <f>V827+0.25</f>
        <v/>
      </c>
      <c r="W828">
        <f>W827+0.5</f>
        <v/>
      </c>
    </row>
    <row r="829">
      <c r="E829">
        <f>O829=ROUND(818*0.1,10)</f>
        <v/>
      </c>
      <c r="F829">
        <f>P829=ROUND(818*0.2,10)</f>
        <v/>
      </c>
      <c r="G829">
        <f>Q829=ROUND(818*0.3,10)</f>
        <v/>
      </c>
      <c r="H829">
        <f>R829=ROUND(818*0.05,10)</f>
        <v/>
      </c>
      <c r="I829">
        <f>S829=ROUND(818*0.01,10)</f>
        <v/>
      </c>
      <c r="J829">
        <f>T829=ROUND(818*0.7,10)</f>
        <v/>
      </c>
      <c r="K829">
        <f>U829=ROUND(818*1.1,10)</f>
        <v/>
      </c>
      <c r="L829">
        <f>V829=ROUND(818*0.25,10)</f>
        <v/>
      </c>
      <c r="M829">
        <f>W829=ROUND(818*0.5,10)</f>
        <v/>
      </c>
      <c r="O829">
        <f>O828+0.1</f>
        <v/>
      </c>
      <c r="P829">
        <f>P828+0.2</f>
        <v/>
      </c>
      <c r="Q829">
        <f>Q828+0.3</f>
        <v/>
      </c>
      <c r="R829">
        <f>R828+0.05</f>
        <v/>
      </c>
      <c r="S829">
        <f>S828+0.01</f>
        <v/>
      </c>
      <c r="T829">
        <f>T828+0.7</f>
        <v/>
      </c>
      <c r="U829">
        <f>U828+1.1</f>
        <v/>
      </c>
      <c r="V829">
        <f>V828+0.25</f>
        <v/>
      </c>
      <c r="W829">
        <f>W828+0.5</f>
        <v/>
      </c>
    </row>
    <row r="830">
      <c r="E830">
        <f>O830=ROUND(819*0.1,10)</f>
        <v/>
      </c>
      <c r="F830">
        <f>P830=ROUND(819*0.2,10)</f>
        <v/>
      </c>
      <c r="G830">
        <f>Q830=ROUND(819*0.3,10)</f>
        <v/>
      </c>
      <c r="H830">
        <f>R830=ROUND(819*0.05,10)</f>
        <v/>
      </c>
      <c r="I830">
        <f>S830=ROUND(819*0.01,10)</f>
        <v/>
      </c>
      <c r="J830">
        <f>T830=ROUND(819*0.7,10)</f>
        <v/>
      </c>
      <c r="K830">
        <f>U830=ROUND(819*1.1,10)</f>
        <v/>
      </c>
      <c r="L830">
        <f>V830=ROUND(819*0.25,10)</f>
        <v/>
      </c>
      <c r="M830">
        <f>W830=ROUND(819*0.5,10)</f>
        <v/>
      </c>
      <c r="O830">
        <f>O829+0.1</f>
        <v/>
      </c>
      <c r="P830">
        <f>P829+0.2</f>
        <v/>
      </c>
      <c r="Q830">
        <f>Q829+0.3</f>
        <v/>
      </c>
      <c r="R830">
        <f>R829+0.05</f>
        <v/>
      </c>
      <c r="S830">
        <f>S829+0.01</f>
        <v/>
      </c>
      <c r="T830">
        <f>T829+0.7</f>
        <v/>
      </c>
      <c r="U830">
        <f>U829+1.1</f>
        <v/>
      </c>
      <c r="V830">
        <f>V829+0.25</f>
        <v/>
      </c>
      <c r="W830">
        <f>W829+0.5</f>
        <v/>
      </c>
    </row>
    <row r="831">
      <c r="E831">
        <f>O831=ROUND(820*0.1,10)</f>
        <v/>
      </c>
      <c r="F831">
        <f>P831=ROUND(820*0.2,10)</f>
        <v/>
      </c>
      <c r="G831">
        <f>Q831=ROUND(820*0.3,10)</f>
        <v/>
      </c>
      <c r="H831">
        <f>R831=ROUND(820*0.05,10)</f>
        <v/>
      </c>
      <c r="I831">
        <f>S831=ROUND(820*0.01,10)</f>
        <v/>
      </c>
      <c r="J831">
        <f>T831=ROUND(820*0.7,10)</f>
        <v/>
      </c>
      <c r="K831">
        <f>U831=ROUND(820*1.1,10)</f>
        <v/>
      </c>
      <c r="L831">
        <f>V831=ROUND(820*0.25,10)</f>
        <v/>
      </c>
      <c r="M831">
        <f>W831=ROUND(820*0.5,10)</f>
        <v/>
      </c>
      <c r="O831">
        <f>O830+0.1</f>
        <v/>
      </c>
      <c r="P831">
        <f>P830+0.2</f>
        <v/>
      </c>
      <c r="Q831">
        <f>Q830+0.3</f>
        <v/>
      </c>
      <c r="R831">
        <f>R830+0.05</f>
        <v/>
      </c>
      <c r="S831">
        <f>S830+0.01</f>
        <v/>
      </c>
      <c r="T831">
        <f>T830+0.7</f>
        <v/>
      </c>
      <c r="U831">
        <f>U830+1.1</f>
        <v/>
      </c>
      <c r="V831">
        <f>V830+0.25</f>
        <v/>
      </c>
      <c r="W831">
        <f>W830+0.5</f>
        <v/>
      </c>
    </row>
    <row r="832">
      <c r="E832">
        <f>O832=ROUND(821*0.1,10)</f>
        <v/>
      </c>
      <c r="F832">
        <f>P832=ROUND(821*0.2,10)</f>
        <v/>
      </c>
      <c r="G832">
        <f>Q832=ROUND(821*0.3,10)</f>
        <v/>
      </c>
      <c r="H832">
        <f>R832=ROUND(821*0.05,10)</f>
        <v/>
      </c>
      <c r="I832">
        <f>S832=ROUND(821*0.01,10)</f>
        <v/>
      </c>
      <c r="J832">
        <f>T832=ROUND(821*0.7,10)</f>
        <v/>
      </c>
      <c r="K832">
        <f>U832=ROUND(821*1.1,10)</f>
        <v/>
      </c>
      <c r="L832">
        <f>V832=ROUND(821*0.25,10)</f>
        <v/>
      </c>
      <c r="M832">
        <f>W832=ROUND(821*0.5,10)</f>
        <v/>
      </c>
      <c r="O832">
        <f>O831+0.1</f>
        <v/>
      </c>
      <c r="P832">
        <f>P831+0.2</f>
        <v/>
      </c>
      <c r="Q832">
        <f>Q831+0.3</f>
        <v/>
      </c>
      <c r="R832">
        <f>R831+0.05</f>
        <v/>
      </c>
      <c r="S832">
        <f>S831+0.01</f>
        <v/>
      </c>
      <c r="T832">
        <f>T831+0.7</f>
        <v/>
      </c>
      <c r="U832">
        <f>U831+1.1</f>
        <v/>
      </c>
      <c r="V832">
        <f>V831+0.25</f>
        <v/>
      </c>
      <c r="W832">
        <f>W831+0.5</f>
        <v/>
      </c>
    </row>
    <row r="833">
      <c r="E833">
        <f>O833=ROUND(822*0.1,10)</f>
        <v/>
      </c>
      <c r="F833">
        <f>P833=ROUND(822*0.2,10)</f>
        <v/>
      </c>
      <c r="G833">
        <f>Q833=ROUND(822*0.3,10)</f>
        <v/>
      </c>
      <c r="H833">
        <f>R833=ROUND(822*0.05,10)</f>
        <v/>
      </c>
      <c r="I833">
        <f>S833=ROUND(822*0.01,10)</f>
        <v/>
      </c>
      <c r="J833">
        <f>T833=ROUND(822*0.7,10)</f>
        <v/>
      </c>
      <c r="K833">
        <f>U833=ROUND(822*1.1,10)</f>
        <v/>
      </c>
      <c r="L833">
        <f>V833=ROUND(822*0.25,10)</f>
        <v/>
      </c>
      <c r="M833">
        <f>W833=ROUND(822*0.5,10)</f>
        <v/>
      </c>
      <c r="O833">
        <f>O832+0.1</f>
        <v/>
      </c>
      <c r="P833">
        <f>P832+0.2</f>
        <v/>
      </c>
      <c r="Q833">
        <f>Q832+0.3</f>
        <v/>
      </c>
      <c r="R833">
        <f>R832+0.05</f>
        <v/>
      </c>
      <c r="S833">
        <f>S832+0.01</f>
        <v/>
      </c>
      <c r="T833">
        <f>T832+0.7</f>
        <v/>
      </c>
      <c r="U833">
        <f>U832+1.1</f>
        <v/>
      </c>
      <c r="V833">
        <f>V832+0.25</f>
        <v/>
      </c>
      <c r="W833">
        <f>W832+0.5</f>
        <v/>
      </c>
    </row>
    <row r="834">
      <c r="E834">
        <f>O834=ROUND(823*0.1,10)</f>
        <v/>
      </c>
      <c r="F834">
        <f>P834=ROUND(823*0.2,10)</f>
        <v/>
      </c>
      <c r="G834">
        <f>Q834=ROUND(823*0.3,10)</f>
        <v/>
      </c>
      <c r="H834">
        <f>R834=ROUND(823*0.05,10)</f>
        <v/>
      </c>
      <c r="I834">
        <f>S834=ROUND(823*0.01,10)</f>
        <v/>
      </c>
      <c r="J834">
        <f>T834=ROUND(823*0.7,10)</f>
        <v/>
      </c>
      <c r="K834">
        <f>U834=ROUND(823*1.1,10)</f>
        <v/>
      </c>
      <c r="L834">
        <f>V834=ROUND(823*0.25,10)</f>
        <v/>
      </c>
      <c r="M834">
        <f>W834=ROUND(823*0.5,10)</f>
        <v/>
      </c>
      <c r="O834">
        <f>O833+0.1</f>
        <v/>
      </c>
      <c r="P834">
        <f>P833+0.2</f>
        <v/>
      </c>
      <c r="Q834">
        <f>Q833+0.3</f>
        <v/>
      </c>
      <c r="R834">
        <f>R833+0.05</f>
        <v/>
      </c>
      <c r="S834">
        <f>S833+0.01</f>
        <v/>
      </c>
      <c r="T834">
        <f>T833+0.7</f>
        <v/>
      </c>
      <c r="U834">
        <f>U833+1.1</f>
        <v/>
      </c>
      <c r="V834">
        <f>V833+0.25</f>
        <v/>
      </c>
      <c r="W834">
        <f>W833+0.5</f>
        <v/>
      </c>
    </row>
    <row r="835">
      <c r="E835">
        <f>O835=ROUND(824*0.1,10)</f>
        <v/>
      </c>
      <c r="F835">
        <f>P835=ROUND(824*0.2,10)</f>
        <v/>
      </c>
      <c r="G835">
        <f>Q835=ROUND(824*0.3,10)</f>
        <v/>
      </c>
      <c r="H835">
        <f>R835=ROUND(824*0.05,10)</f>
        <v/>
      </c>
      <c r="I835">
        <f>S835=ROUND(824*0.01,10)</f>
        <v/>
      </c>
      <c r="J835">
        <f>T835=ROUND(824*0.7,10)</f>
        <v/>
      </c>
      <c r="K835">
        <f>U835=ROUND(824*1.1,10)</f>
        <v/>
      </c>
      <c r="L835">
        <f>V835=ROUND(824*0.25,10)</f>
        <v/>
      </c>
      <c r="M835">
        <f>W835=ROUND(824*0.5,10)</f>
        <v/>
      </c>
      <c r="O835">
        <f>O834+0.1</f>
        <v/>
      </c>
      <c r="P835">
        <f>P834+0.2</f>
        <v/>
      </c>
      <c r="Q835">
        <f>Q834+0.3</f>
        <v/>
      </c>
      <c r="R835">
        <f>R834+0.05</f>
        <v/>
      </c>
      <c r="S835">
        <f>S834+0.01</f>
        <v/>
      </c>
      <c r="T835">
        <f>T834+0.7</f>
        <v/>
      </c>
      <c r="U835">
        <f>U834+1.1</f>
        <v/>
      </c>
      <c r="V835">
        <f>V834+0.25</f>
        <v/>
      </c>
      <c r="W835">
        <f>W834+0.5</f>
        <v/>
      </c>
    </row>
    <row r="836">
      <c r="E836">
        <f>O836=ROUND(825*0.1,10)</f>
        <v/>
      </c>
      <c r="F836">
        <f>P836=ROUND(825*0.2,10)</f>
        <v/>
      </c>
      <c r="G836">
        <f>Q836=ROUND(825*0.3,10)</f>
        <v/>
      </c>
      <c r="H836">
        <f>R836=ROUND(825*0.05,10)</f>
        <v/>
      </c>
      <c r="I836">
        <f>S836=ROUND(825*0.01,10)</f>
        <v/>
      </c>
      <c r="J836">
        <f>T836=ROUND(825*0.7,10)</f>
        <v/>
      </c>
      <c r="K836">
        <f>U836=ROUND(825*1.1,10)</f>
        <v/>
      </c>
      <c r="L836">
        <f>V836=ROUND(825*0.25,10)</f>
        <v/>
      </c>
      <c r="M836">
        <f>W836=ROUND(825*0.5,10)</f>
        <v/>
      </c>
      <c r="O836">
        <f>O835+0.1</f>
        <v/>
      </c>
      <c r="P836">
        <f>P835+0.2</f>
        <v/>
      </c>
      <c r="Q836">
        <f>Q835+0.3</f>
        <v/>
      </c>
      <c r="R836">
        <f>R835+0.05</f>
        <v/>
      </c>
      <c r="S836">
        <f>S835+0.01</f>
        <v/>
      </c>
      <c r="T836">
        <f>T835+0.7</f>
        <v/>
      </c>
      <c r="U836">
        <f>U835+1.1</f>
        <v/>
      </c>
      <c r="V836">
        <f>V835+0.25</f>
        <v/>
      </c>
      <c r="W836">
        <f>W835+0.5</f>
        <v/>
      </c>
    </row>
    <row r="837">
      <c r="E837">
        <f>O837=ROUND(826*0.1,10)</f>
        <v/>
      </c>
      <c r="F837">
        <f>P837=ROUND(826*0.2,10)</f>
        <v/>
      </c>
      <c r="G837">
        <f>Q837=ROUND(826*0.3,10)</f>
        <v/>
      </c>
      <c r="H837">
        <f>R837=ROUND(826*0.05,10)</f>
        <v/>
      </c>
      <c r="I837">
        <f>S837=ROUND(826*0.01,10)</f>
        <v/>
      </c>
      <c r="J837">
        <f>T837=ROUND(826*0.7,10)</f>
        <v/>
      </c>
      <c r="K837">
        <f>U837=ROUND(826*1.1,10)</f>
        <v/>
      </c>
      <c r="L837">
        <f>V837=ROUND(826*0.25,10)</f>
        <v/>
      </c>
      <c r="M837">
        <f>W837=ROUND(826*0.5,10)</f>
        <v/>
      </c>
      <c r="O837">
        <f>O836+0.1</f>
        <v/>
      </c>
      <c r="P837">
        <f>P836+0.2</f>
        <v/>
      </c>
      <c r="Q837">
        <f>Q836+0.3</f>
        <v/>
      </c>
      <c r="R837">
        <f>R836+0.05</f>
        <v/>
      </c>
      <c r="S837">
        <f>S836+0.01</f>
        <v/>
      </c>
      <c r="T837">
        <f>T836+0.7</f>
        <v/>
      </c>
      <c r="U837">
        <f>U836+1.1</f>
        <v/>
      </c>
      <c r="V837">
        <f>V836+0.25</f>
        <v/>
      </c>
      <c r="W837">
        <f>W836+0.5</f>
        <v/>
      </c>
    </row>
    <row r="838">
      <c r="E838">
        <f>O838=ROUND(827*0.1,10)</f>
        <v/>
      </c>
      <c r="F838">
        <f>P838=ROUND(827*0.2,10)</f>
        <v/>
      </c>
      <c r="G838">
        <f>Q838=ROUND(827*0.3,10)</f>
        <v/>
      </c>
      <c r="H838">
        <f>R838=ROUND(827*0.05,10)</f>
        <v/>
      </c>
      <c r="I838">
        <f>S838=ROUND(827*0.01,10)</f>
        <v/>
      </c>
      <c r="J838">
        <f>T838=ROUND(827*0.7,10)</f>
        <v/>
      </c>
      <c r="K838">
        <f>U838=ROUND(827*1.1,10)</f>
        <v/>
      </c>
      <c r="L838">
        <f>V838=ROUND(827*0.25,10)</f>
        <v/>
      </c>
      <c r="M838">
        <f>W838=ROUND(827*0.5,10)</f>
        <v/>
      </c>
      <c r="O838">
        <f>O837+0.1</f>
        <v/>
      </c>
      <c r="P838">
        <f>P837+0.2</f>
        <v/>
      </c>
      <c r="Q838">
        <f>Q837+0.3</f>
        <v/>
      </c>
      <c r="R838">
        <f>R837+0.05</f>
        <v/>
      </c>
      <c r="S838">
        <f>S837+0.01</f>
        <v/>
      </c>
      <c r="T838">
        <f>T837+0.7</f>
        <v/>
      </c>
      <c r="U838">
        <f>U837+1.1</f>
        <v/>
      </c>
      <c r="V838">
        <f>V837+0.25</f>
        <v/>
      </c>
      <c r="W838">
        <f>W837+0.5</f>
        <v/>
      </c>
    </row>
    <row r="839">
      <c r="E839">
        <f>O839=ROUND(828*0.1,10)</f>
        <v/>
      </c>
      <c r="F839">
        <f>P839=ROUND(828*0.2,10)</f>
        <v/>
      </c>
      <c r="G839">
        <f>Q839=ROUND(828*0.3,10)</f>
        <v/>
      </c>
      <c r="H839">
        <f>R839=ROUND(828*0.05,10)</f>
        <v/>
      </c>
      <c r="I839">
        <f>S839=ROUND(828*0.01,10)</f>
        <v/>
      </c>
      <c r="J839">
        <f>T839=ROUND(828*0.7,10)</f>
        <v/>
      </c>
      <c r="K839">
        <f>U839=ROUND(828*1.1,10)</f>
        <v/>
      </c>
      <c r="L839">
        <f>V839=ROUND(828*0.25,10)</f>
        <v/>
      </c>
      <c r="M839">
        <f>W839=ROUND(828*0.5,10)</f>
        <v/>
      </c>
      <c r="O839">
        <f>O838+0.1</f>
        <v/>
      </c>
      <c r="P839">
        <f>P838+0.2</f>
        <v/>
      </c>
      <c r="Q839">
        <f>Q838+0.3</f>
        <v/>
      </c>
      <c r="R839">
        <f>R838+0.05</f>
        <v/>
      </c>
      <c r="S839">
        <f>S838+0.01</f>
        <v/>
      </c>
      <c r="T839">
        <f>T838+0.7</f>
        <v/>
      </c>
      <c r="U839">
        <f>U838+1.1</f>
        <v/>
      </c>
      <c r="V839">
        <f>V838+0.25</f>
        <v/>
      </c>
      <c r="W839">
        <f>W838+0.5</f>
        <v/>
      </c>
    </row>
    <row r="840">
      <c r="E840">
        <f>O840=ROUND(829*0.1,10)</f>
        <v/>
      </c>
      <c r="F840">
        <f>P840=ROUND(829*0.2,10)</f>
        <v/>
      </c>
      <c r="G840">
        <f>Q840=ROUND(829*0.3,10)</f>
        <v/>
      </c>
      <c r="H840">
        <f>R840=ROUND(829*0.05,10)</f>
        <v/>
      </c>
      <c r="I840">
        <f>S840=ROUND(829*0.01,10)</f>
        <v/>
      </c>
      <c r="J840">
        <f>T840=ROUND(829*0.7,10)</f>
        <v/>
      </c>
      <c r="K840">
        <f>U840=ROUND(829*1.1,10)</f>
        <v/>
      </c>
      <c r="L840">
        <f>V840=ROUND(829*0.25,10)</f>
        <v/>
      </c>
      <c r="M840">
        <f>W840=ROUND(829*0.5,10)</f>
        <v/>
      </c>
      <c r="O840">
        <f>O839+0.1</f>
        <v/>
      </c>
      <c r="P840">
        <f>P839+0.2</f>
        <v/>
      </c>
      <c r="Q840">
        <f>Q839+0.3</f>
        <v/>
      </c>
      <c r="R840">
        <f>R839+0.05</f>
        <v/>
      </c>
      <c r="S840">
        <f>S839+0.01</f>
        <v/>
      </c>
      <c r="T840">
        <f>T839+0.7</f>
        <v/>
      </c>
      <c r="U840">
        <f>U839+1.1</f>
        <v/>
      </c>
      <c r="V840">
        <f>V839+0.25</f>
        <v/>
      </c>
      <c r="W840">
        <f>W839+0.5</f>
        <v/>
      </c>
    </row>
    <row r="841">
      <c r="E841">
        <f>O841=ROUND(830*0.1,10)</f>
        <v/>
      </c>
      <c r="F841">
        <f>P841=ROUND(830*0.2,10)</f>
        <v/>
      </c>
      <c r="G841">
        <f>Q841=ROUND(830*0.3,10)</f>
        <v/>
      </c>
      <c r="H841">
        <f>R841=ROUND(830*0.05,10)</f>
        <v/>
      </c>
      <c r="I841">
        <f>S841=ROUND(830*0.01,10)</f>
        <v/>
      </c>
      <c r="J841">
        <f>T841=ROUND(830*0.7,10)</f>
        <v/>
      </c>
      <c r="K841">
        <f>U841=ROUND(830*1.1,10)</f>
        <v/>
      </c>
      <c r="L841">
        <f>V841=ROUND(830*0.25,10)</f>
        <v/>
      </c>
      <c r="M841">
        <f>W841=ROUND(830*0.5,10)</f>
        <v/>
      </c>
      <c r="O841">
        <f>O840+0.1</f>
        <v/>
      </c>
      <c r="P841">
        <f>P840+0.2</f>
        <v/>
      </c>
      <c r="Q841">
        <f>Q840+0.3</f>
        <v/>
      </c>
      <c r="R841">
        <f>R840+0.05</f>
        <v/>
      </c>
      <c r="S841">
        <f>S840+0.01</f>
        <v/>
      </c>
      <c r="T841">
        <f>T840+0.7</f>
        <v/>
      </c>
      <c r="U841">
        <f>U840+1.1</f>
        <v/>
      </c>
      <c r="V841">
        <f>V840+0.25</f>
        <v/>
      </c>
      <c r="W841">
        <f>W840+0.5</f>
        <v/>
      </c>
    </row>
    <row r="842">
      <c r="E842">
        <f>O842=ROUND(831*0.1,10)</f>
        <v/>
      </c>
      <c r="F842">
        <f>P842=ROUND(831*0.2,10)</f>
        <v/>
      </c>
      <c r="G842">
        <f>Q842=ROUND(831*0.3,10)</f>
        <v/>
      </c>
      <c r="H842">
        <f>R842=ROUND(831*0.05,10)</f>
        <v/>
      </c>
      <c r="I842">
        <f>S842=ROUND(831*0.01,10)</f>
        <v/>
      </c>
      <c r="J842">
        <f>T842=ROUND(831*0.7,10)</f>
        <v/>
      </c>
      <c r="K842">
        <f>U842=ROUND(831*1.1,10)</f>
        <v/>
      </c>
      <c r="L842">
        <f>V842=ROUND(831*0.25,10)</f>
        <v/>
      </c>
      <c r="M842">
        <f>W842=ROUND(831*0.5,10)</f>
        <v/>
      </c>
      <c r="O842">
        <f>O841+0.1</f>
        <v/>
      </c>
      <c r="P842">
        <f>P841+0.2</f>
        <v/>
      </c>
      <c r="Q842">
        <f>Q841+0.3</f>
        <v/>
      </c>
      <c r="R842">
        <f>R841+0.05</f>
        <v/>
      </c>
      <c r="S842">
        <f>S841+0.01</f>
        <v/>
      </c>
      <c r="T842">
        <f>T841+0.7</f>
        <v/>
      </c>
      <c r="U842">
        <f>U841+1.1</f>
        <v/>
      </c>
      <c r="V842">
        <f>V841+0.25</f>
        <v/>
      </c>
      <c r="W842">
        <f>W841+0.5</f>
        <v/>
      </c>
    </row>
    <row r="843">
      <c r="E843">
        <f>O843=ROUND(832*0.1,10)</f>
        <v/>
      </c>
      <c r="F843">
        <f>P843=ROUND(832*0.2,10)</f>
        <v/>
      </c>
      <c r="G843">
        <f>Q843=ROUND(832*0.3,10)</f>
        <v/>
      </c>
      <c r="H843">
        <f>R843=ROUND(832*0.05,10)</f>
        <v/>
      </c>
      <c r="I843">
        <f>S843=ROUND(832*0.01,10)</f>
        <v/>
      </c>
      <c r="J843">
        <f>T843=ROUND(832*0.7,10)</f>
        <v/>
      </c>
      <c r="K843">
        <f>U843=ROUND(832*1.1,10)</f>
        <v/>
      </c>
      <c r="L843">
        <f>V843=ROUND(832*0.25,10)</f>
        <v/>
      </c>
      <c r="M843">
        <f>W843=ROUND(832*0.5,10)</f>
        <v/>
      </c>
      <c r="O843">
        <f>O842+0.1</f>
        <v/>
      </c>
      <c r="P843">
        <f>P842+0.2</f>
        <v/>
      </c>
      <c r="Q843">
        <f>Q842+0.3</f>
        <v/>
      </c>
      <c r="R843">
        <f>R842+0.05</f>
        <v/>
      </c>
      <c r="S843">
        <f>S842+0.01</f>
        <v/>
      </c>
      <c r="T843">
        <f>T842+0.7</f>
        <v/>
      </c>
      <c r="U843">
        <f>U842+1.1</f>
        <v/>
      </c>
      <c r="V843">
        <f>V842+0.25</f>
        <v/>
      </c>
      <c r="W843">
        <f>W842+0.5</f>
        <v/>
      </c>
    </row>
    <row r="844">
      <c r="E844">
        <f>O844=ROUND(833*0.1,10)</f>
        <v/>
      </c>
      <c r="F844">
        <f>P844=ROUND(833*0.2,10)</f>
        <v/>
      </c>
      <c r="G844">
        <f>Q844=ROUND(833*0.3,10)</f>
        <v/>
      </c>
      <c r="H844">
        <f>R844=ROUND(833*0.05,10)</f>
        <v/>
      </c>
      <c r="I844">
        <f>S844=ROUND(833*0.01,10)</f>
        <v/>
      </c>
      <c r="J844">
        <f>T844=ROUND(833*0.7,10)</f>
        <v/>
      </c>
      <c r="K844">
        <f>U844=ROUND(833*1.1,10)</f>
        <v/>
      </c>
      <c r="L844">
        <f>V844=ROUND(833*0.25,10)</f>
        <v/>
      </c>
      <c r="M844">
        <f>W844=ROUND(833*0.5,10)</f>
        <v/>
      </c>
      <c r="O844">
        <f>O843+0.1</f>
        <v/>
      </c>
      <c r="P844">
        <f>P843+0.2</f>
        <v/>
      </c>
      <c r="Q844">
        <f>Q843+0.3</f>
        <v/>
      </c>
      <c r="R844">
        <f>R843+0.05</f>
        <v/>
      </c>
      <c r="S844">
        <f>S843+0.01</f>
        <v/>
      </c>
      <c r="T844">
        <f>T843+0.7</f>
        <v/>
      </c>
      <c r="U844">
        <f>U843+1.1</f>
        <v/>
      </c>
      <c r="V844">
        <f>V843+0.25</f>
        <v/>
      </c>
      <c r="W844">
        <f>W843+0.5</f>
        <v/>
      </c>
    </row>
    <row r="845">
      <c r="E845">
        <f>O845=ROUND(834*0.1,10)</f>
        <v/>
      </c>
      <c r="F845">
        <f>P845=ROUND(834*0.2,10)</f>
        <v/>
      </c>
      <c r="G845">
        <f>Q845=ROUND(834*0.3,10)</f>
        <v/>
      </c>
      <c r="H845">
        <f>R845=ROUND(834*0.05,10)</f>
        <v/>
      </c>
      <c r="I845">
        <f>S845=ROUND(834*0.01,10)</f>
        <v/>
      </c>
      <c r="J845">
        <f>T845=ROUND(834*0.7,10)</f>
        <v/>
      </c>
      <c r="K845">
        <f>U845=ROUND(834*1.1,10)</f>
        <v/>
      </c>
      <c r="L845">
        <f>V845=ROUND(834*0.25,10)</f>
        <v/>
      </c>
      <c r="M845">
        <f>W845=ROUND(834*0.5,10)</f>
        <v/>
      </c>
      <c r="O845">
        <f>O844+0.1</f>
        <v/>
      </c>
      <c r="P845">
        <f>P844+0.2</f>
        <v/>
      </c>
      <c r="Q845">
        <f>Q844+0.3</f>
        <v/>
      </c>
      <c r="R845">
        <f>R844+0.05</f>
        <v/>
      </c>
      <c r="S845">
        <f>S844+0.01</f>
        <v/>
      </c>
      <c r="T845">
        <f>T844+0.7</f>
        <v/>
      </c>
      <c r="U845">
        <f>U844+1.1</f>
        <v/>
      </c>
      <c r="V845">
        <f>V844+0.25</f>
        <v/>
      </c>
      <c r="W845">
        <f>W844+0.5</f>
        <v/>
      </c>
    </row>
    <row r="846">
      <c r="E846">
        <f>O846=ROUND(835*0.1,10)</f>
        <v/>
      </c>
      <c r="F846">
        <f>P846=ROUND(835*0.2,10)</f>
        <v/>
      </c>
      <c r="G846">
        <f>Q846=ROUND(835*0.3,10)</f>
        <v/>
      </c>
      <c r="H846">
        <f>R846=ROUND(835*0.05,10)</f>
        <v/>
      </c>
      <c r="I846">
        <f>S846=ROUND(835*0.01,10)</f>
        <v/>
      </c>
      <c r="J846">
        <f>T846=ROUND(835*0.7,10)</f>
        <v/>
      </c>
      <c r="K846">
        <f>U846=ROUND(835*1.1,10)</f>
        <v/>
      </c>
      <c r="L846">
        <f>V846=ROUND(835*0.25,10)</f>
        <v/>
      </c>
      <c r="M846">
        <f>W846=ROUND(835*0.5,10)</f>
        <v/>
      </c>
      <c r="O846">
        <f>O845+0.1</f>
        <v/>
      </c>
      <c r="P846">
        <f>P845+0.2</f>
        <v/>
      </c>
      <c r="Q846">
        <f>Q845+0.3</f>
        <v/>
      </c>
      <c r="R846">
        <f>R845+0.05</f>
        <v/>
      </c>
      <c r="S846">
        <f>S845+0.01</f>
        <v/>
      </c>
      <c r="T846">
        <f>T845+0.7</f>
        <v/>
      </c>
      <c r="U846">
        <f>U845+1.1</f>
        <v/>
      </c>
      <c r="V846">
        <f>V845+0.25</f>
        <v/>
      </c>
      <c r="W846">
        <f>W845+0.5</f>
        <v/>
      </c>
    </row>
    <row r="847">
      <c r="E847">
        <f>O847=ROUND(836*0.1,10)</f>
        <v/>
      </c>
      <c r="F847">
        <f>P847=ROUND(836*0.2,10)</f>
        <v/>
      </c>
      <c r="G847">
        <f>Q847=ROUND(836*0.3,10)</f>
        <v/>
      </c>
      <c r="H847">
        <f>R847=ROUND(836*0.05,10)</f>
        <v/>
      </c>
      <c r="I847">
        <f>S847=ROUND(836*0.01,10)</f>
        <v/>
      </c>
      <c r="J847">
        <f>T847=ROUND(836*0.7,10)</f>
        <v/>
      </c>
      <c r="K847">
        <f>U847=ROUND(836*1.1,10)</f>
        <v/>
      </c>
      <c r="L847">
        <f>V847=ROUND(836*0.25,10)</f>
        <v/>
      </c>
      <c r="M847">
        <f>W847=ROUND(836*0.5,10)</f>
        <v/>
      </c>
      <c r="O847">
        <f>O846+0.1</f>
        <v/>
      </c>
      <c r="P847">
        <f>P846+0.2</f>
        <v/>
      </c>
      <c r="Q847">
        <f>Q846+0.3</f>
        <v/>
      </c>
      <c r="R847">
        <f>R846+0.05</f>
        <v/>
      </c>
      <c r="S847">
        <f>S846+0.01</f>
        <v/>
      </c>
      <c r="T847">
        <f>T846+0.7</f>
        <v/>
      </c>
      <c r="U847">
        <f>U846+1.1</f>
        <v/>
      </c>
      <c r="V847">
        <f>V846+0.25</f>
        <v/>
      </c>
      <c r="W847">
        <f>W846+0.5</f>
        <v/>
      </c>
    </row>
    <row r="848">
      <c r="E848">
        <f>O848=ROUND(837*0.1,10)</f>
        <v/>
      </c>
      <c r="F848">
        <f>P848=ROUND(837*0.2,10)</f>
        <v/>
      </c>
      <c r="G848">
        <f>Q848=ROUND(837*0.3,10)</f>
        <v/>
      </c>
      <c r="H848">
        <f>R848=ROUND(837*0.05,10)</f>
        <v/>
      </c>
      <c r="I848">
        <f>S848=ROUND(837*0.01,10)</f>
        <v/>
      </c>
      <c r="J848">
        <f>T848=ROUND(837*0.7,10)</f>
        <v/>
      </c>
      <c r="K848">
        <f>U848=ROUND(837*1.1,10)</f>
        <v/>
      </c>
      <c r="L848">
        <f>V848=ROUND(837*0.25,10)</f>
        <v/>
      </c>
      <c r="M848">
        <f>W848=ROUND(837*0.5,10)</f>
        <v/>
      </c>
      <c r="O848">
        <f>O847+0.1</f>
        <v/>
      </c>
      <c r="P848">
        <f>P847+0.2</f>
        <v/>
      </c>
      <c r="Q848">
        <f>Q847+0.3</f>
        <v/>
      </c>
      <c r="R848">
        <f>R847+0.05</f>
        <v/>
      </c>
      <c r="S848">
        <f>S847+0.01</f>
        <v/>
      </c>
      <c r="T848">
        <f>T847+0.7</f>
        <v/>
      </c>
      <c r="U848">
        <f>U847+1.1</f>
        <v/>
      </c>
      <c r="V848">
        <f>V847+0.25</f>
        <v/>
      </c>
      <c r="W848">
        <f>W847+0.5</f>
        <v/>
      </c>
    </row>
    <row r="849">
      <c r="E849">
        <f>O849=ROUND(838*0.1,10)</f>
        <v/>
      </c>
      <c r="F849">
        <f>P849=ROUND(838*0.2,10)</f>
        <v/>
      </c>
      <c r="G849">
        <f>Q849=ROUND(838*0.3,10)</f>
        <v/>
      </c>
      <c r="H849">
        <f>R849=ROUND(838*0.05,10)</f>
        <v/>
      </c>
      <c r="I849">
        <f>S849=ROUND(838*0.01,10)</f>
        <v/>
      </c>
      <c r="J849">
        <f>T849=ROUND(838*0.7,10)</f>
        <v/>
      </c>
      <c r="K849">
        <f>U849=ROUND(838*1.1,10)</f>
        <v/>
      </c>
      <c r="L849">
        <f>V849=ROUND(838*0.25,10)</f>
        <v/>
      </c>
      <c r="M849">
        <f>W849=ROUND(838*0.5,10)</f>
        <v/>
      </c>
      <c r="O849">
        <f>O848+0.1</f>
        <v/>
      </c>
      <c r="P849">
        <f>P848+0.2</f>
        <v/>
      </c>
      <c r="Q849">
        <f>Q848+0.3</f>
        <v/>
      </c>
      <c r="R849">
        <f>R848+0.05</f>
        <v/>
      </c>
      <c r="S849">
        <f>S848+0.01</f>
        <v/>
      </c>
      <c r="T849">
        <f>T848+0.7</f>
        <v/>
      </c>
      <c r="U849">
        <f>U848+1.1</f>
        <v/>
      </c>
      <c r="V849">
        <f>V848+0.25</f>
        <v/>
      </c>
      <c r="W849">
        <f>W848+0.5</f>
        <v/>
      </c>
    </row>
    <row r="850">
      <c r="E850">
        <f>O850=ROUND(839*0.1,10)</f>
        <v/>
      </c>
      <c r="F850">
        <f>P850=ROUND(839*0.2,10)</f>
        <v/>
      </c>
      <c r="G850">
        <f>Q850=ROUND(839*0.3,10)</f>
        <v/>
      </c>
      <c r="H850">
        <f>R850=ROUND(839*0.05,10)</f>
        <v/>
      </c>
      <c r="I850">
        <f>S850=ROUND(839*0.01,10)</f>
        <v/>
      </c>
      <c r="J850">
        <f>T850=ROUND(839*0.7,10)</f>
        <v/>
      </c>
      <c r="K850">
        <f>U850=ROUND(839*1.1,10)</f>
        <v/>
      </c>
      <c r="L850">
        <f>V850=ROUND(839*0.25,10)</f>
        <v/>
      </c>
      <c r="M850">
        <f>W850=ROUND(839*0.5,10)</f>
        <v/>
      </c>
      <c r="O850">
        <f>O849+0.1</f>
        <v/>
      </c>
      <c r="P850">
        <f>P849+0.2</f>
        <v/>
      </c>
      <c r="Q850">
        <f>Q849+0.3</f>
        <v/>
      </c>
      <c r="R850">
        <f>R849+0.05</f>
        <v/>
      </c>
      <c r="S850">
        <f>S849+0.01</f>
        <v/>
      </c>
      <c r="T850">
        <f>T849+0.7</f>
        <v/>
      </c>
      <c r="U850">
        <f>U849+1.1</f>
        <v/>
      </c>
      <c r="V850">
        <f>V849+0.25</f>
        <v/>
      </c>
      <c r="W850">
        <f>W849+0.5</f>
        <v/>
      </c>
    </row>
    <row r="851">
      <c r="E851">
        <f>O851=ROUND(840*0.1,10)</f>
        <v/>
      </c>
      <c r="F851">
        <f>P851=ROUND(840*0.2,10)</f>
        <v/>
      </c>
      <c r="G851">
        <f>Q851=ROUND(840*0.3,10)</f>
        <v/>
      </c>
      <c r="H851">
        <f>R851=ROUND(840*0.05,10)</f>
        <v/>
      </c>
      <c r="I851">
        <f>S851=ROUND(840*0.01,10)</f>
        <v/>
      </c>
      <c r="J851">
        <f>T851=ROUND(840*0.7,10)</f>
        <v/>
      </c>
      <c r="K851">
        <f>U851=ROUND(840*1.1,10)</f>
        <v/>
      </c>
      <c r="L851">
        <f>V851=ROUND(840*0.25,10)</f>
        <v/>
      </c>
      <c r="M851">
        <f>W851=ROUND(840*0.5,10)</f>
        <v/>
      </c>
      <c r="O851">
        <f>O850+0.1</f>
        <v/>
      </c>
      <c r="P851">
        <f>P850+0.2</f>
        <v/>
      </c>
      <c r="Q851">
        <f>Q850+0.3</f>
        <v/>
      </c>
      <c r="R851">
        <f>R850+0.05</f>
        <v/>
      </c>
      <c r="S851">
        <f>S850+0.01</f>
        <v/>
      </c>
      <c r="T851">
        <f>T850+0.7</f>
        <v/>
      </c>
      <c r="U851">
        <f>U850+1.1</f>
        <v/>
      </c>
      <c r="V851">
        <f>V850+0.25</f>
        <v/>
      </c>
      <c r="W851">
        <f>W850+0.5</f>
        <v/>
      </c>
    </row>
    <row r="852">
      <c r="E852">
        <f>O852=ROUND(841*0.1,10)</f>
        <v/>
      </c>
      <c r="F852">
        <f>P852=ROUND(841*0.2,10)</f>
        <v/>
      </c>
      <c r="G852">
        <f>Q852=ROUND(841*0.3,10)</f>
        <v/>
      </c>
      <c r="H852">
        <f>R852=ROUND(841*0.05,10)</f>
        <v/>
      </c>
      <c r="I852">
        <f>S852=ROUND(841*0.01,10)</f>
        <v/>
      </c>
      <c r="J852">
        <f>T852=ROUND(841*0.7,10)</f>
        <v/>
      </c>
      <c r="K852">
        <f>U852=ROUND(841*1.1,10)</f>
        <v/>
      </c>
      <c r="L852">
        <f>V852=ROUND(841*0.25,10)</f>
        <v/>
      </c>
      <c r="M852">
        <f>W852=ROUND(841*0.5,10)</f>
        <v/>
      </c>
      <c r="O852">
        <f>O851+0.1</f>
        <v/>
      </c>
      <c r="P852">
        <f>P851+0.2</f>
        <v/>
      </c>
      <c r="Q852">
        <f>Q851+0.3</f>
        <v/>
      </c>
      <c r="R852">
        <f>R851+0.05</f>
        <v/>
      </c>
      <c r="S852">
        <f>S851+0.01</f>
        <v/>
      </c>
      <c r="T852">
        <f>T851+0.7</f>
        <v/>
      </c>
      <c r="U852">
        <f>U851+1.1</f>
        <v/>
      </c>
      <c r="V852">
        <f>V851+0.25</f>
        <v/>
      </c>
      <c r="W852">
        <f>W851+0.5</f>
        <v/>
      </c>
    </row>
    <row r="853">
      <c r="E853">
        <f>O853=ROUND(842*0.1,10)</f>
        <v/>
      </c>
      <c r="F853">
        <f>P853=ROUND(842*0.2,10)</f>
        <v/>
      </c>
      <c r="G853">
        <f>Q853=ROUND(842*0.3,10)</f>
        <v/>
      </c>
      <c r="H853">
        <f>R853=ROUND(842*0.05,10)</f>
        <v/>
      </c>
      <c r="I853">
        <f>S853=ROUND(842*0.01,10)</f>
        <v/>
      </c>
      <c r="J853">
        <f>T853=ROUND(842*0.7,10)</f>
        <v/>
      </c>
      <c r="K853">
        <f>U853=ROUND(842*1.1,10)</f>
        <v/>
      </c>
      <c r="L853">
        <f>V853=ROUND(842*0.25,10)</f>
        <v/>
      </c>
      <c r="M853">
        <f>W853=ROUND(842*0.5,10)</f>
        <v/>
      </c>
      <c r="O853">
        <f>O852+0.1</f>
        <v/>
      </c>
      <c r="P853">
        <f>P852+0.2</f>
        <v/>
      </c>
      <c r="Q853">
        <f>Q852+0.3</f>
        <v/>
      </c>
      <c r="R853">
        <f>R852+0.05</f>
        <v/>
      </c>
      <c r="S853">
        <f>S852+0.01</f>
        <v/>
      </c>
      <c r="T853">
        <f>T852+0.7</f>
        <v/>
      </c>
      <c r="U853">
        <f>U852+1.1</f>
        <v/>
      </c>
      <c r="V853">
        <f>V852+0.25</f>
        <v/>
      </c>
      <c r="W853">
        <f>W852+0.5</f>
        <v/>
      </c>
    </row>
    <row r="854">
      <c r="E854">
        <f>O854=ROUND(843*0.1,10)</f>
        <v/>
      </c>
      <c r="F854">
        <f>P854=ROUND(843*0.2,10)</f>
        <v/>
      </c>
      <c r="G854">
        <f>Q854=ROUND(843*0.3,10)</f>
        <v/>
      </c>
      <c r="H854">
        <f>R854=ROUND(843*0.05,10)</f>
        <v/>
      </c>
      <c r="I854">
        <f>S854=ROUND(843*0.01,10)</f>
        <v/>
      </c>
      <c r="J854">
        <f>T854=ROUND(843*0.7,10)</f>
        <v/>
      </c>
      <c r="K854">
        <f>U854=ROUND(843*1.1,10)</f>
        <v/>
      </c>
      <c r="L854">
        <f>V854=ROUND(843*0.25,10)</f>
        <v/>
      </c>
      <c r="M854">
        <f>W854=ROUND(843*0.5,10)</f>
        <v/>
      </c>
      <c r="O854">
        <f>O853+0.1</f>
        <v/>
      </c>
      <c r="P854">
        <f>P853+0.2</f>
        <v/>
      </c>
      <c r="Q854">
        <f>Q853+0.3</f>
        <v/>
      </c>
      <c r="R854">
        <f>R853+0.05</f>
        <v/>
      </c>
      <c r="S854">
        <f>S853+0.01</f>
        <v/>
      </c>
      <c r="T854">
        <f>T853+0.7</f>
        <v/>
      </c>
      <c r="U854">
        <f>U853+1.1</f>
        <v/>
      </c>
      <c r="V854">
        <f>V853+0.25</f>
        <v/>
      </c>
      <c r="W854">
        <f>W853+0.5</f>
        <v/>
      </c>
    </row>
    <row r="855">
      <c r="E855">
        <f>O855=ROUND(844*0.1,10)</f>
        <v/>
      </c>
      <c r="F855">
        <f>P855=ROUND(844*0.2,10)</f>
        <v/>
      </c>
      <c r="G855">
        <f>Q855=ROUND(844*0.3,10)</f>
        <v/>
      </c>
      <c r="H855">
        <f>R855=ROUND(844*0.05,10)</f>
        <v/>
      </c>
      <c r="I855">
        <f>S855=ROUND(844*0.01,10)</f>
        <v/>
      </c>
      <c r="J855">
        <f>T855=ROUND(844*0.7,10)</f>
        <v/>
      </c>
      <c r="K855">
        <f>U855=ROUND(844*1.1,10)</f>
        <v/>
      </c>
      <c r="L855">
        <f>V855=ROUND(844*0.25,10)</f>
        <v/>
      </c>
      <c r="M855">
        <f>W855=ROUND(844*0.5,10)</f>
        <v/>
      </c>
      <c r="O855">
        <f>O854+0.1</f>
        <v/>
      </c>
      <c r="P855">
        <f>P854+0.2</f>
        <v/>
      </c>
      <c r="Q855">
        <f>Q854+0.3</f>
        <v/>
      </c>
      <c r="R855">
        <f>R854+0.05</f>
        <v/>
      </c>
      <c r="S855">
        <f>S854+0.01</f>
        <v/>
      </c>
      <c r="T855">
        <f>T854+0.7</f>
        <v/>
      </c>
      <c r="U855">
        <f>U854+1.1</f>
        <v/>
      </c>
      <c r="V855">
        <f>V854+0.25</f>
        <v/>
      </c>
      <c r="W855">
        <f>W854+0.5</f>
        <v/>
      </c>
    </row>
    <row r="856">
      <c r="E856">
        <f>O856=ROUND(845*0.1,10)</f>
        <v/>
      </c>
      <c r="F856">
        <f>P856=ROUND(845*0.2,10)</f>
        <v/>
      </c>
      <c r="G856">
        <f>Q856=ROUND(845*0.3,10)</f>
        <v/>
      </c>
      <c r="H856">
        <f>R856=ROUND(845*0.05,10)</f>
        <v/>
      </c>
      <c r="I856">
        <f>S856=ROUND(845*0.01,10)</f>
        <v/>
      </c>
      <c r="J856">
        <f>T856=ROUND(845*0.7,10)</f>
        <v/>
      </c>
      <c r="K856">
        <f>U856=ROUND(845*1.1,10)</f>
        <v/>
      </c>
      <c r="L856">
        <f>V856=ROUND(845*0.25,10)</f>
        <v/>
      </c>
      <c r="M856">
        <f>W856=ROUND(845*0.5,10)</f>
        <v/>
      </c>
      <c r="O856">
        <f>O855+0.1</f>
        <v/>
      </c>
      <c r="P856">
        <f>P855+0.2</f>
        <v/>
      </c>
      <c r="Q856">
        <f>Q855+0.3</f>
        <v/>
      </c>
      <c r="R856">
        <f>R855+0.05</f>
        <v/>
      </c>
      <c r="S856">
        <f>S855+0.01</f>
        <v/>
      </c>
      <c r="T856">
        <f>T855+0.7</f>
        <v/>
      </c>
      <c r="U856">
        <f>U855+1.1</f>
        <v/>
      </c>
      <c r="V856">
        <f>V855+0.25</f>
        <v/>
      </c>
      <c r="W856">
        <f>W855+0.5</f>
        <v/>
      </c>
    </row>
    <row r="857">
      <c r="E857">
        <f>O857=ROUND(846*0.1,10)</f>
        <v/>
      </c>
      <c r="F857">
        <f>P857=ROUND(846*0.2,10)</f>
        <v/>
      </c>
      <c r="G857">
        <f>Q857=ROUND(846*0.3,10)</f>
        <v/>
      </c>
      <c r="H857">
        <f>R857=ROUND(846*0.05,10)</f>
        <v/>
      </c>
      <c r="I857">
        <f>S857=ROUND(846*0.01,10)</f>
        <v/>
      </c>
      <c r="J857">
        <f>T857=ROUND(846*0.7,10)</f>
        <v/>
      </c>
      <c r="K857">
        <f>U857=ROUND(846*1.1,10)</f>
        <v/>
      </c>
      <c r="L857">
        <f>V857=ROUND(846*0.25,10)</f>
        <v/>
      </c>
      <c r="M857">
        <f>W857=ROUND(846*0.5,10)</f>
        <v/>
      </c>
      <c r="O857">
        <f>O856+0.1</f>
        <v/>
      </c>
      <c r="P857">
        <f>P856+0.2</f>
        <v/>
      </c>
      <c r="Q857">
        <f>Q856+0.3</f>
        <v/>
      </c>
      <c r="R857">
        <f>R856+0.05</f>
        <v/>
      </c>
      <c r="S857">
        <f>S856+0.01</f>
        <v/>
      </c>
      <c r="T857">
        <f>T856+0.7</f>
        <v/>
      </c>
      <c r="U857">
        <f>U856+1.1</f>
        <v/>
      </c>
      <c r="V857">
        <f>V856+0.25</f>
        <v/>
      </c>
      <c r="W857">
        <f>W856+0.5</f>
        <v/>
      </c>
    </row>
    <row r="858">
      <c r="E858">
        <f>O858=ROUND(847*0.1,10)</f>
        <v/>
      </c>
      <c r="F858">
        <f>P858=ROUND(847*0.2,10)</f>
        <v/>
      </c>
      <c r="G858">
        <f>Q858=ROUND(847*0.3,10)</f>
        <v/>
      </c>
      <c r="H858">
        <f>R858=ROUND(847*0.05,10)</f>
        <v/>
      </c>
      <c r="I858">
        <f>S858=ROUND(847*0.01,10)</f>
        <v/>
      </c>
      <c r="J858">
        <f>T858=ROUND(847*0.7,10)</f>
        <v/>
      </c>
      <c r="K858">
        <f>U858=ROUND(847*1.1,10)</f>
        <v/>
      </c>
      <c r="L858">
        <f>V858=ROUND(847*0.25,10)</f>
        <v/>
      </c>
      <c r="M858">
        <f>W858=ROUND(847*0.5,10)</f>
        <v/>
      </c>
      <c r="O858">
        <f>O857+0.1</f>
        <v/>
      </c>
      <c r="P858">
        <f>P857+0.2</f>
        <v/>
      </c>
      <c r="Q858">
        <f>Q857+0.3</f>
        <v/>
      </c>
      <c r="R858">
        <f>R857+0.05</f>
        <v/>
      </c>
      <c r="S858">
        <f>S857+0.01</f>
        <v/>
      </c>
      <c r="T858">
        <f>T857+0.7</f>
        <v/>
      </c>
      <c r="U858">
        <f>U857+1.1</f>
        <v/>
      </c>
      <c r="V858">
        <f>V857+0.25</f>
        <v/>
      </c>
      <c r="W858">
        <f>W857+0.5</f>
        <v/>
      </c>
    </row>
    <row r="859">
      <c r="E859">
        <f>O859=ROUND(848*0.1,10)</f>
        <v/>
      </c>
      <c r="F859">
        <f>P859=ROUND(848*0.2,10)</f>
        <v/>
      </c>
      <c r="G859">
        <f>Q859=ROUND(848*0.3,10)</f>
        <v/>
      </c>
      <c r="H859">
        <f>R859=ROUND(848*0.05,10)</f>
        <v/>
      </c>
      <c r="I859">
        <f>S859=ROUND(848*0.01,10)</f>
        <v/>
      </c>
      <c r="J859">
        <f>T859=ROUND(848*0.7,10)</f>
        <v/>
      </c>
      <c r="K859">
        <f>U859=ROUND(848*1.1,10)</f>
        <v/>
      </c>
      <c r="L859">
        <f>V859=ROUND(848*0.25,10)</f>
        <v/>
      </c>
      <c r="M859">
        <f>W859=ROUND(848*0.5,10)</f>
        <v/>
      </c>
      <c r="O859">
        <f>O858+0.1</f>
        <v/>
      </c>
      <c r="P859">
        <f>P858+0.2</f>
        <v/>
      </c>
      <c r="Q859">
        <f>Q858+0.3</f>
        <v/>
      </c>
      <c r="R859">
        <f>R858+0.05</f>
        <v/>
      </c>
      <c r="S859">
        <f>S858+0.01</f>
        <v/>
      </c>
      <c r="T859">
        <f>T858+0.7</f>
        <v/>
      </c>
      <c r="U859">
        <f>U858+1.1</f>
        <v/>
      </c>
      <c r="V859">
        <f>V858+0.25</f>
        <v/>
      </c>
      <c r="W859">
        <f>W858+0.5</f>
        <v/>
      </c>
    </row>
    <row r="860">
      <c r="E860">
        <f>O860=ROUND(849*0.1,10)</f>
        <v/>
      </c>
      <c r="F860">
        <f>P860=ROUND(849*0.2,10)</f>
        <v/>
      </c>
      <c r="G860">
        <f>Q860=ROUND(849*0.3,10)</f>
        <v/>
      </c>
      <c r="H860">
        <f>R860=ROUND(849*0.05,10)</f>
        <v/>
      </c>
      <c r="I860">
        <f>S860=ROUND(849*0.01,10)</f>
        <v/>
      </c>
      <c r="J860">
        <f>T860=ROUND(849*0.7,10)</f>
        <v/>
      </c>
      <c r="K860">
        <f>U860=ROUND(849*1.1,10)</f>
        <v/>
      </c>
      <c r="L860">
        <f>V860=ROUND(849*0.25,10)</f>
        <v/>
      </c>
      <c r="M860">
        <f>W860=ROUND(849*0.5,10)</f>
        <v/>
      </c>
      <c r="O860">
        <f>O859+0.1</f>
        <v/>
      </c>
      <c r="P860">
        <f>P859+0.2</f>
        <v/>
      </c>
      <c r="Q860">
        <f>Q859+0.3</f>
        <v/>
      </c>
      <c r="R860">
        <f>R859+0.05</f>
        <v/>
      </c>
      <c r="S860">
        <f>S859+0.01</f>
        <v/>
      </c>
      <c r="T860">
        <f>T859+0.7</f>
        <v/>
      </c>
      <c r="U860">
        <f>U859+1.1</f>
        <v/>
      </c>
      <c r="V860">
        <f>V859+0.25</f>
        <v/>
      </c>
      <c r="W860">
        <f>W859+0.5</f>
        <v/>
      </c>
    </row>
    <row r="861">
      <c r="E861">
        <f>O861=ROUND(850*0.1,10)</f>
        <v/>
      </c>
      <c r="F861">
        <f>P861=ROUND(850*0.2,10)</f>
        <v/>
      </c>
      <c r="G861">
        <f>Q861=ROUND(850*0.3,10)</f>
        <v/>
      </c>
      <c r="H861">
        <f>R861=ROUND(850*0.05,10)</f>
        <v/>
      </c>
      <c r="I861">
        <f>S861=ROUND(850*0.01,10)</f>
        <v/>
      </c>
      <c r="J861">
        <f>T861=ROUND(850*0.7,10)</f>
        <v/>
      </c>
      <c r="K861">
        <f>U861=ROUND(850*1.1,10)</f>
        <v/>
      </c>
      <c r="L861">
        <f>V861=ROUND(850*0.25,10)</f>
        <v/>
      </c>
      <c r="M861">
        <f>W861=ROUND(850*0.5,10)</f>
        <v/>
      </c>
      <c r="O861">
        <f>O860+0.1</f>
        <v/>
      </c>
      <c r="P861">
        <f>P860+0.2</f>
        <v/>
      </c>
      <c r="Q861">
        <f>Q860+0.3</f>
        <v/>
      </c>
      <c r="R861">
        <f>R860+0.05</f>
        <v/>
      </c>
      <c r="S861">
        <f>S860+0.01</f>
        <v/>
      </c>
      <c r="T861">
        <f>T860+0.7</f>
        <v/>
      </c>
      <c r="U861">
        <f>U860+1.1</f>
        <v/>
      </c>
      <c r="V861">
        <f>V860+0.25</f>
        <v/>
      </c>
      <c r="W861">
        <f>W860+0.5</f>
        <v/>
      </c>
    </row>
    <row r="862">
      <c r="E862">
        <f>O862=ROUND(851*0.1,10)</f>
        <v/>
      </c>
      <c r="F862">
        <f>P862=ROUND(851*0.2,10)</f>
        <v/>
      </c>
      <c r="G862">
        <f>Q862=ROUND(851*0.3,10)</f>
        <v/>
      </c>
      <c r="H862">
        <f>R862=ROUND(851*0.05,10)</f>
        <v/>
      </c>
      <c r="I862">
        <f>S862=ROUND(851*0.01,10)</f>
        <v/>
      </c>
      <c r="J862">
        <f>T862=ROUND(851*0.7,10)</f>
        <v/>
      </c>
      <c r="K862">
        <f>U862=ROUND(851*1.1,10)</f>
        <v/>
      </c>
      <c r="L862">
        <f>V862=ROUND(851*0.25,10)</f>
        <v/>
      </c>
      <c r="M862">
        <f>W862=ROUND(851*0.5,10)</f>
        <v/>
      </c>
      <c r="O862">
        <f>O861+0.1</f>
        <v/>
      </c>
      <c r="P862">
        <f>P861+0.2</f>
        <v/>
      </c>
      <c r="Q862">
        <f>Q861+0.3</f>
        <v/>
      </c>
      <c r="R862">
        <f>R861+0.05</f>
        <v/>
      </c>
      <c r="S862">
        <f>S861+0.01</f>
        <v/>
      </c>
      <c r="T862">
        <f>T861+0.7</f>
        <v/>
      </c>
      <c r="U862">
        <f>U861+1.1</f>
        <v/>
      </c>
      <c r="V862">
        <f>V861+0.25</f>
        <v/>
      </c>
      <c r="W862">
        <f>W861+0.5</f>
        <v/>
      </c>
    </row>
    <row r="863">
      <c r="E863">
        <f>O863=ROUND(852*0.1,10)</f>
        <v/>
      </c>
      <c r="F863">
        <f>P863=ROUND(852*0.2,10)</f>
        <v/>
      </c>
      <c r="G863">
        <f>Q863=ROUND(852*0.3,10)</f>
        <v/>
      </c>
      <c r="H863">
        <f>R863=ROUND(852*0.05,10)</f>
        <v/>
      </c>
      <c r="I863">
        <f>S863=ROUND(852*0.01,10)</f>
        <v/>
      </c>
      <c r="J863">
        <f>T863=ROUND(852*0.7,10)</f>
        <v/>
      </c>
      <c r="K863">
        <f>U863=ROUND(852*1.1,10)</f>
        <v/>
      </c>
      <c r="L863">
        <f>V863=ROUND(852*0.25,10)</f>
        <v/>
      </c>
      <c r="M863">
        <f>W863=ROUND(852*0.5,10)</f>
        <v/>
      </c>
      <c r="O863">
        <f>O862+0.1</f>
        <v/>
      </c>
      <c r="P863">
        <f>P862+0.2</f>
        <v/>
      </c>
      <c r="Q863">
        <f>Q862+0.3</f>
        <v/>
      </c>
      <c r="R863">
        <f>R862+0.05</f>
        <v/>
      </c>
      <c r="S863">
        <f>S862+0.01</f>
        <v/>
      </c>
      <c r="T863">
        <f>T862+0.7</f>
        <v/>
      </c>
      <c r="U863">
        <f>U862+1.1</f>
        <v/>
      </c>
      <c r="V863">
        <f>V862+0.25</f>
        <v/>
      </c>
      <c r="W863">
        <f>W862+0.5</f>
        <v/>
      </c>
    </row>
    <row r="864">
      <c r="E864">
        <f>O864=ROUND(853*0.1,10)</f>
        <v/>
      </c>
      <c r="F864">
        <f>P864=ROUND(853*0.2,10)</f>
        <v/>
      </c>
      <c r="G864">
        <f>Q864=ROUND(853*0.3,10)</f>
        <v/>
      </c>
      <c r="H864">
        <f>R864=ROUND(853*0.05,10)</f>
        <v/>
      </c>
      <c r="I864">
        <f>S864=ROUND(853*0.01,10)</f>
        <v/>
      </c>
      <c r="J864">
        <f>T864=ROUND(853*0.7,10)</f>
        <v/>
      </c>
      <c r="K864">
        <f>U864=ROUND(853*1.1,10)</f>
        <v/>
      </c>
      <c r="L864">
        <f>V864=ROUND(853*0.25,10)</f>
        <v/>
      </c>
      <c r="M864">
        <f>W864=ROUND(853*0.5,10)</f>
        <v/>
      </c>
      <c r="O864">
        <f>O863+0.1</f>
        <v/>
      </c>
      <c r="P864">
        <f>P863+0.2</f>
        <v/>
      </c>
      <c r="Q864">
        <f>Q863+0.3</f>
        <v/>
      </c>
      <c r="R864">
        <f>R863+0.05</f>
        <v/>
      </c>
      <c r="S864">
        <f>S863+0.01</f>
        <v/>
      </c>
      <c r="T864">
        <f>T863+0.7</f>
        <v/>
      </c>
      <c r="U864">
        <f>U863+1.1</f>
        <v/>
      </c>
      <c r="V864">
        <f>V863+0.25</f>
        <v/>
      </c>
      <c r="W864">
        <f>W863+0.5</f>
        <v/>
      </c>
    </row>
    <row r="865">
      <c r="E865">
        <f>O865=ROUND(854*0.1,10)</f>
        <v/>
      </c>
      <c r="F865">
        <f>P865=ROUND(854*0.2,10)</f>
        <v/>
      </c>
      <c r="G865">
        <f>Q865=ROUND(854*0.3,10)</f>
        <v/>
      </c>
      <c r="H865">
        <f>R865=ROUND(854*0.05,10)</f>
        <v/>
      </c>
      <c r="I865">
        <f>S865=ROUND(854*0.01,10)</f>
        <v/>
      </c>
      <c r="J865">
        <f>T865=ROUND(854*0.7,10)</f>
        <v/>
      </c>
      <c r="K865">
        <f>U865=ROUND(854*1.1,10)</f>
        <v/>
      </c>
      <c r="L865">
        <f>V865=ROUND(854*0.25,10)</f>
        <v/>
      </c>
      <c r="M865">
        <f>W865=ROUND(854*0.5,10)</f>
        <v/>
      </c>
      <c r="O865">
        <f>O864+0.1</f>
        <v/>
      </c>
      <c r="P865">
        <f>P864+0.2</f>
        <v/>
      </c>
      <c r="Q865">
        <f>Q864+0.3</f>
        <v/>
      </c>
      <c r="R865">
        <f>R864+0.05</f>
        <v/>
      </c>
      <c r="S865">
        <f>S864+0.01</f>
        <v/>
      </c>
      <c r="T865">
        <f>T864+0.7</f>
        <v/>
      </c>
      <c r="U865">
        <f>U864+1.1</f>
        <v/>
      </c>
      <c r="V865">
        <f>V864+0.25</f>
        <v/>
      </c>
      <c r="W865">
        <f>W864+0.5</f>
        <v/>
      </c>
    </row>
    <row r="866">
      <c r="E866">
        <f>O866=ROUND(855*0.1,10)</f>
        <v/>
      </c>
      <c r="F866">
        <f>P866=ROUND(855*0.2,10)</f>
        <v/>
      </c>
      <c r="G866">
        <f>Q866=ROUND(855*0.3,10)</f>
        <v/>
      </c>
      <c r="H866">
        <f>R866=ROUND(855*0.05,10)</f>
        <v/>
      </c>
      <c r="I866">
        <f>S866=ROUND(855*0.01,10)</f>
        <v/>
      </c>
      <c r="J866">
        <f>T866=ROUND(855*0.7,10)</f>
        <v/>
      </c>
      <c r="K866">
        <f>U866=ROUND(855*1.1,10)</f>
        <v/>
      </c>
      <c r="L866">
        <f>V866=ROUND(855*0.25,10)</f>
        <v/>
      </c>
      <c r="M866">
        <f>W866=ROUND(855*0.5,10)</f>
        <v/>
      </c>
      <c r="O866">
        <f>O865+0.1</f>
        <v/>
      </c>
      <c r="P866">
        <f>P865+0.2</f>
        <v/>
      </c>
      <c r="Q866">
        <f>Q865+0.3</f>
        <v/>
      </c>
      <c r="R866">
        <f>R865+0.05</f>
        <v/>
      </c>
      <c r="S866">
        <f>S865+0.01</f>
        <v/>
      </c>
      <c r="T866">
        <f>T865+0.7</f>
        <v/>
      </c>
      <c r="U866">
        <f>U865+1.1</f>
        <v/>
      </c>
      <c r="V866">
        <f>V865+0.25</f>
        <v/>
      </c>
      <c r="W866">
        <f>W865+0.5</f>
        <v/>
      </c>
    </row>
    <row r="867">
      <c r="E867">
        <f>O867=ROUND(856*0.1,10)</f>
        <v/>
      </c>
      <c r="F867">
        <f>P867=ROUND(856*0.2,10)</f>
        <v/>
      </c>
      <c r="G867">
        <f>Q867=ROUND(856*0.3,10)</f>
        <v/>
      </c>
      <c r="H867">
        <f>R867=ROUND(856*0.05,10)</f>
        <v/>
      </c>
      <c r="I867">
        <f>S867=ROUND(856*0.01,10)</f>
        <v/>
      </c>
      <c r="J867">
        <f>T867=ROUND(856*0.7,10)</f>
        <v/>
      </c>
      <c r="K867">
        <f>U867=ROUND(856*1.1,10)</f>
        <v/>
      </c>
      <c r="L867">
        <f>V867=ROUND(856*0.25,10)</f>
        <v/>
      </c>
      <c r="M867">
        <f>W867=ROUND(856*0.5,10)</f>
        <v/>
      </c>
      <c r="O867">
        <f>O866+0.1</f>
        <v/>
      </c>
      <c r="P867">
        <f>P866+0.2</f>
        <v/>
      </c>
      <c r="Q867">
        <f>Q866+0.3</f>
        <v/>
      </c>
      <c r="R867">
        <f>R866+0.05</f>
        <v/>
      </c>
      <c r="S867">
        <f>S866+0.01</f>
        <v/>
      </c>
      <c r="T867">
        <f>T866+0.7</f>
        <v/>
      </c>
      <c r="U867">
        <f>U866+1.1</f>
        <v/>
      </c>
      <c r="V867">
        <f>V866+0.25</f>
        <v/>
      </c>
      <c r="W867">
        <f>W866+0.5</f>
        <v/>
      </c>
    </row>
    <row r="868">
      <c r="E868">
        <f>O868=ROUND(857*0.1,10)</f>
        <v/>
      </c>
      <c r="F868">
        <f>P868=ROUND(857*0.2,10)</f>
        <v/>
      </c>
      <c r="G868">
        <f>Q868=ROUND(857*0.3,10)</f>
        <v/>
      </c>
      <c r="H868">
        <f>R868=ROUND(857*0.05,10)</f>
        <v/>
      </c>
      <c r="I868">
        <f>S868=ROUND(857*0.01,10)</f>
        <v/>
      </c>
      <c r="J868">
        <f>T868=ROUND(857*0.7,10)</f>
        <v/>
      </c>
      <c r="K868">
        <f>U868=ROUND(857*1.1,10)</f>
        <v/>
      </c>
      <c r="L868">
        <f>V868=ROUND(857*0.25,10)</f>
        <v/>
      </c>
      <c r="M868">
        <f>W868=ROUND(857*0.5,10)</f>
        <v/>
      </c>
      <c r="O868">
        <f>O867+0.1</f>
        <v/>
      </c>
      <c r="P868">
        <f>P867+0.2</f>
        <v/>
      </c>
      <c r="Q868">
        <f>Q867+0.3</f>
        <v/>
      </c>
      <c r="R868">
        <f>R867+0.05</f>
        <v/>
      </c>
      <c r="S868">
        <f>S867+0.01</f>
        <v/>
      </c>
      <c r="T868">
        <f>T867+0.7</f>
        <v/>
      </c>
      <c r="U868">
        <f>U867+1.1</f>
        <v/>
      </c>
      <c r="V868">
        <f>V867+0.25</f>
        <v/>
      </c>
      <c r="W868">
        <f>W867+0.5</f>
        <v/>
      </c>
    </row>
    <row r="869">
      <c r="E869">
        <f>O869=ROUND(858*0.1,10)</f>
        <v/>
      </c>
      <c r="F869">
        <f>P869=ROUND(858*0.2,10)</f>
        <v/>
      </c>
      <c r="G869">
        <f>Q869=ROUND(858*0.3,10)</f>
        <v/>
      </c>
      <c r="H869">
        <f>R869=ROUND(858*0.05,10)</f>
        <v/>
      </c>
      <c r="I869">
        <f>S869=ROUND(858*0.01,10)</f>
        <v/>
      </c>
      <c r="J869">
        <f>T869=ROUND(858*0.7,10)</f>
        <v/>
      </c>
      <c r="K869">
        <f>U869=ROUND(858*1.1,10)</f>
        <v/>
      </c>
      <c r="L869">
        <f>V869=ROUND(858*0.25,10)</f>
        <v/>
      </c>
      <c r="M869">
        <f>W869=ROUND(858*0.5,10)</f>
        <v/>
      </c>
      <c r="O869">
        <f>O868+0.1</f>
        <v/>
      </c>
      <c r="P869">
        <f>P868+0.2</f>
        <v/>
      </c>
      <c r="Q869">
        <f>Q868+0.3</f>
        <v/>
      </c>
      <c r="R869">
        <f>R868+0.05</f>
        <v/>
      </c>
      <c r="S869">
        <f>S868+0.01</f>
        <v/>
      </c>
      <c r="T869">
        <f>T868+0.7</f>
        <v/>
      </c>
      <c r="U869">
        <f>U868+1.1</f>
        <v/>
      </c>
      <c r="V869">
        <f>V868+0.25</f>
        <v/>
      </c>
      <c r="W869">
        <f>W868+0.5</f>
        <v/>
      </c>
    </row>
    <row r="870">
      <c r="E870">
        <f>O870=ROUND(859*0.1,10)</f>
        <v/>
      </c>
      <c r="F870">
        <f>P870=ROUND(859*0.2,10)</f>
        <v/>
      </c>
      <c r="G870">
        <f>Q870=ROUND(859*0.3,10)</f>
        <v/>
      </c>
      <c r="H870">
        <f>R870=ROUND(859*0.05,10)</f>
        <v/>
      </c>
      <c r="I870">
        <f>S870=ROUND(859*0.01,10)</f>
        <v/>
      </c>
      <c r="J870">
        <f>T870=ROUND(859*0.7,10)</f>
        <v/>
      </c>
      <c r="K870">
        <f>U870=ROUND(859*1.1,10)</f>
        <v/>
      </c>
      <c r="L870">
        <f>V870=ROUND(859*0.25,10)</f>
        <v/>
      </c>
      <c r="M870">
        <f>W870=ROUND(859*0.5,10)</f>
        <v/>
      </c>
      <c r="O870">
        <f>O869+0.1</f>
        <v/>
      </c>
      <c r="P870">
        <f>P869+0.2</f>
        <v/>
      </c>
      <c r="Q870">
        <f>Q869+0.3</f>
        <v/>
      </c>
      <c r="R870">
        <f>R869+0.05</f>
        <v/>
      </c>
      <c r="S870">
        <f>S869+0.01</f>
        <v/>
      </c>
      <c r="T870">
        <f>T869+0.7</f>
        <v/>
      </c>
      <c r="U870">
        <f>U869+1.1</f>
        <v/>
      </c>
      <c r="V870">
        <f>V869+0.25</f>
        <v/>
      </c>
      <c r="W870">
        <f>W869+0.5</f>
        <v/>
      </c>
    </row>
    <row r="871">
      <c r="E871">
        <f>O871=ROUND(860*0.1,10)</f>
        <v/>
      </c>
      <c r="F871">
        <f>P871=ROUND(860*0.2,10)</f>
        <v/>
      </c>
      <c r="G871">
        <f>Q871=ROUND(860*0.3,10)</f>
        <v/>
      </c>
      <c r="H871">
        <f>R871=ROUND(860*0.05,10)</f>
        <v/>
      </c>
      <c r="I871">
        <f>S871=ROUND(860*0.01,10)</f>
        <v/>
      </c>
      <c r="J871">
        <f>T871=ROUND(860*0.7,10)</f>
        <v/>
      </c>
      <c r="K871">
        <f>U871=ROUND(860*1.1,10)</f>
        <v/>
      </c>
      <c r="L871">
        <f>V871=ROUND(860*0.25,10)</f>
        <v/>
      </c>
      <c r="M871">
        <f>W871=ROUND(860*0.5,10)</f>
        <v/>
      </c>
      <c r="O871">
        <f>O870+0.1</f>
        <v/>
      </c>
      <c r="P871">
        <f>P870+0.2</f>
        <v/>
      </c>
      <c r="Q871">
        <f>Q870+0.3</f>
        <v/>
      </c>
      <c r="R871">
        <f>R870+0.05</f>
        <v/>
      </c>
      <c r="S871">
        <f>S870+0.01</f>
        <v/>
      </c>
      <c r="T871">
        <f>T870+0.7</f>
        <v/>
      </c>
      <c r="U871">
        <f>U870+1.1</f>
        <v/>
      </c>
      <c r="V871">
        <f>V870+0.25</f>
        <v/>
      </c>
      <c r="W871">
        <f>W870+0.5</f>
        <v/>
      </c>
    </row>
    <row r="872">
      <c r="E872">
        <f>O872=ROUND(861*0.1,10)</f>
        <v/>
      </c>
      <c r="F872">
        <f>P872=ROUND(861*0.2,10)</f>
        <v/>
      </c>
      <c r="G872">
        <f>Q872=ROUND(861*0.3,10)</f>
        <v/>
      </c>
      <c r="H872">
        <f>R872=ROUND(861*0.05,10)</f>
        <v/>
      </c>
      <c r="I872">
        <f>S872=ROUND(861*0.01,10)</f>
        <v/>
      </c>
      <c r="J872">
        <f>T872=ROUND(861*0.7,10)</f>
        <v/>
      </c>
      <c r="K872">
        <f>U872=ROUND(861*1.1,10)</f>
        <v/>
      </c>
      <c r="L872">
        <f>V872=ROUND(861*0.25,10)</f>
        <v/>
      </c>
      <c r="M872">
        <f>W872=ROUND(861*0.5,10)</f>
        <v/>
      </c>
      <c r="O872">
        <f>O871+0.1</f>
        <v/>
      </c>
      <c r="P872">
        <f>P871+0.2</f>
        <v/>
      </c>
      <c r="Q872">
        <f>Q871+0.3</f>
        <v/>
      </c>
      <c r="R872">
        <f>R871+0.05</f>
        <v/>
      </c>
      <c r="S872">
        <f>S871+0.01</f>
        <v/>
      </c>
      <c r="T872">
        <f>T871+0.7</f>
        <v/>
      </c>
      <c r="U872">
        <f>U871+1.1</f>
        <v/>
      </c>
      <c r="V872">
        <f>V871+0.25</f>
        <v/>
      </c>
      <c r="W872">
        <f>W871+0.5</f>
        <v/>
      </c>
    </row>
    <row r="873">
      <c r="E873">
        <f>O873=ROUND(862*0.1,10)</f>
        <v/>
      </c>
      <c r="F873">
        <f>P873=ROUND(862*0.2,10)</f>
        <v/>
      </c>
      <c r="G873">
        <f>Q873=ROUND(862*0.3,10)</f>
        <v/>
      </c>
      <c r="H873">
        <f>R873=ROUND(862*0.05,10)</f>
        <v/>
      </c>
      <c r="I873">
        <f>S873=ROUND(862*0.01,10)</f>
        <v/>
      </c>
      <c r="J873">
        <f>T873=ROUND(862*0.7,10)</f>
        <v/>
      </c>
      <c r="K873">
        <f>U873=ROUND(862*1.1,10)</f>
        <v/>
      </c>
      <c r="L873">
        <f>V873=ROUND(862*0.25,10)</f>
        <v/>
      </c>
      <c r="M873">
        <f>W873=ROUND(862*0.5,10)</f>
        <v/>
      </c>
      <c r="O873">
        <f>O872+0.1</f>
        <v/>
      </c>
      <c r="P873">
        <f>P872+0.2</f>
        <v/>
      </c>
      <c r="Q873">
        <f>Q872+0.3</f>
        <v/>
      </c>
      <c r="R873">
        <f>R872+0.05</f>
        <v/>
      </c>
      <c r="S873">
        <f>S872+0.01</f>
        <v/>
      </c>
      <c r="T873">
        <f>T872+0.7</f>
        <v/>
      </c>
      <c r="U873">
        <f>U872+1.1</f>
        <v/>
      </c>
      <c r="V873">
        <f>V872+0.25</f>
        <v/>
      </c>
      <c r="W873">
        <f>W872+0.5</f>
        <v/>
      </c>
    </row>
    <row r="874">
      <c r="E874">
        <f>O874=ROUND(863*0.1,10)</f>
        <v/>
      </c>
      <c r="F874">
        <f>P874=ROUND(863*0.2,10)</f>
        <v/>
      </c>
      <c r="G874">
        <f>Q874=ROUND(863*0.3,10)</f>
        <v/>
      </c>
      <c r="H874">
        <f>R874=ROUND(863*0.05,10)</f>
        <v/>
      </c>
      <c r="I874">
        <f>S874=ROUND(863*0.01,10)</f>
        <v/>
      </c>
      <c r="J874">
        <f>T874=ROUND(863*0.7,10)</f>
        <v/>
      </c>
      <c r="K874">
        <f>U874=ROUND(863*1.1,10)</f>
        <v/>
      </c>
      <c r="L874">
        <f>V874=ROUND(863*0.25,10)</f>
        <v/>
      </c>
      <c r="M874">
        <f>W874=ROUND(863*0.5,10)</f>
        <v/>
      </c>
      <c r="O874">
        <f>O873+0.1</f>
        <v/>
      </c>
      <c r="P874">
        <f>P873+0.2</f>
        <v/>
      </c>
      <c r="Q874">
        <f>Q873+0.3</f>
        <v/>
      </c>
      <c r="R874">
        <f>R873+0.05</f>
        <v/>
      </c>
      <c r="S874">
        <f>S873+0.01</f>
        <v/>
      </c>
      <c r="T874">
        <f>T873+0.7</f>
        <v/>
      </c>
      <c r="U874">
        <f>U873+1.1</f>
        <v/>
      </c>
      <c r="V874">
        <f>V873+0.25</f>
        <v/>
      </c>
      <c r="W874">
        <f>W873+0.5</f>
        <v/>
      </c>
    </row>
    <row r="875">
      <c r="E875">
        <f>O875=ROUND(864*0.1,10)</f>
        <v/>
      </c>
      <c r="F875">
        <f>P875=ROUND(864*0.2,10)</f>
        <v/>
      </c>
      <c r="G875">
        <f>Q875=ROUND(864*0.3,10)</f>
        <v/>
      </c>
      <c r="H875">
        <f>R875=ROUND(864*0.05,10)</f>
        <v/>
      </c>
      <c r="I875">
        <f>S875=ROUND(864*0.01,10)</f>
        <v/>
      </c>
      <c r="J875">
        <f>T875=ROUND(864*0.7,10)</f>
        <v/>
      </c>
      <c r="K875">
        <f>U875=ROUND(864*1.1,10)</f>
        <v/>
      </c>
      <c r="L875">
        <f>V875=ROUND(864*0.25,10)</f>
        <v/>
      </c>
      <c r="M875">
        <f>W875=ROUND(864*0.5,10)</f>
        <v/>
      </c>
      <c r="O875">
        <f>O874+0.1</f>
        <v/>
      </c>
      <c r="P875">
        <f>P874+0.2</f>
        <v/>
      </c>
      <c r="Q875">
        <f>Q874+0.3</f>
        <v/>
      </c>
      <c r="R875">
        <f>R874+0.05</f>
        <v/>
      </c>
      <c r="S875">
        <f>S874+0.01</f>
        <v/>
      </c>
      <c r="T875">
        <f>T874+0.7</f>
        <v/>
      </c>
      <c r="U875">
        <f>U874+1.1</f>
        <v/>
      </c>
      <c r="V875">
        <f>V874+0.25</f>
        <v/>
      </c>
      <c r="W875">
        <f>W874+0.5</f>
        <v/>
      </c>
    </row>
    <row r="876">
      <c r="E876">
        <f>O876=ROUND(865*0.1,10)</f>
        <v/>
      </c>
      <c r="F876">
        <f>P876=ROUND(865*0.2,10)</f>
        <v/>
      </c>
      <c r="G876">
        <f>Q876=ROUND(865*0.3,10)</f>
        <v/>
      </c>
      <c r="H876">
        <f>R876=ROUND(865*0.05,10)</f>
        <v/>
      </c>
      <c r="I876">
        <f>S876=ROUND(865*0.01,10)</f>
        <v/>
      </c>
      <c r="J876">
        <f>T876=ROUND(865*0.7,10)</f>
        <v/>
      </c>
      <c r="K876">
        <f>U876=ROUND(865*1.1,10)</f>
        <v/>
      </c>
      <c r="L876">
        <f>V876=ROUND(865*0.25,10)</f>
        <v/>
      </c>
      <c r="M876">
        <f>W876=ROUND(865*0.5,10)</f>
        <v/>
      </c>
      <c r="O876">
        <f>O875+0.1</f>
        <v/>
      </c>
      <c r="P876">
        <f>P875+0.2</f>
        <v/>
      </c>
      <c r="Q876">
        <f>Q875+0.3</f>
        <v/>
      </c>
      <c r="R876">
        <f>R875+0.05</f>
        <v/>
      </c>
      <c r="S876">
        <f>S875+0.01</f>
        <v/>
      </c>
      <c r="T876">
        <f>T875+0.7</f>
        <v/>
      </c>
      <c r="U876">
        <f>U875+1.1</f>
        <v/>
      </c>
      <c r="V876">
        <f>V875+0.25</f>
        <v/>
      </c>
      <c r="W876">
        <f>W875+0.5</f>
        <v/>
      </c>
    </row>
    <row r="877">
      <c r="E877">
        <f>O877=ROUND(866*0.1,10)</f>
        <v/>
      </c>
      <c r="F877">
        <f>P877=ROUND(866*0.2,10)</f>
        <v/>
      </c>
      <c r="G877">
        <f>Q877=ROUND(866*0.3,10)</f>
        <v/>
      </c>
      <c r="H877">
        <f>R877=ROUND(866*0.05,10)</f>
        <v/>
      </c>
      <c r="I877">
        <f>S877=ROUND(866*0.01,10)</f>
        <v/>
      </c>
      <c r="J877">
        <f>T877=ROUND(866*0.7,10)</f>
        <v/>
      </c>
      <c r="K877">
        <f>U877=ROUND(866*1.1,10)</f>
        <v/>
      </c>
      <c r="L877">
        <f>V877=ROUND(866*0.25,10)</f>
        <v/>
      </c>
      <c r="M877">
        <f>W877=ROUND(866*0.5,10)</f>
        <v/>
      </c>
      <c r="O877">
        <f>O876+0.1</f>
        <v/>
      </c>
      <c r="P877">
        <f>P876+0.2</f>
        <v/>
      </c>
      <c r="Q877">
        <f>Q876+0.3</f>
        <v/>
      </c>
      <c r="R877">
        <f>R876+0.05</f>
        <v/>
      </c>
      <c r="S877">
        <f>S876+0.01</f>
        <v/>
      </c>
      <c r="T877">
        <f>T876+0.7</f>
        <v/>
      </c>
      <c r="U877">
        <f>U876+1.1</f>
        <v/>
      </c>
      <c r="V877">
        <f>V876+0.25</f>
        <v/>
      </c>
      <c r="W877">
        <f>W876+0.5</f>
        <v/>
      </c>
    </row>
    <row r="878">
      <c r="E878">
        <f>O878=ROUND(867*0.1,10)</f>
        <v/>
      </c>
      <c r="F878">
        <f>P878=ROUND(867*0.2,10)</f>
        <v/>
      </c>
      <c r="G878">
        <f>Q878=ROUND(867*0.3,10)</f>
        <v/>
      </c>
      <c r="H878">
        <f>R878=ROUND(867*0.05,10)</f>
        <v/>
      </c>
      <c r="I878">
        <f>S878=ROUND(867*0.01,10)</f>
        <v/>
      </c>
      <c r="J878">
        <f>T878=ROUND(867*0.7,10)</f>
        <v/>
      </c>
      <c r="K878">
        <f>U878=ROUND(867*1.1,10)</f>
        <v/>
      </c>
      <c r="L878">
        <f>V878=ROUND(867*0.25,10)</f>
        <v/>
      </c>
      <c r="M878">
        <f>W878=ROUND(867*0.5,10)</f>
        <v/>
      </c>
      <c r="O878">
        <f>O877+0.1</f>
        <v/>
      </c>
      <c r="P878">
        <f>P877+0.2</f>
        <v/>
      </c>
      <c r="Q878">
        <f>Q877+0.3</f>
        <v/>
      </c>
      <c r="R878">
        <f>R877+0.05</f>
        <v/>
      </c>
      <c r="S878">
        <f>S877+0.01</f>
        <v/>
      </c>
      <c r="T878">
        <f>T877+0.7</f>
        <v/>
      </c>
      <c r="U878">
        <f>U877+1.1</f>
        <v/>
      </c>
      <c r="V878">
        <f>V877+0.25</f>
        <v/>
      </c>
      <c r="W878">
        <f>W877+0.5</f>
        <v/>
      </c>
    </row>
    <row r="879">
      <c r="E879">
        <f>O879=ROUND(868*0.1,10)</f>
        <v/>
      </c>
      <c r="F879">
        <f>P879=ROUND(868*0.2,10)</f>
        <v/>
      </c>
      <c r="G879">
        <f>Q879=ROUND(868*0.3,10)</f>
        <v/>
      </c>
      <c r="H879">
        <f>R879=ROUND(868*0.05,10)</f>
        <v/>
      </c>
      <c r="I879">
        <f>S879=ROUND(868*0.01,10)</f>
        <v/>
      </c>
      <c r="J879">
        <f>T879=ROUND(868*0.7,10)</f>
        <v/>
      </c>
      <c r="K879">
        <f>U879=ROUND(868*1.1,10)</f>
        <v/>
      </c>
      <c r="L879">
        <f>V879=ROUND(868*0.25,10)</f>
        <v/>
      </c>
      <c r="M879">
        <f>W879=ROUND(868*0.5,10)</f>
        <v/>
      </c>
      <c r="O879">
        <f>O878+0.1</f>
        <v/>
      </c>
      <c r="P879">
        <f>P878+0.2</f>
        <v/>
      </c>
      <c r="Q879">
        <f>Q878+0.3</f>
        <v/>
      </c>
      <c r="R879">
        <f>R878+0.05</f>
        <v/>
      </c>
      <c r="S879">
        <f>S878+0.01</f>
        <v/>
      </c>
      <c r="T879">
        <f>T878+0.7</f>
        <v/>
      </c>
      <c r="U879">
        <f>U878+1.1</f>
        <v/>
      </c>
      <c r="V879">
        <f>V878+0.25</f>
        <v/>
      </c>
      <c r="W879">
        <f>W878+0.5</f>
        <v/>
      </c>
    </row>
    <row r="880">
      <c r="E880">
        <f>O880=ROUND(869*0.1,10)</f>
        <v/>
      </c>
      <c r="F880">
        <f>P880=ROUND(869*0.2,10)</f>
        <v/>
      </c>
      <c r="G880">
        <f>Q880=ROUND(869*0.3,10)</f>
        <v/>
      </c>
      <c r="H880">
        <f>R880=ROUND(869*0.05,10)</f>
        <v/>
      </c>
      <c r="I880">
        <f>S880=ROUND(869*0.01,10)</f>
        <v/>
      </c>
      <c r="J880">
        <f>T880=ROUND(869*0.7,10)</f>
        <v/>
      </c>
      <c r="K880">
        <f>U880=ROUND(869*1.1,10)</f>
        <v/>
      </c>
      <c r="L880">
        <f>V880=ROUND(869*0.25,10)</f>
        <v/>
      </c>
      <c r="M880">
        <f>W880=ROUND(869*0.5,10)</f>
        <v/>
      </c>
      <c r="O880">
        <f>O879+0.1</f>
        <v/>
      </c>
      <c r="P880">
        <f>P879+0.2</f>
        <v/>
      </c>
      <c r="Q880">
        <f>Q879+0.3</f>
        <v/>
      </c>
      <c r="R880">
        <f>R879+0.05</f>
        <v/>
      </c>
      <c r="S880">
        <f>S879+0.01</f>
        <v/>
      </c>
      <c r="T880">
        <f>T879+0.7</f>
        <v/>
      </c>
      <c r="U880">
        <f>U879+1.1</f>
        <v/>
      </c>
      <c r="V880">
        <f>V879+0.25</f>
        <v/>
      </c>
      <c r="W880">
        <f>W879+0.5</f>
        <v/>
      </c>
    </row>
    <row r="881">
      <c r="E881">
        <f>O881=ROUND(870*0.1,10)</f>
        <v/>
      </c>
      <c r="F881">
        <f>P881=ROUND(870*0.2,10)</f>
        <v/>
      </c>
      <c r="G881">
        <f>Q881=ROUND(870*0.3,10)</f>
        <v/>
      </c>
      <c r="H881">
        <f>R881=ROUND(870*0.05,10)</f>
        <v/>
      </c>
      <c r="I881">
        <f>S881=ROUND(870*0.01,10)</f>
        <v/>
      </c>
      <c r="J881">
        <f>T881=ROUND(870*0.7,10)</f>
        <v/>
      </c>
      <c r="K881">
        <f>U881=ROUND(870*1.1,10)</f>
        <v/>
      </c>
      <c r="L881">
        <f>V881=ROUND(870*0.25,10)</f>
        <v/>
      </c>
      <c r="M881">
        <f>W881=ROUND(870*0.5,10)</f>
        <v/>
      </c>
      <c r="O881">
        <f>O880+0.1</f>
        <v/>
      </c>
      <c r="P881">
        <f>P880+0.2</f>
        <v/>
      </c>
      <c r="Q881">
        <f>Q880+0.3</f>
        <v/>
      </c>
      <c r="R881">
        <f>R880+0.05</f>
        <v/>
      </c>
      <c r="S881">
        <f>S880+0.01</f>
        <v/>
      </c>
      <c r="T881">
        <f>T880+0.7</f>
        <v/>
      </c>
      <c r="U881">
        <f>U880+1.1</f>
        <v/>
      </c>
      <c r="V881">
        <f>V880+0.25</f>
        <v/>
      </c>
      <c r="W881">
        <f>W880+0.5</f>
        <v/>
      </c>
    </row>
    <row r="882">
      <c r="E882">
        <f>O882=ROUND(871*0.1,10)</f>
        <v/>
      </c>
      <c r="F882">
        <f>P882=ROUND(871*0.2,10)</f>
        <v/>
      </c>
      <c r="G882">
        <f>Q882=ROUND(871*0.3,10)</f>
        <v/>
      </c>
      <c r="H882">
        <f>R882=ROUND(871*0.05,10)</f>
        <v/>
      </c>
      <c r="I882">
        <f>S882=ROUND(871*0.01,10)</f>
        <v/>
      </c>
      <c r="J882">
        <f>T882=ROUND(871*0.7,10)</f>
        <v/>
      </c>
      <c r="K882">
        <f>U882=ROUND(871*1.1,10)</f>
        <v/>
      </c>
      <c r="L882">
        <f>V882=ROUND(871*0.25,10)</f>
        <v/>
      </c>
      <c r="M882">
        <f>W882=ROUND(871*0.5,10)</f>
        <v/>
      </c>
      <c r="O882">
        <f>O881+0.1</f>
        <v/>
      </c>
      <c r="P882">
        <f>P881+0.2</f>
        <v/>
      </c>
      <c r="Q882">
        <f>Q881+0.3</f>
        <v/>
      </c>
      <c r="R882">
        <f>R881+0.05</f>
        <v/>
      </c>
      <c r="S882">
        <f>S881+0.01</f>
        <v/>
      </c>
      <c r="T882">
        <f>T881+0.7</f>
        <v/>
      </c>
      <c r="U882">
        <f>U881+1.1</f>
        <v/>
      </c>
      <c r="V882">
        <f>V881+0.25</f>
        <v/>
      </c>
      <c r="W882">
        <f>W881+0.5</f>
        <v/>
      </c>
    </row>
    <row r="883">
      <c r="E883">
        <f>O883=ROUND(872*0.1,10)</f>
        <v/>
      </c>
      <c r="F883">
        <f>P883=ROUND(872*0.2,10)</f>
        <v/>
      </c>
      <c r="G883">
        <f>Q883=ROUND(872*0.3,10)</f>
        <v/>
      </c>
      <c r="H883">
        <f>R883=ROUND(872*0.05,10)</f>
        <v/>
      </c>
      <c r="I883">
        <f>S883=ROUND(872*0.01,10)</f>
        <v/>
      </c>
      <c r="J883">
        <f>T883=ROUND(872*0.7,10)</f>
        <v/>
      </c>
      <c r="K883">
        <f>U883=ROUND(872*1.1,10)</f>
        <v/>
      </c>
      <c r="L883">
        <f>V883=ROUND(872*0.25,10)</f>
        <v/>
      </c>
      <c r="M883">
        <f>W883=ROUND(872*0.5,10)</f>
        <v/>
      </c>
      <c r="O883">
        <f>O882+0.1</f>
        <v/>
      </c>
      <c r="P883">
        <f>P882+0.2</f>
        <v/>
      </c>
      <c r="Q883">
        <f>Q882+0.3</f>
        <v/>
      </c>
      <c r="R883">
        <f>R882+0.05</f>
        <v/>
      </c>
      <c r="S883">
        <f>S882+0.01</f>
        <v/>
      </c>
      <c r="T883">
        <f>T882+0.7</f>
        <v/>
      </c>
      <c r="U883">
        <f>U882+1.1</f>
        <v/>
      </c>
      <c r="V883">
        <f>V882+0.25</f>
        <v/>
      </c>
      <c r="W883">
        <f>W882+0.5</f>
        <v/>
      </c>
    </row>
    <row r="884">
      <c r="E884">
        <f>O884=ROUND(873*0.1,10)</f>
        <v/>
      </c>
      <c r="F884">
        <f>P884=ROUND(873*0.2,10)</f>
        <v/>
      </c>
      <c r="G884">
        <f>Q884=ROUND(873*0.3,10)</f>
        <v/>
      </c>
      <c r="H884">
        <f>R884=ROUND(873*0.05,10)</f>
        <v/>
      </c>
      <c r="I884">
        <f>S884=ROUND(873*0.01,10)</f>
        <v/>
      </c>
      <c r="J884">
        <f>T884=ROUND(873*0.7,10)</f>
        <v/>
      </c>
      <c r="K884">
        <f>U884=ROUND(873*1.1,10)</f>
        <v/>
      </c>
      <c r="L884">
        <f>V884=ROUND(873*0.25,10)</f>
        <v/>
      </c>
      <c r="M884">
        <f>W884=ROUND(873*0.5,10)</f>
        <v/>
      </c>
      <c r="O884">
        <f>O883+0.1</f>
        <v/>
      </c>
      <c r="P884">
        <f>P883+0.2</f>
        <v/>
      </c>
      <c r="Q884">
        <f>Q883+0.3</f>
        <v/>
      </c>
      <c r="R884">
        <f>R883+0.05</f>
        <v/>
      </c>
      <c r="S884">
        <f>S883+0.01</f>
        <v/>
      </c>
      <c r="T884">
        <f>T883+0.7</f>
        <v/>
      </c>
      <c r="U884">
        <f>U883+1.1</f>
        <v/>
      </c>
      <c r="V884">
        <f>V883+0.25</f>
        <v/>
      </c>
      <c r="W884">
        <f>W883+0.5</f>
        <v/>
      </c>
    </row>
    <row r="885">
      <c r="E885">
        <f>O885=ROUND(874*0.1,10)</f>
        <v/>
      </c>
      <c r="F885">
        <f>P885=ROUND(874*0.2,10)</f>
        <v/>
      </c>
      <c r="G885">
        <f>Q885=ROUND(874*0.3,10)</f>
        <v/>
      </c>
      <c r="H885">
        <f>R885=ROUND(874*0.05,10)</f>
        <v/>
      </c>
      <c r="I885">
        <f>S885=ROUND(874*0.01,10)</f>
        <v/>
      </c>
      <c r="J885">
        <f>T885=ROUND(874*0.7,10)</f>
        <v/>
      </c>
      <c r="K885">
        <f>U885=ROUND(874*1.1,10)</f>
        <v/>
      </c>
      <c r="L885">
        <f>V885=ROUND(874*0.25,10)</f>
        <v/>
      </c>
      <c r="M885">
        <f>W885=ROUND(874*0.5,10)</f>
        <v/>
      </c>
      <c r="O885">
        <f>O884+0.1</f>
        <v/>
      </c>
      <c r="P885">
        <f>P884+0.2</f>
        <v/>
      </c>
      <c r="Q885">
        <f>Q884+0.3</f>
        <v/>
      </c>
      <c r="R885">
        <f>R884+0.05</f>
        <v/>
      </c>
      <c r="S885">
        <f>S884+0.01</f>
        <v/>
      </c>
      <c r="T885">
        <f>T884+0.7</f>
        <v/>
      </c>
      <c r="U885">
        <f>U884+1.1</f>
        <v/>
      </c>
      <c r="V885">
        <f>V884+0.25</f>
        <v/>
      </c>
      <c r="W885">
        <f>W884+0.5</f>
        <v/>
      </c>
    </row>
    <row r="886">
      <c r="E886">
        <f>O886=ROUND(875*0.1,10)</f>
        <v/>
      </c>
      <c r="F886">
        <f>P886=ROUND(875*0.2,10)</f>
        <v/>
      </c>
      <c r="G886">
        <f>Q886=ROUND(875*0.3,10)</f>
        <v/>
      </c>
      <c r="H886">
        <f>R886=ROUND(875*0.05,10)</f>
        <v/>
      </c>
      <c r="I886">
        <f>S886=ROUND(875*0.01,10)</f>
        <v/>
      </c>
      <c r="J886">
        <f>T886=ROUND(875*0.7,10)</f>
        <v/>
      </c>
      <c r="K886">
        <f>U886=ROUND(875*1.1,10)</f>
        <v/>
      </c>
      <c r="L886">
        <f>V886=ROUND(875*0.25,10)</f>
        <v/>
      </c>
      <c r="M886">
        <f>W886=ROUND(875*0.5,10)</f>
        <v/>
      </c>
      <c r="O886">
        <f>O885+0.1</f>
        <v/>
      </c>
      <c r="P886">
        <f>P885+0.2</f>
        <v/>
      </c>
      <c r="Q886">
        <f>Q885+0.3</f>
        <v/>
      </c>
      <c r="R886">
        <f>R885+0.05</f>
        <v/>
      </c>
      <c r="S886">
        <f>S885+0.01</f>
        <v/>
      </c>
      <c r="T886">
        <f>T885+0.7</f>
        <v/>
      </c>
      <c r="U886">
        <f>U885+1.1</f>
        <v/>
      </c>
      <c r="V886">
        <f>V885+0.25</f>
        <v/>
      </c>
      <c r="W886">
        <f>W885+0.5</f>
        <v/>
      </c>
    </row>
    <row r="887">
      <c r="E887">
        <f>O887=ROUND(876*0.1,10)</f>
        <v/>
      </c>
      <c r="F887">
        <f>P887=ROUND(876*0.2,10)</f>
        <v/>
      </c>
      <c r="G887">
        <f>Q887=ROUND(876*0.3,10)</f>
        <v/>
      </c>
      <c r="H887">
        <f>R887=ROUND(876*0.05,10)</f>
        <v/>
      </c>
      <c r="I887">
        <f>S887=ROUND(876*0.01,10)</f>
        <v/>
      </c>
      <c r="J887">
        <f>T887=ROUND(876*0.7,10)</f>
        <v/>
      </c>
      <c r="K887">
        <f>U887=ROUND(876*1.1,10)</f>
        <v/>
      </c>
      <c r="L887">
        <f>V887=ROUND(876*0.25,10)</f>
        <v/>
      </c>
      <c r="M887">
        <f>W887=ROUND(876*0.5,10)</f>
        <v/>
      </c>
      <c r="O887">
        <f>O886+0.1</f>
        <v/>
      </c>
      <c r="P887">
        <f>P886+0.2</f>
        <v/>
      </c>
      <c r="Q887">
        <f>Q886+0.3</f>
        <v/>
      </c>
      <c r="R887">
        <f>R886+0.05</f>
        <v/>
      </c>
      <c r="S887">
        <f>S886+0.01</f>
        <v/>
      </c>
      <c r="T887">
        <f>T886+0.7</f>
        <v/>
      </c>
      <c r="U887">
        <f>U886+1.1</f>
        <v/>
      </c>
      <c r="V887">
        <f>V886+0.25</f>
        <v/>
      </c>
      <c r="W887">
        <f>W886+0.5</f>
        <v/>
      </c>
    </row>
    <row r="888">
      <c r="E888">
        <f>O888=ROUND(877*0.1,10)</f>
        <v/>
      </c>
      <c r="F888">
        <f>P888=ROUND(877*0.2,10)</f>
        <v/>
      </c>
      <c r="G888">
        <f>Q888=ROUND(877*0.3,10)</f>
        <v/>
      </c>
      <c r="H888">
        <f>R888=ROUND(877*0.05,10)</f>
        <v/>
      </c>
      <c r="I888">
        <f>S888=ROUND(877*0.01,10)</f>
        <v/>
      </c>
      <c r="J888">
        <f>T888=ROUND(877*0.7,10)</f>
        <v/>
      </c>
      <c r="K888">
        <f>U888=ROUND(877*1.1,10)</f>
        <v/>
      </c>
      <c r="L888">
        <f>V888=ROUND(877*0.25,10)</f>
        <v/>
      </c>
      <c r="M888">
        <f>W888=ROUND(877*0.5,10)</f>
        <v/>
      </c>
      <c r="O888">
        <f>O887+0.1</f>
        <v/>
      </c>
      <c r="P888">
        <f>P887+0.2</f>
        <v/>
      </c>
      <c r="Q888">
        <f>Q887+0.3</f>
        <v/>
      </c>
      <c r="R888">
        <f>R887+0.05</f>
        <v/>
      </c>
      <c r="S888">
        <f>S887+0.01</f>
        <v/>
      </c>
      <c r="T888">
        <f>T887+0.7</f>
        <v/>
      </c>
      <c r="U888">
        <f>U887+1.1</f>
        <v/>
      </c>
      <c r="V888">
        <f>V887+0.25</f>
        <v/>
      </c>
      <c r="W888">
        <f>W887+0.5</f>
        <v/>
      </c>
    </row>
    <row r="889">
      <c r="E889">
        <f>O889=ROUND(878*0.1,10)</f>
        <v/>
      </c>
      <c r="F889">
        <f>P889=ROUND(878*0.2,10)</f>
        <v/>
      </c>
      <c r="G889">
        <f>Q889=ROUND(878*0.3,10)</f>
        <v/>
      </c>
      <c r="H889">
        <f>R889=ROUND(878*0.05,10)</f>
        <v/>
      </c>
      <c r="I889">
        <f>S889=ROUND(878*0.01,10)</f>
        <v/>
      </c>
      <c r="J889">
        <f>T889=ROUND(878*0.7,10)</f>
        <v/>
      </c>
      <c r="K889">
        <f>U889=ROUND(878*1.1,10)</f>
        <v/>
      </c>
      <c r="L889">
        <f>V889=ROUND(878*0.25,10)</f>
        <v/>
      </c>
      <c r="M889">
        <f>W889=ROUND(878*0.5,10)</f>
        <v/>
      </c>
      <c r="O889">
        <f>O888+0.1</f>
        <v/>
      </c>
      <c r="P889">
        <f>P888+0.2</f>
        <v/>
      </c>
      <c r="Q889">
        <f>Q888+0.3</f>
        <v/>
      </c>
      <c r="R889">
        <f>R888+0.05</f>
        <v/>
      </c>
      <c r="S889">
        <f>S888+0.01</f>
        <v/>
      </c>
      <c r="T889">
        <f>T888+0.7</f>
        <v/>
      </c>
      <c r="U889">
        <f>U888+1.1</f>
        <v/>
      </c>
      <c r="V889">
        <f>V888+0.25</f>
        <v/>
      </c>
      <c r="W889">
        <f>W888+0.5</f>
        <v/>
      </c>
    </row>
    <row r="890">
      <c r="E890">
        <f>O890=ROUND(879*0.1,10)</f>
        <v/>
      </c>
      <c r="F890">
        <f>P890=ROUND(879*0.2,10)</f>
        <v/>
      </c>
      <c r="G890">
        <f>Q890=ROUND(879*0.3,10)</f>
        <v/>
      </c>
      <c r="H890">
        <f>R890=ROUND(879*0.05,10)</f>
        <v/>
      </c>
      <c r="I890">
        <f>S890=ROUND(879*0.01,10)</f>
        <v/>
      </c>
      <c r="J890">
        <f>T890=ROUND(879*0.7,10)</f>
        <v/>
      </c>
      <c r="K890">
        <f>U890=ROUND(879*1.1,10)</f>
        <v/>
      </c>
      <c r="L890">
        <f>V890=ROUND(879*0.25,10)</f>
        <v/>
      </c>
      <c r="M890">
        <f>W890=ROUND(879*0.5,10)</f>
        <v/>
      </c>
      <c r="O890">
        <f>O889+0.1</f>
        <v/>
      </c>
      <c r="P890">
        <f>P889+0.2</f>
        <v/>
      </c>
      <c r="Q890">
        <f>Q889+0.3</f>
        <v/>
      </c>
      <c r="R890">
        <f>R889+0.05</f>
        <v/>
      </c>
      <c r="S890">
        <f>S889+0.01</f>
        <v/>
      </c>
      <c r="T890">
        <f>T889+0.7</f>
        <v/>
      </c>
      <c r="U890">
        <f>U889+1.1</f>
        <v/>
      </c>
      <c r="V890">
        <f>V889+0.25</f>
        <v/>
      </c>
      <c r="W890">
        <f>W889+0.5</f>
        <v/>
      </c>
    </row>
    <row r="891">
      <c r="E891">
        <f>O891=ROUND(880*0.1,10)</f>
        <v/>
      </c>
      <c r="F891">
        <f>P891=ROUND(880*0.2,10)</f>
        <v/>
      </c>
      <c r="G891">
        <f>Q891=ROUND(880*0.3,10)</f>
        <v/>
      </c>
      <c r="H891">
        <f>R891=ROUND(880*0.05,10)</f>
        <v/>
      </c>
      <c r="I891">
        <f>S891=ROUND(880*0.01,10)</f>
        <v/>
      </c>
      <c r="J891">
        <f>T891=ROUND(880*0.7,10)</f>
        <v/>
      </c>
      <c r="K891">
        <f>U891=ROUND(880*1.1,10)</f>
        <v/>
      </c>
      <c r="L891">
        <f>V891=ROUND(880*0.25,10)</f>
        <v/>
      </c>
      <c r="M891">
        <f>W891=ROUND(880*0.5,10)</f>
        <v/>
      </c>
      <c r="O891">
        <f>O890+0.1</f>
        <v/>
      </c>
      <c r="P891">
        <f>P890+0.2</f>
        <v/>
      </c>
      <c r="Q891">
        <f>Q890+0.3</f>
        <v/>
      </c>
      <c r="R891">
        <f>R890+0.05</f>
        <v/>
      </c>
      <c r="S891">
        <f>S890+0.01</f>
        <v/>
      </c>
      <c r="T891">
        <f>T890+0.7</f>
        <v/>
      </c>
      <c r="U891">
        <f>U890+1.1</f>
        <v/>
      </c>
      <c r="V891">
        <f>V890+0.25</f>
        <v/>
      </c>
      <c r="W891">
        <f>W890+0.5</f>
        <v/>
      </c>
    </row>
    <row r="892">
      <c r="E892">
        <f>O892=ROUND(881*0.1,10)</f>
        <v/>
      </c>
      <c r="F892">
        <f>P892=ROUND(881*0.2,10)</f>
        <v/>
      </c>
      <c r="G892">
        <f>Q892=ROUND(881*0.3,10)</f>
        <v/>
      </c>
      <c r="H892">
        <f>R892=ROUND(881*0.05,10)</f>
        <v/>
      </c>
      <c r="I892">
        <f>S892=ROUND(881*0.01,10)</f>
        <v/>
      </c>
      <c r="J892">
        <f>T892=ROUND(881*0.7,10)</f>
        <v/>
      </c>
      <c r="K892">
        <f>U892=ROUND(881*1.1,10)</f>
        <v/>
      </c>
      <c r="L892">
        <f>V892=ROUND(881*0.25,10)</f>
        <v/>
      </c>
      <c r="M892">
        <f>W892=ROUND(881*0.5,10)</f>
        <v/>
      </c>
      <c r="O892">
        <f>O891+0.1</f>
        <v/>
      </c>
      <c r="P892">
        <f>P891+0.2</f>
        <v/>
      </c>
      <c r="Q892">
        <f>Q891+0.3</f>
        <v/>
      </c>
      <c r="R892">
        <f>R891+0.05</f>
        <v/>
      </c>
      <c r="S892">
        <f>S891+0.01</f>
        <v/>
      </c>
      <c r="T892">
        <f>T891+0.7</f>
        <v/>
      </c>
      <c r="U892">
        <f>U891+1.1</f>
        <v/>
      </c>
      <c r="V892">
        <f>V891+0.25</f>
        <v/>
      </c>
      <c r="W892">
        <f>W891+0.5</f>
        <v/>
      </c>
    </row>
    <row r="893">
      <c r="E893">
        <f>O893=ROUND(882*0.1,10)</f>
        <v/>
      </c>
      <c r="F893">
        <f>P893=ROUND(882*0.2,10)</f>
        <v/>
      </c>
      <c r="G893">
        <f>Q893=ROUND(882*0.3,10)</f>
        <v/>
      </c>
      <c r="H893">
        <f>R893=ROUND(882*0.05,10)</f>
        <v/>
      </c>
      <c r="I893">
        <f>S893=ROUND(882*0.01,10)</f>
        <v/>
      </c>
      <c r="J893">
        <f>T893=ROUND(882*0.7,10)</f>
        <v/>
      </c>
      <c r="K893">
        <f>U893=ROUND(882*1.1,10)</f>
        <v/>
      </c>
      <c r="L893">
        <f>V893=ROUND(882*0.25,10)</f>
        <v/>
      </c>
      <c r="M893">
        <f>W893=ROUND(882*0.5,10)</f>
        <v/>
      </c>
      <c r="O893">
        <f>O892+0.1</f>
        <v/>
      </c>
      <c r="P893">
        <f>P892+0.2</f>
        <v/>
      </c>
      <c r="Q893">
        <f>Q892+0.3</f>
        <v/>
      </c>
      <c r="R893">
        <f>R892+0.05</f>
        <v/>
      </c>
      <c r="S893">
        <f>S892+0.01</f>
        <v/>
      </c>
      <c r="T893">
        <f>T892+0.7</f>
        <v/>
      </c>
      <c r="U893">
        <f>U892+1.1</f>
        <v/>
      </c>
      <c r="V893">
        <f>V892+0.25</f>
        <v/>
      </c>
      <c r="W893">
        <f>W892+0.5</f>
        <v/>
      </c>
    </row>
    <row r="894">
      <c r="E894">
        <f>O894=ROUND(883*0.1,10)</f>
        <v/>
      </c>
      <c r="F894">
        <f>P894=ROUND(883*0.2,10)</f>
        <v/>
      </c>
      <c r="G894">
        <f>Q894=ROUND(883*0.3,10)</f>
        <v/>
      </c>
      <c r="H894">
        <f>R894=ROUND(883*0.05,10)</f>
        <v/>
      </c>
      <c r="I894">
        <f>S894=ROUND(883*0.01,10)</f>
        <v/>
      </c>
      <c r="J894">
        <f>T894=ROUND(883*0.7,10)</f>
        <v/>
      </c>
      <c r="K894">
        <f>U894=ROUND(883*1.1,10)</f>
        <v/>
      </c>
      <c r="L894">
        <f>V894=ROUND(883*0.25,10)</f>
        <v/>
      </c>
      <c r="M894">
        <f>W894=ROUND(883*0.5,10)</f>
        <v/>
      </c>
      <c r="O894">
        <f>O893+0.1</f>
        <v/>
      </c>
      <c r="P894">
        <f>P893+0.2</f>
        <v/>
      </c>
      <c r="Q894">
        <f>Q893+0.3</f>
        <v/>
      </c>
      <c r="R894">
        <f>R893+0.05</f>
        <v/>
      </c>
      <c r="S894">
        <f>S893+0.01</f>
        <v/>
      </c>
      <c r="T894">
        <f>T893+0.7</f>
        <v/>
      </c>
      <c r="U894">
        <f>U893+1.1</f>
        <v/>
      </c>
      <c r="V894">
        <f>V893+0.25</f>
        <v/>
      </c>
      <c r="W894">
        <f>W893+0.5</f>
        <v/>
      </c>
    </row>
    <row r="895">
      <c r="E895">
        <f>O895=ROUND(884*0.1,10)</f>
        <v/>
      </c>
      <c r="F895">
        <f>P895=ROUND(884*0.2,10)</f>
        <v/>
      </c>
      <c r="G895">
        <f>Q895=ROUND(884*0.3,10)</f>
        <v/>
      </c>
      <c r="H895">
        <f>R895=ROUND(884*0.05,10)</f>
        <v/>
      </c>
      <c r="I895">
        <f>S895=ROUND(884*0.01,10)</f>
        <v/>
      </c>
      <c r="J895">
        <f>T895=ROUND(884*0.7,10)</f>
        <v/>
      </c>
      <c r="K895">
        <f>U895=ROUND(884*1.1,10)</f>
        <v/>
      </c>
      <c r="L895">
        <f>V895=ROUND(884*0.25,10)</f>
        <v/>
      </c>
      <c r="M895">
        <f>W895=ROUND(884*0.5,10)</f>
        <v/>
      </c>
      <c r="O895">
        <f>O894+0.1</f>
        <v/>
      </c>
      <c r="P895">
        <f>P894+0.2</f>
        <v/>
      </c>
      <c r="Q895">
        <f>Q894+0.3</f>
        <v/>
      </c>
      <c r="R895">
        <f>R894+0.05</f>
        <v/>
      </c>
      <c r="S895">
        <f>S894+0.01</f>
        <v/>
      </c>
      <c r="T895">
        <f>T894+0.7</f>
        <v/>
      </c>
      <c r="U895">
        <f>U894+1.1</f>
        <v/>
      </c>
      <c r="V895">
        <f>V894+0.25</f>
        <v/>
      </c>
      <c r="W895">
        <f>W894+0.5</f>
        <v/>
      </c>
    </row>
    <row r="896">
      <c r="E896">
        <f>O896=ROUND(885*0.1,10)</f>
        <v/>
      </c>
      <c r="F896">
        <f>P896=ROUND(885*0.2,10)</f>
        <v/>
      </c>
      <c r="G896">
        <f>Q896=ROUND(885*0.3,10)</f>
        <v/>
      </c>
      <c r="H896">
        <f>R896=ROUND(885*0.05,10)</f>
        <v/>
      </c>
      <c r="I896">
        <f>S896=ROUND(885*0.01,10)</f>
        <v/>
      </c>
      <c r="J896">
        <f>T896=ROUND(885*0.7,10)</f>
        <v/>
      </c>
      <c r="K896">
        <f>U896=ROUND(885*1.1,10)</f>
        <v/>
      </c>
      <c r="L896">
        <f>V896=ROUND(885*0.25,10)</f>
        <v/>
      </c>
      <c r="M896">
        <f>W896=ROUND(885*0.5,10)</f>
        <v/>
      </c>
      <c r="O896">
        <f>O895+0.1</f>
        <v/>
      </c>
      <c r="P896">
        <f>P895+0.2</f>
        <v/>
      </c>
      <c r="Q896">
        <f>Q895+0.3</f>
        <v/>
      </c>
      <c r="R896">
        <f>R895+0.05</f>
        <v/>
      </c>
      <c r="S896">
        <f>S895+0.01</f>
        <v/>
      </c>
      <c r="T896">
        <f>T895+0.7</f>
        <v/>
      </c>
      <c r="U896">
        <f>U895+1.1</f>
        <v/>
      </c>
      <c r="V896">
        <f>V895+0.25</f>
        <v/>
      </c>
      <c r="W896">
        <f>W895+0.5</f>
        <v/>
      </c>
    </row>
    <row r="897">
      <c r="E897">
        <f>O897=ROUND(886*0.1,10)</f>
        <v/>
      </c>
      <c r="F897">
        <f>P897=ROUND(886*0.2,10)</f>
        <v/>
      </c>
      <c r="G897">
        <f>Q897=ROUND(886*0.3,10)</f>
        <v/>
      </c>
      <c r="H897">
        <f>R897=ROUND(886*0.05,10)</f>
        <v/>
      </c>
      <c r="I897">
        <f>S897=ROUND(886*0.01,10)</f>
        <v/>
      </c>
      <c r="J897">
        <f>T897=ROUND(886*0.7,10)</f>
        <v/>
      </c>
      <c r="K897">
        <f>U897=ROUND(886*1.1,10)</f>
        <v/>
      </c>
      <c r="L897">
        <f>V897=ROUND(886*0.25,10)</f>
        <v/>
      </c>
      <c r="M897">
        <f>W897=ROUND(886*0.5,10)</f>
        <v/>
      </c>
      <c r="O897">
        <f>O896+0.1</f>
        <v/>
      </c>
      <c r="P897">
        <f>P896+0.2</f>
        <v/>
      </c>
      <c r="Q897">
        <f>Q896+0.3</f>
        <v/>
      </c>
      <c r="R897">
        <f>R896+0.05</f>
        <v/>
      </c>
      <c r="S897">
        <f>S896+0.01</f>
        <v/>
      </c>
      <c r="T897">
        <f>T896+0.7</f>
        <v/>
      </c>
      <c r="U897">
        <f>U896+1.1</f>
        <v/>
      </c>
      <c r="V897">
        <f>V896+0.25</f>
        <v/>
      </c>
      <c r="W897">
        <f>W896+0.5</f>
        <v/>
      </c>
    </row>
    <row r="898">
      <c r="E898">
        <f>O898=ROUND(887*0.1,10)</f>
        <v/>
      </c>
      <c r="F898">
        <f>P898=ROUND(887*0.2,10)</f>
        <v/>
      </c>
      <c r="G898">
        <f>Q898=ROUND(887*0.3,10)</f>
        <v/>
      </c>
      <c r="H898">
        <f>R898=ROUND(887*0.05,10)</f>
        <v/>
      </c>
      <c r="I898">
        <f>S898=ROUND(887*0.01,10)</f>
        <v/>
      </c>
      <c r="J898">
        <f>T898=ROUND(887*0.7,10)</f>
        <v/>
      </c>
      <c r="K898">
        <f>U898=ROUND(887*1.1,10)</f>
        <v/>
      </c>
      <c r="L898">
        <f>V898=ROUND(887*0.25,10)</f>
        <v/>
      </c>
      <c r="M898">
        <f>W898=ROUND(887*0.5,10)</f>
        <v/>
      </c>
      <c r="O898">
        <f>O897+0.1</f>
        <v/>
      </c>
      <c r="P898">
        <f>P897+0.2</f>
        <v/>
      </c>
      <c r="Q898">
        <f>Q897+0.3</f>
        <v/>
      </c>
      <c r="R898">
        <f>R897+0.05</f>
        <v/>
      </c>
      <c r="S898">
        <f>S897+0.01</f>
        <v/>
      </c>
      <c r="T898">
        <f>T897+0.7</f>
        <v/>
      </c>
      <c r="U898">
        <f>U897+1.1</f>
        <v/>
      </c>
      <c r="V898">
        <f>V897+0.25</f>
        <v/>
      </c>
      <c r="W898">
        <f>W897+0.5</f>
        <v/>
      </c>
    </row>
    <row r="899">
      <c r="E899">
        <f>O899=ROUND(888*0.1,10)</f>
        <v/>
      </c>
      <c r="F899">
        <f>P899=ROUND(888*0.2,10)</f>
        <v/>
      </c>
      <c r="G899">
        <f>Q899=ROUND(888*0.3,10)</f>
        <v/>
      </c>
      <c r="H899">
        <f>R899=ROUND(888*0.05,10)</f>
        <v/>
      </c>
      <c r="I899">
        <f>S899=ROUND(888*0.01,10)</f>
        <v/>
      </c>
      <c r="J899">
        <f>T899=ROUND(888*0.7,10)</f>
        <v/>
      </c>
      <c r="K899">
        <f>U899=ROUND(888*1.1,10)</f>
        <v/>
      </c>
      <c r="L899">
        <f>V899=ROUND(888*0.25,10)</f>
        <v/>
      </c>
      <c r="M899">
        <f>W899=ROUND(888*0.5,10)</f>
        <v/>
      </c>
      <c r="O899">
        <f>O898+0.1</f>
        <v/>
      </c>
      <c r="P899">
        <f>P898+0.2</f>
        <v/>
      </c>
      <c r="Q899">
        <f>Q898+0.3</f>
        <v/>
      </c>
      <c r="R899">
        <f>R898+0.05</f>
        <v/>
      </c>
      <c r="S899">
        <f>S898+0.01</f>
        <v/>
      </c>
      <c r="T899">
        <f>T898+0.7</f>
        <v/>
      </c>
      <c r="U899">
        <f>U898+1.1</f>
        <v/>
      </c>
      <c r="V899">
        <f>V898+0.25</f>
        <v/>
      </c>
      <c r="W899">
        <f>W898+0.5</f>
        <v/>
      </c>
    </row>
    <row r="900">
      <c r="E900">
        <f>O900=ROUND(889*0.1,10)</f>
        <v/>
      </c>
      <c r="F900">
        <f>P900=ROUND(889*0.2,10)</f>
        <v/>
      </c>
      <c r="G900">
        <f>Q900=ROUND(889*0.3,10)</f>
        <v/>
      </c>
      <c r="H900">
        <f>R900=ROUND(889*0.05,10)</f>
        <v/>
      </c>
      <c r="I900">
        <f>S900=ROUND(889*0.01,10)</f>
        <v/>
      </c>
      <c r="J900">
        <f>T900=ROUND(889*0.7,10)</f>
        <v/>
      </c>
      <c r="K900">
        <f>U900=ROUND(889*1.1,10)</f>
        <v/>
      </c>
      <c r="L900">
        <f>V900=ROUND(889*0.25,10)</f>
        <v/>
      </c>
      <c r="M900">
        <f>W900=ROUND(889*0.5,10)</f>
        <v/>
      </c>
      <c r="O900">
        <f>O899+0.1</f>
        <v/>
      </c>
      <c r="P900">
        <f>P899+0.2</f>
        <v/>
      </c>
      <c r="Q900">
        <f>Q899+0.3</f>
        <v/>
      </c>
      <c r="R900">
        <f>R899+0.05</f>
        <v/>
      </c>
      <c r="S900">
        <f>S899+0.01</f>
        <v/>
      </c>
      <c r="T900">
        <f>T899+0.7</f>
        <v/>
      </c>
      <c r="U900">
        <f>U899+1.1</f>
        <v/>
      </c>
      <c r="V900">
        <f>V899+0.25</f>
        <v/>
      </c>
      <c r="W900">
        <f>W899+0.5</f>
        <v/>
      </c>
    </row>
    <row r="901">
      <c r="E901">
        <f>O901=ROUND(890*0.1,10)</f>
        <v/>
      </c>
      <c r="F901">
        <f>P901=ROUND(890*0.2,10)</f>
        <v/>
      </c>
      <c r="G901">
        <f>Q901=ROUND(890*0.3,10)</f>
        <v/>
      </c>
      <c r="H901">
        <f>R901=ROUND(890*0.05,10)</f>
        <v/>
      </c>
      <c r="I901">
        <f>S901=ROUND(890*0.01,10)</f>
        <v/>
      </c>
      <c r="J901">
        <f>T901=ROUND(890*0.7,10)</f>
        <v/>
      </c>
      <c r="K901">
        <f>U901=ROUND(890*1.1,10)</f>
        <v/>
      </c>
      <c r="L901">
        <f>V901=ROUND(890*0.25,10)</f>
        <v/>
      </c>
      <c r="M901">
        <f>W901=ROUND(890*0.5,10)</f>
        <v/>
      </c>
      <c r="O901">
        <f>O900+0.1</f>
        <v/>
      </c>
      <c r="P901">
        <f>P900+0.2</f>
        <v/>
      </c>
      <c r="Q901">
        <f>Q900+0.3</f>
        <v/>
      </c>
      <c r="R901">
        <f>R900+0.05</f>
        <v/>
      </c>
      <c r="S901">
        <f>S900+0.01</f>
        <v/>
      </c>
      <c r="T901">
        <f>T900+0.7</f>
        <v/>
      </c>
      <c r="U901">
        <f>U900+1.1</f>
        <v/>
      </c>
      <c r="V901">
        <f>V900+0.25</f>
        <v/>
      </c>
      <c r="W901">
        <f>W900+0.5</f>
        <v/>
      </c>
    </row>
    <row r="902">
      <c r="E902">
        <f>O902=ROUND(891*0.1,10)</f>
        <v/>
      </c>
      <c r="F902">
        <f>P902=ROUND(891*0.2,10)</f>
        <v/>
      </c>
      <c r="G902">
        <f>Q902=ROUND(891*0.3,10)</f>
        <v/>
      </c>
      <c r="H902">
        <f>R902=ROUND(891*0.05,10)</f>
        <v/>
      </c>
      <c r="I902">
        <f>S902=ROUND(891*0.01,10)</f>
        <v/>
      </c>
      <c r="J902">
        <f>T902=ROUND(891*0.7,10)</f>
        <v/>
      </c>
      <c r="K902">
        <f>U902=ROUND(891*1.1,10)</f>
        <v/>
      </c>
      <c r="L902">
        <f>V902=ROUND(891*0.25,10)</f>
        <v/>
      </c>
      <c r="M902">
        <f>W902=ROUND(891*0.5,10)</f>
        <v/>
      </c>
      <c r="O902">
        <f>O901+0.1</f>
        <v/>
      </c>
      <c r="P902">
        <f>P901+0.2</f>
        <v/>
      </c>
      <c r="Q902">
        <f>Q901+0.3</f>
        <v/>
      </c>
      <c r="R902">
        <f>R901+0.05</f>
        <v/>
      </c>
      <c r="S902">
        <f>S901+0.01</f>
        <v/>
      </c>
      <c r="T902">
        <f>T901+0.7</f>
        <v/>
      </c>
      <c r="U902">
        <f>U901+1.1</f>
        <v/>
      </c>
      <c r="V902">
        <f>V901+0.25</f>
        <v/>
      </c>
      <c r="W902">
        <f>W901+0.5</f>
        <v/>
      </c>
    </row>
    <row r="903">
      <c r="E903">
        <f>O903=ROUND(892*0.1,10)</f>
        <v/>
      </c>
      <c r="F903">
        <f>P903=ROUND(892*0.2,10)</f>
        <v/>
      </c>
      <c r="G903">
        <f>Q903=ROUND(892*0.3,10)</f>
        <v/>
      </c>
      <c r="H903">
        <f>R903=ROUND(892*0.05,10)</f>
        <v/>
      </c>
      <c r="I903">
        <f>S903=ROUND(892*0.01,10)</f>
        <v/>
      </c>
      <c r="J903">
        <f>T903=ROUND(892*0.7,10)</f>
        <v/>
      </c>
      <c r="K903">
        <f>U903=ROUND(892*1.1,10)</f>
        <v/>
      </c>
      <c r="L903">
        <f>V903=ROUND(892*0.25,10)</f>
        <v/>
      </c>
      <c r="M903">
        <f>W903=ROUND(892*0.5,10)</f>
        <v/>
      </c>
      <c r="O903">
        <f>O902+0.1</f>
        <v/>
      </c>
      <c r="P903">
        <f>P902+0.2</f>
        <v/>
      </c>
      <c r="Q903">
        <f>Q902+0.3</f>
        <v/>
      </c>
      <c r="R903">
        <f>R902+0.05</f>
        <v/>
      </c>
      <c r="S903">
        <f>S902+0.01</f>
        <v/>
      </c>
      <c r="T903">
        <f>T902+0.7</f>
        <v/>
      </c>
      <c r="U903">
        <f>U902+1.1</f>
        <v/>
      </c>
      <c r="V903">
        <f>V902+0.25</f>
        <v/>
      </c>
      <c r="W903">
        <f>W902+0.5</f>
        <v/>
      </c>
    </row>
    <row r="904">
      <c r="E904">
        <f>O904=ROUND(893*0.1,10)</f>
        <v/>
      </c>
      <c r="F904">
        <f>P904=ROUND(893*0.2,10)</f>
        <v/>
      </c>
      <c r="G904">
        <f>Q904=ROUND(893*0.3,10)</f>
        <v/>
      </c>
      <c r="H904">
        <f>R904=ROUND(893*0.05,10)</f>
        <v/>
      </c>
      <c r="I904">
        <f>S904=ROUND(893*0.01,10)</f>
        <v/>
      </c>
      <c r="J904">
        <f>T904=ROUND(893*0.7,10)</f>
        <v/>
      </c>
      <c r="K904">
        <f>U904=ROUND(893*1.1,10)</f>
        <v/>
      </c>
      <c r="L904">
        <f>V904=ROUND(893*0.25,10)</f>
        <v/>
      </c>
      <c r="M904">
        <f>W904=ROUND(893*0.5,10)</f>
        <v/>
      </c>
      <c r="O904">
        <f>O903+0.1</f>
        <v/>
      </c>
      <c r="P904">
        <f>P903+0.2</f>
        <v/>
      </c>
      <c r="Q904">
        <f>Q903+0.3</f>
        <v/>
      </c>
      <c r="R904">
        <f>R903+0.05</f>
        <v/>
      </c>
      <c r="S904">
        <f>S903+0.01</f>
        <v/>
      </c>
      <c r="T904">
        <f>T903+0.7</f>
        <v/>
      </c>
      <c r="U904">
        <f>U903+1.1</f>
        <v/>
      </c>
      <c r="V904">
        <f>V903+0.25</f>
        <v/>
      </c>
      <c r="W904">
        <f>W903+0.5</f>
        <v/>
      </c>
    </row>
    <row r="905">
      <c r="E905">
        <f>O905=ROUND(894*0.1,10)</f>
        <v/>
      </c>
      <c r="F905">
        <f>P905=ROUND(894*0.2,10)</f>
        <v/>
      </c>
      <c r="G905">
        <f>Q905=ROUND(894*0.3,10)</f>
        <v/>
      </c>
      <c r="H905">
        <f>R905=ROUND(894*0.05,10)</f>
        <v/>
      </c>
      <c r="I905">
        <f>S905=ROUND(894*0.01,10)</f>
        <v/>
      </c>
      <c r="J905">
        <f>T905=ROUND(894*0.7,10)</f>
        <v/>
      </c>
      <c r="K905">
        <f>U905=ROUND(894*1.1,10)</f>
        <v/>
      </c>
      <c r="L905">
        <f>V905=ROUND(894*0.25,10)</f>
        <v/>
      </c>
      <c r="M905">
        <f>W905=ROUND(894*0.5,10)</f>
        <v/>
      </c>
      <c r="O905">
        <f>O904+0.1</f>
        <v/>
      </c>
      <c r="P905">
        <f>P904+0.2</f>
        <v/>
      </c>
      <c r="Q905">
        <f>Q904+0.3</f>
        <v/>
      </c>
      <c r="R905">
        <f>R904+0.05</f>
        <v/>
      </c>
      <c r="S905">
        <f>S904+0.01</f>
        <v/>
      </c>
      <c r="T905">
        <f>T904+0.7</f>
        <v/>
      </c>
      <c r="U905">
        <f>U904+1.1</f>
        <v/>
      </c>
      <c r="V905">
        <f>V904+0.25</f>
        <v/>
      </c>
      <c r="W905">
        <f>W904+0.5</f>
        <v/>
      </c>
    </row>
    <row r="906">
      <c r="E906">
        <f>O906=ROUND(895*0.1,10)</f>
        <v/>
      </c>
      <c r="F906">
        <f>P906=ROUND(895*0.2,10)</f>
        <v/>
      </c>
      <c r="G906">
        <f>Q906=ROUND(895*0.3,10)</f>
        <v/>
      </c>
      <c r="H906">
        <f>R906=ROUND(895*0.05,10)</f>
        <v/>
      </c>
      <c r="I906">
        <f>S906=ROUND(895*0.01,10)</f>
        <v/>
      </c>
      <c r="J906">
        <f>T906=ROUND(895*0.7,10)</f>
        <v/>
      </c>
      <c r="K906">
        <f>U906=ROUND(895*1.1,10)</f>
        <v/>
      </c>
      <c r="L906">
        <f>V906=ROUND(895*0.25,10)</f>
        <v/>
      </c>
      <c r="M906">
        <f>W906=ROUND(895*0.5,10)</f>
        <v/>
      </c>
      <c r="O906">
        <f>O905+0.1</f>
        <v/>
      </c>
      <c r="P906">
        <f>P905+0.2</f>
        <v/>
      </c>
      <c r="Q906">
        <f>Q905+0.3</f>
        <v/>
      </c>
      <c r="R906">
        <f>R905+0.05</f>
        <v/>
      </c>
      <c r="S906">
        <f>S905+0.01</f>
        <v/>
      </c>
      <c r="T906">
        <f>T905+0.7</f>
        <v/>
      </c>
      <c r="U906">
        <f>U905+1.1</f>
        <v/>
      </c>
      <c r="V906">
        <f>V905+0.25</f>
        <v/>
      </c>
      <c r="W906">
        <f>W905+0.5</f>
        <v/>
      </c>
    </row>
    <row r="907">
      <c r="E907">
        <f>O907=ROUND(896*0.1,10)</f>
        <v/>
      </c>
      <c r="F907">
        <f>P907=ROUND(896*0.2,10)</f>
        <v/>
      </c>
      <c r="G907">
        <f>Q907=ROUND(896*0.3,10)</f>
        <v/>
      </c>
      <c r="H907">
        <f>R907=ROUND(896*0.05,10)</f>
        <v/>
      </c>
      <c r="I907">
        <f>S907=ROUND(896*0.01,10)</f>
        <v/>
      </c>
      <c r="J907">
        <f>T907=ROUND(896*0.7,10)</f>
        <v/>
      </c>
      <c r="K907">
        <f>U907=ROUND(896*1.1,10)</f>
        <v/>
      </c>
      <c r="L907">
        <f>V907=ROUND(896*0.25,10)</f>
        <v/>
      </c>
      <c r="M907">
        <f>W907=ROUND(896*0.5,10)</f>
        <v/>
      </c>
      <c r="O907">
        <f>O906+0.1</f>
        <v/>
      </c>
      <c r="P907">
        <f>P906+0.2</f>
        <v/>
      </c>
      <c r="Q907">
        <f>Q906+0.3</f>
        <v/>
      </c>
      <c r="R907">
        <f>R906+0.05</f>
        <v/>
      </c>
      <c r="S907">
        <f>S906+0.01</f>
        <v/>
      </c>
      <c r="T907">
        <f>T906+0.7</f>
        <v/>
      </c>
      <c r="U907">
        <f>U906+1.1</f>
        <v/>
      </c>
      <c r="V907">
        <f>V906+0.25</f>
        <v/>
      </c>
      <c r="W907">
        <f>W906+0.5</f>
        <v/>
      </c>
    </row>
    <row r="908">
      <c r="E908">
        <f>O908=ROUND(897*0.1,10)</f>
        <v/>
      </c>
      <c r="F908">
        <f>P908=ROUND(897*0.2,10)</f>
        <v/>
      </c>
      <c r="G908">
        <f>Q908=ROUND(897*0.3,10)</f>
        <v/>
      </c>
      <c r="H908">
        <f>R908=ROUND(897*0.05,10)</f>
        <v/>
      </c>
      <c r="I908">
        <f>S908=ROUND(897*0.01,10)</f>
        <v/>
      </c>
      <c r="J908">
        <f>T908=ROUND(897*0.7,10)</f>
        <v/>
      </c>
      <c r="K908">
        <f>U908=ROUND(897*1.1,10)</f>
        <v/>
      </c>
      <c r="L908">
        <f>V908=ROUND(897*0.25,10)</f>
        <v/>
      </c>
      <c r="M908">
        <f>W908=ROUND(897*0.5,10)</f>
        <v/>
      </c>
      <c r="O908">
        <f>O907+0.1</f>
        <v/>
      </c>
      <c r="P908">
        <f>P907+0.2</f>
        <v/>
      </c>
      <c r="Q908">
        <f>Q907+0.3</f>
        <v/>
      </c>
      <c r="R908">
        <f>R907+0.05</f>
        <v/>
      </c>
      <c r="S908">
        <f>S907+0.01</f>
        <v/>
      </c>
      <c r="T908">
        <f>T907+0.7</f>
        <v/>
      </c>
      <c r="U908">
        <f>U907+1.1</f>
        <v/>
      </c>
      <c r="V908">
        <f>V907+0.25</f>
        <v/>
      </c>
      <c r="W908">
        <f>W907+0.5</f>
        <v/>
      </c>
    </row>
    <row r="909">
      <c r="E909">
        <f>O909=ROUND(898*0.1,10)</f>
        <v/>
      </c>
      <c r="F909">
        <f>P909=ROUND(898*0.2,10)</f>
        <v/>
      </c>
      <c r="G909">
        <f>Q909=ROUND(898*0.3,10)</f>
        <v/>
      </c>
      <c r="H909">
        <f>R909=ROUND(898*0.05,10)</f>
        <v/>
      </c>
      <c r="I909">
        <f>S909=ROUND(898*0.01,10)</f>
        <v/>
      </c>
      <c r="J909">
        <f>T909=ROUND(898*0.7,10)</f>
        <v/>
      </c>
      <c r="K909">
        <f>U909=ROUND(898*1.1,10)</f>
        <v/>
      </c>
      <c r="L909">
        <f>V909=ROUND(898*0.25,10)</f>
        <v/>
      </c>
      <c r="M909">
        <f>W909=ROUND(898*0.5,10)</f>
        <v/>
      </c>
      <c r="O909">
        <f>O908+0.1</f>
        <v/>
      </c>
      <c r="P909">
        <f>P908+0.2</f>
        <v/>
      </c>
      <c r="Q909">
        <f>Q908+0.3</f>
        <v/>
      </c>
      <c r="R909">
        <f>R908+0.05</f>
        <v/>
      </c>
      <c r="S909">
        <f>S908+0.01</f>
        <v/>
      </c>
      <c r="T909">
        <f>T908+0.7</f>
        <v/>
      </c>
      <c r="U909">
        <f>U908+1.1</f>
        <v/>
      </c>
      <c r="V909">
        <f>V908+0.25</f>
        <v/>
      </c>
      <c r="W909">
        <f>W908+0.5</f>
        <v/>
      </c>
    </row>
    <row r="910">
      <c r="E910">
        <f>O910=ROUND(899*0.1,10)</f>
        <v/>
      </c>
      <c r="F910">
        <f>P910=ROUND(899*0.2,10)</f>
        <v/>
      </c>
      <c r="G910">
        <f>Q910=ROUND(899*0.3,10)</f>
        <v/>
      </c>
      <c r="H910">
        <f>R910=ROUND(899*0.05,10)</f>
        <v/>
      </c>
      <c r="I910">
        <f>S910=ROUND(899*0.01,10)</f>
        <v/>
      </c>
      <c r="J910">
        <f>T910=ROUND(899*0.7,10)</f>
        <v/>
      </c>
      <c r="K910">
        <f>U910=ROUND(899*1.1,10)</f>
        <v/>
      </c>
      <c r="L910">
        <f>V910=ROUND(899*0.25,10)</f>
        <v/>
      </c>
      <c r="M910">
        <f>W910=ROUND(899*0.5,10)</f>
        <v/>
      </c>
      <c r="O910">
        <f>O909+0.1</f>
        <v/>
      </c>
      <c r="P910">
        <f>P909+0.2</f>
        <v/>
      </c>
      <c r="Q910">
        <f>Q909+0.3</f>
        <v/>
      </c>
      <c r="R910">
        <f>R909+0.05</f>
        <v/>
      </c>
      <c r="S910">
        <f>S909+0.01</f>
        <v/>
      </c>
      <c r="T910">
        <f>T909+0.7</f>
        <v/>
      </c>
      <c r="U910">
        <f>U909+1.1</f>
        <v/>
      </c>
      <c r="V910">
        <f>V909+0.25</f>
        <v/>
      </c>
      <c r="W910">
        <f>W909+0.5</f>
        <v/>
      </c>
    </row>
    <row r="911">
      <c r="E911">
        <f>O911=ROUND(900*0.1,10)</f>
        <v/>
      </c>
      <c r="F911">
        <f>P911=ROUND(900*0.2,10)</f>
        <v/>
      </c>
      <c r="G911">
        <f>Q911=ROUND(900*0.3,10)</f>
        <v/>
      </c>
      <c r="H911">
        <f>R911=ROUND(900*0.05,10)</f>
        <v/>
      </c>
      <c r="I911">
        <f>S911=ROUND(900*0.01,10)</f>
        <v/>
      </c>
      <c r="J911">
        <f>T911=ROUND(900*0.7,10)</f>
        <v/>
      </c>
      <c r="K911">
        <f>U911=ROUND(900*1.1,10)</f>
        <v/>
      </c>
      <c r="L911">
        <f>V911=ROUND(900*0.25,10)</f>
        <v/>
      </c>
      <c r="M911">
        <f>W911=ROUND(900*0.5,10)</f>
        <v/>
      </c>
      <c r="O911">
        <f>O910+0.1</f>
        <v/>
      </c>
      <c r="P911">
        <f>P910+0.2</f>
        <v/>
      </c>
      <c r="Q911">
        <f>Q910+0.3</f>
        <v/>
      </c>
      <c r="R911">
        <f>R910+0.05</f>
        <v/>
      </c>
      <c r="S911">
        <f>S910+0.01</f>
        <v/>
      </c>
      <c r="T911">
        <f>T910+0.7</f>
        <v/>
      </c>
      <c r="U911">
        <f>U910+1.1</f>
        <v/>
      </c>
      <c r="V911">
        <f>V910+0.25</f>
        <v/>
      </c>
      <c r="W911">
        <f>W910+0.5</f>
        <v/>
      </c>
    </row>
    <row r="912">
      <c r="E912">
        <f>O912=ROUND(901*0.1,10)</f>
        <v/>
      </c>
      <c r="F912">
        <f>P912=ROUND(901*0.2,10)</f>
        <v/>
      </c>
      <c r="G912">
        <f>Q912=ROUND(901*0.3,10)</f>
        <v/>
      </c>
      <c r="H912">
        <f>R912=ROUND(901*0.05,10)</f>
        <v/>
      </c>
      <c r="I912">
        <f>S912=ROUND(901*0.01,10)</f>
        <v/>
      </c>
      <c r="J912">
        <f>T912=ROUND(901*0.7,10)</f>
        <v/>
      </c>
      <c r="K912">
        <f>U912=ROUND(901*1.1,10)</f>
        <v/>
      </c>
      <c r="L912">
        <f>V912=ROUND(901*0.25,10)</f>
        <v/>
      </c>
      <c r="M912">
        <f>W912=ROUND(901*0.5,10)</f>
        <v/>
      </c>
      <c r="O912">
        <f>O911+0.1</f>
        <v/>
      </c>
      <c r="P912">
        <f>P911+0.2</f>
        <v/>
      </c>
      <c r="Q912">
        <f>Q911+0.3</f>
        <v/>
      </c>
      <c r="R912">
        <f>R911+0.05</f>
        <v/>
      </c>
      <c r="S912">
        <f>S911+0.01</f>
        <v/>
      </c>
      <c r="T912">
        <f>T911+0.7</f>
        <v/>
      </c>
      <c r="U912">
        <f>U911+1.1</f>
        <v/>
      </c>
      <c r="V912">
        <f>V911+0.25</f>
        <v/>
      </c>
      <c r="W912">
        <f>W911+0.5</f>
        <v/>
      </c>
    </row>
    <row r="913">
      <c r="E913">
        <f>O913=ROUND(902*0.1,10)</f>
        <v/>
      </c>
      <c r="F913">
        <f>P913=ROUND(902*0.2,10)</f>
        <v/>
      </c>
      <c r="G913">
        <f>Q913=ROUND(902*0.3,10)</f>
        <v/>
      </c>
      <c r="H913">
        <f>R913=ROUND(902*0.05,10)</f>
        <v/>
      </c>
      <c r="I913">
        <f>S913=ROUND(902*0.01,10)</f>
        <v/>
      </c>
      <c r="J913">
        <f>T913=ROUND(902*0.7,10)</f>
        <v/>
      </c>
      <c r="K913">
        <f>U913=ROUND(902*1.1,10)</f>
        <v/>
      </c>
      <c r="L913">
        <f>V913=ROUND(902*0.25,10)</f>
        <v/>
      </c>
      <c r="M913">
        <f>W913=ROUND(902*0.5,10)</f>
        <v/>
      </c>
      <c r="O913">
        <f>O912+0.1</f>
        <v/>
      </c>
      <c r="P913">
        <f>P912+0.2</f>
        <v/>
      </c>
      <c r="Q913">
        <f>Q912+0.3</f>
        <v/>
      </c>
      <c r="R913">
        <f>R912+0.05</f>
        <v/>
      </c>
      <c r="S913">
        <f>S912+0.01</f>
        <v/>
      </c>
      <c r="T913">
        <f>T912+0.7</f>
        <v/>
      </c>
      <c r="U913">
        <f>U912+1.1</f>
        <v/>
      </c>
      <c r="V913">
        <f>V912+0.25</f>
        <v/>
      </c>
      <c r="W913">
        <f>W912+0.5</f>
        <v/>
      </c>
    </row>
    <row r="914">
      <c r="E914">
        <f>O914=ROUND(903*0.1,10)</f>
        <v/>
      </c>
      <c r="F914">
        <f>P914=ROUND(903*0.2,10)</f>
        <v/>
      </c>
      <c r="G914">
        <f>Q914=ROUND(903*0.3,10)</f>
        <v/>
      </c>
      <c r="H914">
        <f>R914=ROUND(903*0.05,10)</f>
        <v/>
      </c>
      <c r="I914">
        <f>S914=ROUND(903*0.01,10)</f>
        <v/>
      </c>
      <c r="J914">
        <f>T914=ROUND(903*0.7,10)</f>
        <v/>
      </c>
      <c r="K914">
        <f>U914=ROUND(903*1.1,10)</f>
        <v/>
      </c>
      <c r="L914">
        <f>V914=ROUND(903*0.25,10)</f>
        <v/>
      </c>
      <c r="M914">
        <f>W914=ROUND(903*0.5,10)</f>
        <v/>
      </c>
      <c r="O914">
        <f>O913+0.1</f>
        <v/>
      </c>
      <c r="P914">
        <f>P913+0.2</f>
        <v/>
      </c>
      <c r="Q914">
        <f>Q913+0.3</f>
        <v/>
      </c>
      <c r="R914">
        <f>R913+0.05</f>
        <v/>
      </c>
      <c r="S914">
        <f>S913+0.01</f>
        <v/>
      </c>
      <c r="T914">
        <f>T913+0.7</f>
        <v/>
      </c>
      <c r="U914">
        <f>U913+1.1</f>
        <v/>
      </c>
      <c r="V914">
        <f>V913+0.25</f>
        <v/>
      </c>
      <c r="W914">
        <f>W913+0.5</f>
        <v/>
      </c>
    </row>
    <row r="915">
      <c r="E915">
        <f>O915=ROUND(904*0.1,10)</f>
        <v/>
      </c>
      <c r="F915">
        <f>P915=ROUND(904*0.2,10)</f>
        <v/>
      </c>
      <c r="G915">
        <f>Q915=ROUND(904*0.3,10)</f>
        <v/>
      </c>
      <c r="H915">
        <f>R915=ROUND(904*0.05,10)</f>
        <v/>
      </c>
      <c r="I915">
        <f>S915=ROUND(904*0.01,10)</f>
        <v/>
      </c>
      <c r="J915">
        <f>T915=ROUND(904*0.7,10)</f>
        <v/>
      </c>
      <c r="K915">
        <f>U915=ROUND(904*1.1,10)</f>
        <v/>
      </c>
      <c r="L915">
        <f>V915=ROUND(904*0.25,10)</f>
        <v/>
      </c>
      <c r="M915">
        <f>W915=ROUND(904*0.5,10)</f>
        <v/>
      </c>
      <c r="O915">
        <f>O914+0.1</f>
        <v/>
      </c>
      <c r="P915">
        <f>P914+0.2</f>
        <v/>
      </c>
      <c r="Q915">
        <f>Q914+0.3</f>
        <v/>
      </c>
      <c r="R915">
        <f>R914+0.05</f>
        <v/>
      </c>
      <c r="S915">
        <f>S914+0.01</f>
        <v/>
      </c>
      <c r="T915">
        <f>T914+0.7</f>
        <v/>
      </c>
      <c r="U915">
        <f>U914+1.1</f>
        <v/>
      </c>
      <c r="V915">
        <f>V914+0.25</f>
        <v/>
      </c>
      <c r="W915">
        <f>W914+0.5</f>
        <v/>
      </c>
    </row>
    <row r="916">
      <c r="E916">
        <f>O916=ROUND(905*0.1,10)</f>
        <v/>
      </c>
      <c r="F916">
        <f>P916=ROUND(905*0.2,10)</f>
        <v/>
      </c>
      <c r="G916">
        <f>Q916=ROUND(905*0.3,10)</f>
        <v/>
      </c>
      <c r="H916">
        <f>R916=ROUND(905*0.05,10)</f>
        <v/>
      </c>
      <c r="I916">
        <f>S916=ROUND(905*0.01,10)</f>
        <v/>
      </c>
      <c r="J916">
        <f>T916=ROUND(905*0.7,10)</f>
        <v/>
      </c>
      <c r="K916">
        <f>U916=ROUND(905*1.1,10)</f>
        <v/>
      </c>
      <c r="L916">
        <f>V916=ROUND(905*0.25,10)</f>
        <v/>
      </c>
      <c r="M916">
        <f>W916=ROUND(905*0.5,10)</f>
        <v/>
      </c>
      <c r="O916">
        <f>O915+0.1</f>
        <v/>
      </c>
      <c r="P916">
        <f>P915+0.2</f>
        <v/>
      </c>
      <c r="Q916">
        <f>Q915+0.3</f>
        <v/>
      </c>
      <c r="R916">
        <f>R915+0.05</f>
        <v/>
      </c>
      <c r="S916">
        <f>S915+0.01</f>
        <v/>
      </c>
      <c r="T916">
        <f>T915+0.7</f>
        <v/>
      </c>
      <c r="U916">
        <f>U915+1.1</f>
        <v/>
      </c>
      <c r="V916">
        <f>V915+0.25</f>
        <v/>
      </c>
      <c r="W916">
        <f>W915+0.5</f>
        <v/>
      </c>
    </row>
    <row r="917">
      <c r="E917">
        <f>O917=ROUND(906*0.1,10)</f>
        <v/>
      </c>
      <c r="F917">
        <f>P917=ROUND(906*0.2,10)</f>
        <v/>
      </c>
      <c r="G917">
        <f>Q917=ROUND(906*0.3,10)</f>
        <v/>
      </c>
      <c r="H917">
        <f>R917=ROUND(906*0.05,10)</f>
        <v/>
      </c>
      <c r="I917">
        <f>S917=ROUND(906*0.01,10)</f>
        <v/>
      </c>
      <c r="J917">
        <f>T917=ROUND(906*0.7,10)</f>
        <v/>
      </c>
      <c r="K917">
        <f>U917=ROUND(906*1.1,10)</f>
        <v/>
      </c>
      <c r="L917">
        <f>V917=ROUND(906*0.25,10)</f>
        <v/>
      </c>
      <c r="M917">
        <f>W917=ROUND(906*0.5,10)</f>
        <v/>
      </c>
      <c r="O917">
        <f>O916+0.1</f>
        <v/>
      </c>
      <c r="P917">
        <f>P916+0.2</f>
        <v/>
      </c>
      <c r="Q917">
        <f>Q916+0.3</f>
        <v/>
      </c>
      <c r="R917">
        <f>R916+0.05</f>
        <v/>
      </c>
      <c r="S917">
        <f>S916+0.01</f>
        <v/>
      </c>
      <c r="T917">
        <f>T916+0.7</f>
        <v/>
      </c>
      <c r="U917">
        <f>U916+1.1</f>
        <v/>
      </c>
      <c r="V917">
        <f>V916+0.25</f>
        <v/>
      </c>
      <c r="W917">
        <f>W916+0.5</f>
        <v/>
      </c>
    </row>
    <row r="918">
      <c r="E918">
        <f>O918=ROUND(907*0.1,10)</f>
        <v/>
      </c>
      <c r="F918">
        <f>P918=ROUND(907*0.2,10)</f>
        <v/>
      </c>
      <c r="G918">
        <f>Q918=ROUND(907*0.3,10)</f>
        <v/>
      </c>
      <c r="H918">
        <f>R918=ROUND(907*0.05,10)</f>
        <v/>
      </c>
      <c r="I918">
        <f>S918=ROUND(907*0.01,10)</f>
        <v/>
      </c>
      <c r="J918">
        <f>T918=ROUND(907*0.7,10)</f>
        <v/>
      </c>
      <c r="K918">
        <f>U918=ROUND(907*1.1,10)</f>
        <v/>
      </c>
      <c r="L918">
        <f>V918=ROUND(907*0.25,10)</f>
        <v/>
      </c>
      <c r="M918">
        <f>W918=ROUND(907*0.5,10)</f>
        <v/>
      </c>
      <c r="O918">
        <f>O917+0.1</f>
        <v/>
      </c>
      <c r="P918">
        <f>P917+0.2</f>
        <v/>
      </c>
      <c r="Q918">
        <f>Q917+0.3</f>
        <v/>
      </c>
      <c r="R918">
        <f>R917+0.05</f>
        <v/>
      </c>
      <c r="S918">
        <f>S917+0.01</f>
        <v/>
      </c>
      <c r="T918">
        <f>T917+0.7</f>
        <v/>
      </c>
      <c r="U918">
        <f>U917+1.1</f>
        <v/>
      </c>
      <c r="V918">
        <f>V917+0.25</f>
        <v/>
      </c>
      <c r="W918">
        <f>W917+0.5</f>
        <v/>
      </c>
    </row>
    <row r="919">
      <c r="E919">
        <f>O919=ROUND(908*0.1,10)</f>
        <v/>
      </c>
      <c r="F919">
        <f>P919=ROUND(908*0.2,10)</f>
        <v/>
      </c>
      <c r="G919">
        <f>Q919=ROUND(908*0.3,10)</f>
        <v/>
      </c>
      <c r="H919">
        <f>R919=ROUND(908*0.05,10)</f>
        <v/>
      </c>
      <c r="I919">
        <f>S919=ROUND(908*0.01,10)</f>
        <v/>
      </c>
      <c r="J919">
        <f>T919=ROUND(908*0.7,10)</f>
        <v/>
      </c>
      <c r="K919">
        <f>U919=ROUND(908*1.1,10)</f>
        <v/>
      </c>
      <c r="L919">
        <f>V919=ROUND(908*0.25,10)</f>
        <v/>
      </c>
      <c r="M919">
        <f>W919=ROUND(908*0.5,10)</f>
        <v/>
      </c>
      <c r="O919">
        <f>O918+0.1</f>
        <v/>
      </c>
      <c r="P919">
        <f>P918+0.2</f>
        <v/>
      </c>
      <c r="Q919">
        <f>Q918+0.3</f>
        <v/>
      </c>
      <c r="R919">
        <f>R918+0.05</f>
        <v/>
      </c>
      <c r="S919">
        <f>S918+0.01</f>
        <v/>
      </c>
      <c r="T919">
        <f>T918+0.7</f>
        <v/>
      </c>
      <c r="U919">
        <f>U918+1.1</f>
        <v/>
      </c>
      <c r="V919">
        <f>V918+0.25</f>
        <v/>
      </c>
      <c r="W919">
        <f>W918+0.5</f>
        <v/>
      </c>
    </row>
    <row r="920">
      <c r="E920">
        <f>O920=ROUND(909*0.1,10)</f>
        <v/>
      </c>
      <c r="F920">
        <f>P920=ROUND(909*0.2,10)</f>
        <v/>
      </c>
      <c r="G920">
        <f>Q920=ROUND(909*0.3,10)</f>
        <v/>
      </c>
      <c r="H920">
        <f>R920=ROUND(909*0.05,10)</f>
        <v/>
      </c>
      <c r="I920">
        <f>S920=ROUND(909*0.01,10)</f>
        <v/>
      </c>
      <c r="J920">
        <f>T920=ROUND(909*0.7,10)</f>
        <v/>
      </c>
      <c r="K920">
        <f>U920=ROUND(909*1.1,10)</f>
        <v/>
      </c>
      <c r="L920">
        <f>V920=ROUND(909*0.25,10)</f>
        <v/>
      </c>
      <c r="M920">
        <f>W920=ROUND(909*0.5,10)</f>
        <v/>
      </c>
      <c r="O920">
        <f>O919+0.1</f>
        <v/>
      </c>
      <c r="P920">
        <f>P919+0.2</f>
        <v/>
      </c>
      <c r="Q920">
        <f>Q919+0.3</f>
        <v/>
      </c>
      <c r="R920">
        <f>R919+0.05</f>
        <v/>
      </c>
      <c r="S920">
        <f>S919+0.01</f>
        <v/>
      </c>
      <c r="T920">
        <f>T919+0.7</f>
        <v/>
      </c>
      <c r="U920">
        <f>U919+1.1</f>
        <v/>
      </c>
      <c r="V920">
        <f>V919+0.25</f>
        <v/>
      </c>
      <c r="W920">
        <f>W919+0.5</f>
        <v/>
      </c>
    </row>
    <row r="921">
      <c r="E921">
        <f>O921=ROUND(910*0.1,10)</f>
        <v/>
      </c>
      <c r="F921">
        <f>P921=ROUND(910*0.2,10)</f>
        <v/>
      </c>
      <c r="G921">
        <f>Q921=ROUND(910*0.3,10)</f>
        <v/>
      </c>
      <c r="H921">
        <f>R921=ROUND(910*0.05,10)</f>
        <v/>
      </c>
      <c r="I921">
        <f>S921=ROUND(910*0.01,10)</f>
        <v/>
      </c>
      <c r="J921">
        <f>T921=ROUND(910*0.7,10)</f>
        <v/>
      </c>
      <c r="K921">
        <f>U921=ROUND(910*1.1,10)</f>
        <v/>
      </c>
      <c r="L921">
        <f>V921=ROUND(910*0.25,10)</f>
        <v/>
      </c>
      <c r="M921">
        <f>W921=ROUND(910*0.5,10)</f>
        <v/>
      </c>
      <c r="O921">
        <f>O920+0.1</f>
        <v/>
      </c>
      <c r="P921">
        <f>P920+0.2</f>
        <v/>
      </c>
      <c r="Q921">
        <f>Q920+0.3</f>
        <v/>
      </c>
      <c r="R921">
        <f>R920+0.05</f>
        <v/>
      </c>
      <c r="S921">
        <f>S920+0.01</f>
        <v/>
      </c>
      <c r="T921">
        <f>T920+0.7</f>
        <v/>
      </c>
      <c r="U921">
        <f>U920+1.1</f>
        <v/>
      </c>
      <c r="V921">
        <f>V920+0.25</f>
        <v/>
      </c>
      <c r="W921">
        <f>W920+0.5</f>
        <v/>
      </c>
    </row>
    <row r="922">
      <c r="E922">
        <f>O922=ROUND(911*0.1,10)</f>
        <v/>
      </c>
      <c r="F922">
        <f>P922=ROUND(911*0.2,10)</f>
        <v/>
      </c>
      <c r="G922">
        <f>Q922=ROUND(911*0.3,10)</f>
        <v/>
      </c>
      <c r="H922">
        <f>R922=ROUND(911*0.05,10)</f>
        <v/>
      </c>
      <c r="I922">
        <f>S922=ROUND(911*0.01,10)</f>
        <v/>
      </c>
      <c r="J922">
        <f>T922=ROUND(911*0.7,10)</f>
        <v/>
      </c>
      <c r="K922">
        <f>U922=ROUND(911*1.1,10)</f>
        <v/>
      </c>
      <c r="L922">
        <f>V922=ROUND(911*0.25,10)</f>
        <v/>
      </c>
      <c r="M922">
        <f>W922=ROUND(911*0.5,10)</f>
        <v/>
      </c>
      <c r="O922">
        <f>O921+0.1</f>
        <v/>
      </c>
      <c r="P922">
        <f>P921+0.2</f>
        <v/>
      </c>
      <c r="Q922">
        <f>Q921+0.3</f>
        <v/>
      </c>
      <c r="R922">
        <f>R921+0.05</f>
        <v/>
      </c>
      <c r="S922">
        <f>S921+0.01</f>
        <v/>
      </c>
      <c r="T922">
        <f>T921+0.7</f>
        <v/>
      </c>
      <c r="U922">
        <f>U921+1.1</f>
        <v/>
      </c>
      <c r="V922">
        <f>V921+0.25</f>
        <v/>
      </c>
      <c r="W922">
        <f>W921+0.5</f>
        <v/>
      </c>
    </row>
    <row r="923">
      <c r="E923">
        <f>O923=ROUND(912*0.1,10)</f>
        <v/>
      </c>
      <c r="F923">
        <f>P923=ROUND(912*0.2,10)</f>
        <v/>
      </c>
      <c r="G923">
        <f>Q923=ROUND(912*0.3,10)</f>
        <v/>
      </c>
      <c r="H923">
        <f>R923=ROUND(912*0.05,10)</f>
        <v/>
      </c>
      <c r="I923">
        <f>S923=ROUND(912*0.01,10)</f>
        <v/>
      </c>
      <c r="J923">
        <f>T923=ROUND(912*0.7,10)</f>
        <v/>
      </c>
      <c r="K923">
        <f>U923=ROUND(912*1.1,10)</f>
        <v/>
      </c>
      <c r="L923">
        <f>V923=ROUND(912*0.25,10)</f>
        <v/>
      </c>
      <c r="M923">
        <f>W923=ROUND(912*0.5,10)</f>
        <v/>
      </c>
      <c r="O923">
        <f>O922+0.1</f>
        <v/>
      </c>
      <c r="P923">
        <f>P922+0.2</f>
        <v/>
      </c>
      <c r="Q923">
        <f>Q922+0.3</f>
        <v/>
      </c>
      <c r="R923">
        <f>R922+0.05</f>
        <v/>
      </c>
      <c r="S923">
        <f>S922+0.01</f>
        <v/>
      </c>
      <c r="T923">
        <f>T922+0.7</f>
        <v/>
      </c>
      <c r="U923">
        <f>U922+1.1</f>
        <v/>
      </c>
      <c r="V923">
        <f>V922+0.25</f>
        <v/>
      </c>
      <c r="W923">
        <f>W922+0.5</f>
        <v/>
      </c>
    </row>
    <row r="924">
      <c r="E924">
        <f>O924=ROUND(913*0.1,10)</f>
        <v/>
      </c>
      <c r="F924">
        <f>P924=ROUND(913*0.2,10)</f>
        <v/>
      </c>
      <c r="G924">
        <f>Q924=ROUND(913*0.3,10)</f>
        <v/>
      </c>
      <c r="H924">
        <f>R924=ROUND(913*0.05,10)</f>
        <v/>
      </c>
      <c r="I924">
        <f>S924=ROUND(913*0.01,10)</f>
        <v/>
      </c>
      <c r="J924">
        <f>T924=ROUND(913*0.7,10)</f>
        <v/>
      </c>
      <c r="K924">
        <f>U924=ROUND(913*1.1,10)</f>
        <v/>
      </c>
      <c r="L924">
        <f>V924=ROUND(913*0.25,10)</f>
        <v/>
      </c>
      <c r="M924">
        <f>W924=ROUND(913*0.5,10)</f>
        <v/>
      </c>
      <c r="O924">
        <f>O923+0.1</f>
        <v/>
      </c>
      <c r="P924">
        <f>P923+0.2</f>
        <v/>
      </c>
      <c r="Q924">
        <f>Q923+0.3</f>
        <v/>
      </c>
      <c r="R924">
        <f>R923+0.05</f>
        <v/>
      </c>
      <c r="S924">
        <f>S923+0.01</f>
        <v/>
      </c>
      <c r="T924">
        <f>T923+0.7</f>
        <v/>
      </c>
      <c r="U924">
        <f>U923+1.1</f>
        <v/>
      </c>
      <c r="V924">
        <f>V923+0.25</f>
        <v/>
      </c>
      <c r="W924">
        <f>W923+0.5</f>
        <v/>
      </c>
    </row>
    <row r="925">
      <c r="E925">
        <f>O925=ROUND(914*0.1,10)</f>
        <v/>
      </c>
      <c r="F925">
        <f>P925=ROUND(914*0.2,10)</f>
        <v/>
      </c>
      <c r="G925">
        <f>Q925=ROUND(914*0.3,10)</f>
        <v/>
      </c>
      <c r="H925">
        <f>R925=ROUND(914*0.05,10)</f>
        <v/>
      </c>
      <c r="I925">
        <f>S925=ROUND(914*0.01,10)</f>
        <v/>
      </c>
      <c r="J925">
        <f>T925=ROUND(914*0.7,10)</f>
        <v/>
      </c>
      <c r="K925">
        <f>U925=ROUND(914*1.1,10)</f>
        <v/>
      </c>
      <c r="L925">
        <f>V925=ROUND(914*0.25,10)</f>
        <v/>
      </c>
      <c r="M925">
        <f>W925=ROUND(914*0.5,10)</f>
        <v/>
      </c>
      <c r="O925">
        <f>O924+0.1</f>
        <v/>
      </c>
      <c r="P925">
        <f>P924+0.2</f>
        <v/>
      </c>
      <c r="Q925">
        <f>Q924+0.3</f>
        <v/>
      </c>
      <c r="R925">
        <f>R924+0.05</f>
        <v/>
      </c>
      <c r="S925">
        <f>S924+0.01</f>
        <v/>
      </c>
      <c r="T925">
        <f>T924+0.7</f>
        <v/>
      </c>
      <c r="U925">
        <f>U924+1.1</f>
        <v/>
      </c>
      <c r="V925">
        <f>V924+0.25</f>
        <v/>
      </c>
      <c r="W925">
        <f>W924+0.5</f>
        <v/>
      </c>
    </row>
    <row r="926">
      <c r="E926">
        <f>O926=ROUND(915*0.1,10)</f>
        <v/>
      </c>
      <c r="F926">
        <f>P926=ROUND(915*0.2,10)</f>
        <v/>
      </c>
      <c r="G926">
        <f>Q926=ROUND(915*0.3,10)</f>
        <v/>
      </c>
      <c r="H926">
        <f>R926=ROUND(915*0.05,10)</f>
        <v/>
      </c>
      <c r="I926">
        <f>S926=ROUND(915*0.01,10)</f>
        <v/>
      </c>
      <c r="J926">
        <f>T926=ROUND(915*0.7,10)</f>
        <v/>
      </c>
      <c r="K926">
        <f>U926=ROUND(915*1.1,10)</f>
        <v/>
      </c>
      <c r="L926">
        <f>V926=ROUND(915*0.25,10)</f>
        <v/>
      </c>
      <c r="M926">
        <f>W926=ROUND(915*0.5,10)</f>
        <v/>
      </c>
      <c r="O926">
        <f>O925+0.1</f>
        <v/>
      </c>
      <c r="P926">
        <f>P925+0.2</f>
        <v/>
      </c>
      <c r="Q926">
        <f>Q925+0.3</f>
        <v/>
      </c>
      <c r="R926">
        <f>R925+0.05</f>
        <v/>
      </c>
      <c r="S926">
        <f>S925+0.01</f>
        <v/>
      </c>
      <c r="T926">
        <f>T925+0.7</f>
        <v/>
      </c>
      <c r="U926">
        <f>U925+1.1</f>
        <v/>
      </c>
      <c r="V926">
        <f>V925+0.25</f>
        <v/>
      </c>
      <c r="W926">
        <f>W925+0.5</f>
        <v/>
      </c>
    </row>
    <row r="927">
      <c r="E927">
        <f>O927=ROUND(916*0.1,10)</f>
        <v/>
      </c>
      <c r="F927">
        <f>P927=ROUND(916*0.2,10)</f>
        <v/>
      </c>
      <c r="G927">
        <f>Q927=ROUND(916*0.3,10)</f>
        <v/>
      </c>
      <c r="H927">
        <f>R927=ROUND(916*0.05,10)</f>
        <v/>
      </c>
      <c r="I927">
        <f>S927=ROUND(916*0.01,10)</f>
        <v/>
      </c>
      <c r="J927">
        <f>T927=ROUND(916*0.7,10)</f>
        <v/>
      </c>
      <c r="K927">
        <f>U927=ROUND(916*1.1,10)</f>
        <v/>
      </c>
      <c r="L927">
        <f>V927=ROUND(916*0.25,10)</f>
        <v/>
      </c>
      <c r="M927">
        <f>W927=ROUND(916*0.5,10)</f>
        <v/>
      </c>
      <c r="O927">
        <f>O926+0.1</f>
        <v/>
      </c>
      <c r="P927">
        <f>P926+0.2</f>
        <v/>
      </c>
      <c r="Q927">
        <f>Q926+0.3</f>
        <v/>
      </c>
      <c r="R927">
        <f>R926+0.05</f>
        <v/>
      </c>
      <c r="S927">
        <f>S926+0.01</f>
        <v/>
      </c>
      <c r="T927">
        <f>T926+0.7</f>
        <v/>
      </c>
      <c r="U927">
        <f>U926+1.1</f>
        <v/>
      </c>
      <c r="V927">
        <f>V926+0.25</f>
        <v/>
      </c>
      <c r="W927">
        <f>W926+0.5</f>
        <v/>
      </c>
    </row>
    <row r="928">
      <c r="E928">
        <f>O928=ROUND(917*0.1,10)</f>
        <v/>
      </c>
      <c r="F928">
        <f>P928=ROUND(917*0.2,10)</f>
        <v/>
      </c>
      <c r="G928">
        <f>Q928=ROUND(917*0.3,10)</f>
        <v/>
      </c>
      <c r="H928">
        <f>R928=ROUND(917*0.05,10)</f>
        <v/>
      </c>
      <c r="I928">
        <f>S928=ROUND(917*0.01,10)</f>
        <v/>
      </c>
      <c r="J928">
        <f>T928=ROUND(917*0.7,10)</f>
        <v/>
      </c>
      <c r="K928">
        <f>U928=ROUND(917*1.1,10)</f>
        <v/>
      </c>
      <c r="L928">
        <f>V928=ROUND(917*0.25,10)</f>
        <v/>
      </c>
      <c r="M928">
        <f>W928=ROUND(917*0.5,10)</f>
        <v/>
      </c>
      <c r="O928">
        <f>O927+0.1</f>
        <v/>
      </c>
      <c r="P928">
        <f>P927+0.2</f>
        <v/>
      </c>
      <c r="Q928">
        <f>Q927+0.3</f>
        <v/>
      </c>
      <c r="R928">
        <f>R927+0.05</f>
        <v/>
      </c>
      <c r="S928">
        <f>S927+0.01</f>
        <v/>
      </c>
      <c r="T928">
        <f>T927+0.7</f>
        <v/>
      </c>
      <c r="U928">
        <f>U927+1.1</f>
        <v/>
      </c>
      <c r="V928">
        <f>V927+0.25</f>
        <v/>
      </c>
      <c r="W928">
        <f>W927+0.5</f>
        <v/>
      </c>
    </row>
    <row r="929">
      <c r="E929">
        <f>O929=ROUND(918*0.1,10)</f>
        <v/>
      </c>
      <c r="F929">
        <f>P929=ROUND(918*0.2,10)</f>
        <v/>
      </c>
      <c r="G929">
        <f>Q929=ROUND(918*0.3,10)</f>
        <v/>
      </c>
      <c r="H929">
        <f>R929=ROUND(918*0.05,10)</f>
        <v/>
      </c>
      <c r="I929">
        <f>S929=ROUND(918*0.01,10)</f>
        <v/>
      </c>
      <c r="J929">
        <f>T929=ROUND(918*0.7,10)</f>
        <v/>
      </c>
      <c r="K929">
        <f>U929=ROUND(918*1.1,10)</f>
        <v/>
      </c>
      <c r="L929">
        <f>V929=ROUND(918*0.25,10)</f>
        <v/>
      </c>
      <c r="M929">
        <f>W929=ROUND(918*0.5,10)</f>
        <v/>
      </c>
      <c r="O929">
        <f>O928+0.1</f>
        <v/>
      </c>
      <c r="P929">
        <f>P928+0.2</f>
        <v/>
      </c>
      <c r="Q929">
        <f>Q928+0.3</f>
        <v/>
      </c>
      <c r="R929">
        <f>R928+0.05</f>
        <v/>
      </c>
      <c r="S929">
        <f>S928+0.01</f>
        <v/>
      </c>
      <c r="T929">
        <f>T928+0.7</f>
        <v/>
      </c>
      <c r="U929">
        <f>U928+1.1</f>
        <v/>
      </c>
      <c r="V929">
        <f>V928+0.25</f>
        <v/>
      </c>
      <c r="W929">
        <f>W928+0.5</f>
        <v/>
      </c>
    </row>
    <row r="930">
      <c r="E930">
        <f>O930=ROUND(919*0.1,10)</f>
        <v/>
      </c>
      <c r="F930">
        <f>P930=ROUND(919*0.2,10)</f>
        <v/>
      </c>
      <c r="G930">
        <f>Q930=ROUND(919*0.3,10)</f>
        <v/>
      </c>
      <c r="H930">
        <f>R930=ROUND(919*0.05,10)</f>
        <v/>
      </c>
      <c r="I930">
        <f>S930=ROUND(919*0.01,10)</f>
        <v/>
      </c>
      <c r="J930">
        <f>T930=ROUND(919*0.7,10)</f>
        <v/>
      </c>
      <c r="K930">
        <f>U930=ROUND(919*1.1,10)</f>
        <v/>
      </c>
      <c r="L930">
        <f>V930=ROUND(919*0.25,10)</f>
        <v/>
      </c>
      <c r="M930">
        <f>W930=ROUND(919*0.5,10)</f>
        <v/>
      </c>
      <c r="O930">
        <f>O929+0.1</f>
        <v/>
      </c>
      <c r="P930">
        <f>P929+0.2</f>
        <v/>
      </c>
      <c r="Q930">
        <f>Q929+0.3</f>
        <v/>
      </c>
      <c r="R930">
        <f>R929+0.05</f>
        <v/>
      </c>
      <c r="S930">
        <f>S929+0.01</f>
        <v/>
      </c>
      <c r="T930">
        <f>T929+0.7</f>
        <v/>
      </c>
      <c r="U930">
        <f>U929+1.1</f>
        <v/>
      </c>
      <c r="V930">
        <f>V929+0.25</f>
        <v/>
      </c>
      <c r="W930">
        <f>W929+0.5</f>
        <v/>
      </c>
    </row>
    <row r="931">
      <c r="E931">
        <f>O931=ROUND(920*0.1,10)</f>
        <v/>
      </c>
      <c r="F931">
        <f>P931=ROUND(920*0.2,10)</f>
        <v/>
      </c>
      <c r="G931">
        <f>Q931=ROUND(920*0.3,10)</f>
        <v/>
      </c>
      <c r="H931">
        <f>R931=ROUND(920*0.05,10)</f>
        <v/>
      </c>
      <c r="I931">
        <f>S931=ROUND(920*0.01,10)</f>
        <v/>
      </c>
      <c r="J931">
        <f>T931=ROUND(920*0.7,10)</f>
        <v/>
      </c>
      <c r="K931">
        <f>U931=ROUND(920*1.1,10)</f>
        <v/>
      </c>
      <c r="L931">
        <f>V931=ROUND(920*0.25,10)</f>
        <v/>
      </c>
      <c r="M931">
        <f>W931=ROUND(920*0.5,10)</f>
        <v/>
      </c>
      <c r="O931">
        <f>O930+0.1</f>
        <v/>
      </c>
      <c r="P931">
        <f>P930+0.2</f>
        <v/>
      </c>
      <c r="Q931">
        <f>Q930+0.3</f>
        <v/>
      </c>
      <c r="R931">
        <f>R930+0.05</f>
        <v/>
      </c>
      <c r="S931">
        <f>S930+0.01</f>
        <v/>
      </c>
      <c r="T931">
        <f>T930+0.7</f>
        <v/>
      </c>
      <c r="U931">
        <f>U930+1.1</f>
        <v/>
      </c>
      <c r="V931">
        <f>V930+0.25</f>
        <v/>
      </c>
      <c r="W931">
        <f>W930+0.5</f>
        <v/>
      </c>
    </row>
    <row r="932">
      <c r="E932">
        <f>O932=ROUND(921*0.1,10)</f>
        <v/>
      </c>
      <c r="F932">
        <f>P932=ROUND(921*0.2,10)</f>
        <v/>
      </c>
      <c r="G932">
        <f>Q932=ROUND(921*0.3,10)</f>
        <v/>
      </c>
      <c r="H932">
        <f>R932=ROUND(921*0.05,10)</f>
        <v/>
      </c>
      <c r="I932">
        <f>S932=ROUND(921*0.01,10)</f>
        <v/>
      </c>
      <c r="J932">
        <f>T932=ROUND(921*0.7,10)</f>
        <v/>
      </c>
      <c r="K932">
        <f>U932=ROUND(921*1.1,10)</f>
        <v/>
      </c>
      <c r="L932">
        <f>V932=ROUND(921*0.25,10)</f>
        <v/>
      </c>
      <c r="M932">
        <f>W932=ROUND(921*0.5,10)</f>
        <v/>
      </c>
      <c r="O932">
        <f>O931+0.1</f>
        <v/>
      </c>
      <c r="P932">
        <f>P931+0.2</f>
        <v/>
      </c>
      <c r="Q932">
        <f>Q931+0.3</f>
        <v/>
      </c>
      <c r="R932">
        <f>R931+0.05</f>
        <v/>
      </c>
      <c r="S932">
        <f>S931+0.01</f>
        <v/>
      </c>
      <c r="T932">
        <f>T931+0.7</f>
        <v/>
      </c>
      <c r="U932">
        <f>U931+1.1</f>
        <v/>
      </c>
      <c r="V932">
        <f>V931+0.25</f>
        <v/>
      </c>
      <c r="W932">
        <f>W931+0.5</f>
        <v/>
      </c>
    </row>
    <row r="933">
      <c r="E933">
        <f>O933=ROUND(922*0.1,10)</f>
        <v/>
      </c>
      <c r="F933">
        <f>P933=ROUND(922*0.2,10)</f>
        <v/>
      </c>
      <c r="G933">
        <f>Q933=ROUND(922*0.3,10)</f>
        <v/>
      </c>
      <c r="H933">
        <f>R933=ROUND(922*0.05,10)</f>
        <v/>
      </c>
      <c r="I933">
        <f>S933=ROUND(922*0.01,10)</f>
        <v/>
      </c>
      <c r="J933">
        <f>T933=ROUND(922*0.7,10)</f>
        <v/>
      </c>
      <c r="K933">
        <f>U933=ROUND(922*1.1,10)</f>
        <v/>
      </c>
      <c r="L933">
        <f>V933=ROUND(922*0.25,10)</f>
        <v/>
      </c>
      <c r="M933">
        <f>W933=ROUND(922*0.5,10)</f>
        <v/>
      </c>
      <c r="O933">
        <f>O932+0.1</f>
        <v/>
      </c>
      <c r="P933">
        <f>P932+0.2</f>
        <v/>
      </c>
      <c r="Q933">
        <f>Q932+0.3</f>
        <v/>
      </c>
      <c r="R933">
        <f>R932+0.05</f>
        <v/>
      </c>
      <c r="S933">
        <f>S932+0.01</f>
        <v/>
      </c>
      <c r="T933">
        <f>T932+0.7</f>
        <v/>
      </c>
      <c r="U933">
        <f>U932+1.1</f>
        <v/>
      </c>
      <c r="V933">
        <f>V932+0.25</f>
        <v/>
      </c>
      <c r="W933">
        <f>W932+0.5</f>
        <v/>
      </c>
    </row>
    <row r="934">
      <c r="E934">
        <f>O934=ROUND(923*0.1,10)</f>
        <v/>
      </c>
      <c r="F934">
        <f>P934=ROUND(923*0.2,10)</f>
        <v/>
      </c>
      <c r="G934">
        <f>Q934=ROUND(923*0.3,10)</f>
        <v/>
      </c>
      <c r="H934">
        <f>R934=ROUND(923*0.05,10)</f>
        <v/>
      </c>
      <c r="I934">
        <f>S934=ROUND(923*0.01,10)</f>
        <v/>
      </c>
      <c r="J934">
        <f>T934=ROUND(923*0.7,10)</f>
        <v/>
      </c>
      <c r="K934">
        <f>U934=ROUND(923*1.1,10)</f>
        <v/>
      </c>
      <c r="L934">
        <f>V934=ROUND(923*0.25,10)</f>
        <v/>
      </c>
      <c r="M934">
        <f>W934=ROUND(923*0.5,10)</f>
        <v/>
      </c>
      <c r="O934">
        <f>O933+0.1</f>
        <v/>
      </c>
      <c r="P934">
        <f>P933+0.2</f>
        <v/>
      </c>
      <c r="Q934">
        <f>Q933+0.3</f>
        <v/>
      </c>
      <c r="R934">
        <f>R933+0.05</f>
        <v/>
      </c>
      <c r="S934">
        <f>S933+0.01</f>
        <v/>
      </c>
      <c r="T934">
        <f>T933+0.7</f>
        <v/>
      </c>
      <c r="U934">
        <f>U933+1.1</f>
        <v/>
      </c>
      <c r="V934">
        <f>V933+0.25</f>
        <v/>
      </c>
      <c r="W934">
        <f>W933+0.5</f>
        <v/>
      </c>
    </row>
    <row r="935">
      <c r="E935">
        <f>O935=ROUND(924*0.1,10)</f>
        <v/>
      </c>
      <c r="F935">
        <f>P935=ROUND(924*0.2,10)</f>
        <v/>
      </c>
      <c r="G935">
        <f>Q935=ROUND(924*0.3,10)</f>
        <v/>
      </c>
      <c r="H935">
        <f>R935=ROUND(924*0.05,10)</f>
        <v/>
      </c>
      <c r="I935">
        <f>S935=ROUND(924*0.01,10)</f>
        <v/>
      </c>
      <c r="J935">
        <f>T935=ROUND(924*0.7,10)</f>
        <v/>
      </c>
      <c r="K935">
        <f>U935=ROUND(924*1.1,10)</f>
        <v/>
      </c>
      <c r="L935">
        <f>V935=ROUND(924*0.25,10)</f>
        <v/>
      </c>
      <c r="M935">
        <f>W935=ROUND(924*0.5,10)</f>
        <v/>
      </c>
      <c r="O935">
        <f>O934+0.1</f>
        <v/>
      </c>
      <c r="P935">
        <f>P934+0.2</f>
        <v/>
      </c>
      <c r="Q935">
        <f>Q934+0.3</f>
        <v/>
      </c>
      <c r="R935">
        <f>R934+0.05</f>
        <v/>
      </c>
      <c r="S935">
        <f>S934+0.01</f>
        <v/>
      </c>
      <c r="T935">
        <f>T934+0.7</f>
        <v/>
      </c>
      <c r="U935">
        <f>U934+1.1</f>
        <v/>
      </c>
      <c r="V935">
        <f>V934+0.25</f>
        <v/>
      </c>
      <c r="W935">
        <f>W934+0.5</f>
        <v/>
      </c>
    </row>
    <row r="936">
      <c r="E936">
        <f>O936=ROUND(925*0.1,10)</f>
        <v/>
      </c>
      <c r="F936">
        <f>P936=ROUND(925*0.2,10)</f>
        <v/>
      </c>
      <c r="G936">
        <f>Q936=ROUND(925*0.3,10)</f>
        <v/>
      </c>
      <c r="H936">
        <f>R936=ROUND(925*0.05,10)</f>
        <v/>
      </c>
      <c r="I936">
        <f>S936=ROUND(925*0.01,10)</f>
        <v/>
      </c>
      <c r="J936">
        <f>T936=ROUND(925*0.7,10)</f>
        <v/>
      </c>
      <c r="K936">
        <f>U936=ROUND(925*1.1,10)</f>
        <v/>
      </c>
      <c r="L936">
        <f>V936=ROUND(925*0.25,10)</f>
        <v/>
      </c>
      <c r="M936">
        <f>W936=ROUND(925*0.5,10)</f>
        <v/>
      </c>
      <c r="O936">
        <f>O935+0.1</f>
        <v/>
      </c>
      <c r="P936">
        <f>P935+0.2</f>
        <v/>
      </c>
      <c r="Q936">
        <f>Q935+0.3</f>
        <v/>
      </c>
      <c r="R936">
        <f>R935+0.05</f>
        <v/>
      </c>
      <c r="S936">
        <f>S935+0.01</f>
        <v/>
      </c>
      <c r="T936">
        <f>T935+0.7</f>
        <v/>
      </c>
      <c r="U936">
        <f>U935+1.1</f>
        <v/>
      </c>
      <c r="V936">
        <f>V935+0.25</f>
        <v/>
      </c>
      <c r="W936">
        <f>W935+0.5</f>
        <v/>
      </c>
    </row>
    <row r="937">
      <c r="E937">
        <f>O937=ROUND(926*0.1,10)</f>
        <v/>
      </c>
      <c r="F937">
        <f>P937=ROUND(926*0.2,10)</f>
        <v/>
      </c>
      <c r="G937">
        <f>Q937=ROUND(926*0.3,10)</f>
        <v/>
      </c>
      <c r="H937">
        <f>R937=ROUND(926*0.05,10)</f>
        <v/>
      </c>
      <c r="I937">
        <f>S937=ROUND(926*0.01,10)</f>
        <v/>
      </c>
      <c r="J937">
        <f>T937=ROUND(926*0.7,10)</f>
        <v/>
      </c>
      <c r="K937">
        <f>U937=ROUND(926*1.1,10)</f>
        <v/>
      </c>
      <c r="L937">
        <f>V937=ROUND(926*0.25,10)</f>
        <v/>
      </c>
      <c r="M937">
        <f>W937=ROUND(926*0.5,10)</f>
        <v/>
      </c>
      <c r="O937">
        <f>O936+0.1</f>
        <v/>
      </c>
      <c r="P937">
        <f>P936+0.2</f>
        <v/>
      </c>
      <c r="Q937">
        <f>Q936+0.3</f>
        <v/>
      </c>
      <c r="R937">
        <f>R936+0.05</f>
        <v/>
      </c>
      <c r="S937">
        <f>S936+0.01</f>
        <v/>
      </c>
      <c r="T937">
        <f>T936+0.7</f>
        <v/>
      </c>
      <c r="U937">
        <f>U936+1.1</f>
        <v/>
      </c>
      <c r="V937">
        <f>V936+0.25</f>
        <v/>
      </c>
      <c r="W937">
        <f>W936+0.5</f>
        <v/>
      </c>
    </row>
    <row r="938">
      <c r="E938">
        <f>O938=ROUND(927*0.1,10)</f>
        <v/>
      </c>
      <c r="F938">
        <f>P938=ROUND(927*0.2,10)</f>
        <v/>
      </c>
      <c r="G938">
        <f>Q938=ROUND(927*0.3,10)</f>
        <v/>
      </c>
      <c r="H938">
        <f>R938=ROUND(927*0.05,10)</f>
        <v/>
      </c>
      <c r="I938">
        <f>S938=ROUND(927*0.01,10)</f>
        <v/>
      </c>
      <c r="J938">
        <f>T938=ROUND(927*0.7,10)</f>
        <v/>
      </c>
      <c r="K938">
        <f>U938=ROUND(927*1.1,10)</f>
        <v/>
      </c>
      <c r="L938">
        <f>V938=ROUND(927*0.25,10)</f>
        <v/>
      </c>
      <c r="M938">
        <f>W938=ROUND(927*0.5,10)</f>
        <v/>
      </c>
      <c r="O938">
        <f>O937+0.1</f>
        <v/>
      </c>
      <c r="P938">
        <f>P937+0.2</f>
        <v/>
      </c>
      <c r="Q938">
        <f>Q937+0.3</f>
        <v/>
      </c>
      <c r="R938">
        <f>R937+0.05</f>
        <v/>
      </c>
      <c r="S938">
        <f>S937+0.01</f>
        <v/>
      </c>
      <c r="T938">
        <f>T937+0.7</f>
        <v/>
      </c>
      <c r="U938">
        <f>U937+1.1</f>
        <v/>
      </c>
      <c r="V938">
        <f>V937+0.25</f>
        <v/>
      </c>
      <c r="W938">
        <f>W937+0.5</f>
        <v/>
      </c>
    </row>
    <row r="939">
      <c r="E939">
        <f>O939=ROUND(928*0.1,10)</f>
        <v/>
      </c>
      <c r="F939">
        <f>P939=ROUND(928*0.2,10)</f>
        <v/>
      </c>
      <c r="G939">
        <f>Q939=ROUND(928*0.3,10)</f>
        <v/>
      </c>
      <c r="H939">
        <f>R939=ROUND(928*0.05,10)</f>
        <v/>
      </c>
      <c r="I939">
        <f>S939=ROUND(928*0.01,10)</f>
        <v/>
      </c>
      <c r="J939">
        <f>T939=ROUND(928*0.7,10)</f>
        <v/>
      </c>
      <c r="K939">
        <f>U939=ROUND(928*1.1,10)</f>
        <v/>
      </c>
      <c r="L939">
        <f>V939=ROUND(928*0.25,10)</f>
        <v/>
      </c>
      <c r="M939">
        <f>W939=ROUND(928*0.5,10)</f>
        <v/>
      </c>
      <c r="O939">
        <f>O938+0.1</f>
        <v/>
      </c>
      <c r="P939">
        <f>P938+0.2</f>
        <v/>
      </c>
      <c r="Q939">
        <f>Q938+0.3</f>
        <v/>
      </c>
      <c r="R939">
        <f>R938+0.05</f>
        <v/>
      </c>
      <c r="S939">
        <f>S938+0.01</f>
        <v/>
      </c>
      <c r="T939">
        <f>T938+0.7</f>
        <v/>
      </c>
      <c r="U939">
        <f>U938+1.1</f>
        <v/>
      </c>
      <c r="V939">
        <f>V938+0.25</f>
        <v/>
      </c>
      <c r="W939">
        <f>W938+0.5</f>
        <v/>
      </c>
    </row>
    <row r="940">
      <c r="E940">
        <f>O940=ROUND(929*0.1,10)</f>
        <v/>
      </c>
      <c r="F940">
        <f>P940=ROUND(929*0.2,10)</f>
        <v/>
      </c>
      <c r="G940">
        <f>Q940=ROUND(929*0.3,10)</f>
        <v/>
      </c>
      <c r="H940">
        <f>R940=ROUND(929*0.05,10)</f>
        <v/>
      </c>
      <c r="I940">
        <f>S940=ROUND(929*0.01,10)</f>
        <v/>
      </c>
      <c r="J940">
        <f>T940=ROUND(929*0.7,10)</f>
        <v/>
      </c>
      <c r="K940">
        <f>U940=ROUND(929*1.1,10)</f>
        <v/>
      </c>
      <c r="L940">
        <f>V940=ROUND(929*0.25,10)</f>
        <v/>
      </c>
      <c r="M940">
        <f>W940=ROUND(929*0.5,10)</f>
        <v/>
      </c>
      <c r="O940">
        <f>O939+0.1</f>
        <v/>
      </c>
      <c r="P940">
        <f>P939+0.2</f>
        <v/>
      </c>
      <c r="Q940">
        <f>Q939+0.3</f>
        <v/>
      </c>
      <c r="R940">
        <f>R939+0.05</f>
        <v/>
      </c>
      <c r="S940">
        <f>S939+0.01</f>
        <v/>
      </c>
      <c r="T940">
        <f>T939+0.7</f>
        <v/>
      </c>
      <c r="U940">
        <f>U939+1.1</f>
        <v/>
      </c>
      <c r="V940">
        <f>V939+0.25</f>
        <v/>
      </c>
      <c r="W940">
        <f>W939+0.5</f>
        <v/>
      </c>
    </row>
    <row r="941">
      <c r="E941">
        <f>O941=ROUND(930*0.1,10)</f>
        <v/>
      </c>
      <c r="F941">
        <f>P941=ROUND(930*0.2,10)</f>
        <v/>
      </c>
      <c r="G941">
        <f>Q941=ROUND(930*0.3,10)</f>
        <v/>
      </c>
      <c r="H941">
        <f>R941=ROUND(930*0.05,10)</f>
        <v/>
      </c>
      <c r="I941">
        <f>S941=ROUND(930*0.01,10)</f>
        <v/>
      </c>
      <c r="J941">
        <f>T941=ROUND(930*0.7,10)</f>
        <v/>
      </c>
      <c r="K941">
        <f>U941=ROUND(930*1.1,10)</f>
        <v/>
      </c>
      <c r="L941">
        <f>V941=ROUND(930*0.25,10)</f>
        <v/>
      </c>
      <c r="M941">
        <f>W941=ROUND(930*0.5,10)</f>
        <v/>
      </c>
      <c r="O941">
        <f>O940+0.1</f>
        <v/>
      </c>
      <c r="P941">
        <f>P940+0.2</f>
        <v/>
      </c>
      <c r="Q941">
        <f>Q940+0.3</f>
        <v/>
      </c>
      <c r="R941">
        <f>R940+0.05</f>
        <v/>
      </c>
      <c r="S941">
        <f>S940+0.01</f>
        <v/>
      </c>
      <c r="T941">
        <f>T940+0.7</f>
        <v/>
      </c>
      <c r="U941">
        <f>U940+1.1</f>
        <v/>
      </c>
      <c r="V941">
        <f>V940+0.25</f>
        <v/>
      </c>
      <c r="W941">
        <f>W940+0.5</f>
        <v/>
      </c>
    </row>
    <row r="942">
      <c r="E942">
        <f>O942=ROUND(931*0.1,10)</f>
        <v/>
      </c>
      <c r="F942">
        <f>P942=ROUND(931*0.2,10)</f>
        <v/>
      </c>
      <c r="G942">
        <f>Q942=ROUND(931*0.3,10)</f>
        <v/>
      </c>
      <c r="H942">
        <f>R942=ROUND(931*0.05,10)</f>
        <v/>
      </c>
      <c r="I942">
        <f>S942=ROUND(931*0.01,10)</f>
        <v/>
      </c>
      <c r="J942">
        <f>T942=ROUND(931*0.7,10)</f>
        <v/>
      </c>
      <c r="K942">
        <f>U942=ROUND(931*1.1,10)</f>
        <v/>
      </c>
      <c r="L942">
        <f>V942=ROUND(931*0.25,10)</f>
        <v/>
      </c>
      <c r="M942">
        <f>W942=ROUND(931*0.5,10)</f>
        <v/>
      </c>
      <c r="O942">
        <f>O941+0.1</f>
        <v/>
      </c>
      <c r="P942">
        <f>P941+0.2</f>
        <v/>
      </c>
      <c r="Q942">
        <f>Q941+0.3</f>
        <v/>
      </c>
      <c r="R942">
        <f>R941+0.05</f>
        <v/>
      </c>
      <c r="S942">
        <f>S941+0.01</f>
        <v/>
      </c>
      <c r="T942">
        <f>T941+0.7</f>
        <v/>
      </c>
      <c r="U942">
        <f>U941+1.1</f>
        <v/>
      </c>
      <c r="V942">
        <f>V941+0.25</f>
        <v/>
      </c>
      <c r="W942">
        <f>W941+0.5</f>
        <v/>
      </c>
    </row>
    <row r="943">
      <c r="E943">
        <f>O943=ROUND(932*0.1,10)</f>
        <v/>
      </c>
      <c r="F943">
        <f>P943=ROUND(932*0.2,10)</f>
        <v/>
      </c>
      <c r="G943">
        <f>Q943=ROUND(932*0.3,10)</f>
        <v/>
      </c>
      <c r="H943">
        <f>R943=ROUND(932*0.05,10)</f>
        <v/>
      </c>
      <c r="I943">
        <f>S943=ROUND(932*0.01,10)</f>
        <v/>
      </c>
      <c r="J943">
        <f>T943=ROUND(932*0.7,10)</f>
        <v/>
      </c>
      <c r="K943">
        <f>U943=ROUND(932*1.1,10)</f>
        <v/>
      </c>
      <c r="L943">
        <f>V943=ROUND(932*0.25,10)</f>
        <v/>
      </c>
      <c r="M943">
        <f>W943=ROUND(932*0.5,10)</f>
        <v/>
      </c>
      <c r="O943">
        <f>O942+0.1</f>
        <v/>
      </c>
      <c r="P943">
        <f>P942+0.2</f>
        <v/>
      </c>
      <c r="Q943">
        <f>Q942+0.3</f>
        <v/>
      </c>
      <c r="R943">
        <f>R942+0.05</f>
        <v/>
      </c>
      <c r="S943">
        <f>S942+0.01</f>
        <v/>
      </c>
      <c r="T943">
        <f>T942+0.7</f>
        <v/>
      </c>
      <c r="U943">
        <f>U942+1.1</f>
        <v/>
      </c>
      <c r="V943">
        <f>V942+0.25</f>
        <v/>
      </c>
      <c r="W943">
        <f>W942+0.5</f>
        <v/>
      </c>
    </row>
    <row r="944">
      <c r="E944">
        <f>O944=ROUND(933*0.1,10)</f>
        <v/>
      </c>
      <c r="F944">
        <f>P944=ROUND(933*0.2,10)</f>
        <v/>
      </c>
      <c r="G944">
        <f>Q944=ROUND(933*0.3,10)</f>
        <v/>
      </c>
      <c r="H944">
        <f>R944=ROUND(933*0.05,10)</f>
        <v/>
      </c>
      <c r="I944">
        <f>S944=ROUND(933*0.01,10)</f>
        <v/>
      </c>
      <c r="J944">
        <f>T944=ROUND(933*0.7,10)</f>
        <v/>
      </c>
      <c r="K944">
        <f>U944=ROUND(933*1.1,10)</f>
        <v/>
      </c>
      <c r="L944">
        <f>V944=ROUND(933*0.25,10)</f>
        <v/>
      </c>
      <c r="M944">
        <f>W944=ROUND(933*0.5,10)</f>
        <v/>
      </c>
      <c r="O944">
        <f>O943+0.1</f>
        <v/>
      </c>
      <c r="P944">
        <f>P943+0.2</f>
        <v/>
      </c>
      <c r="Q944">
        <f>Q943+0.3</f>
        <v/>
      </c>
      <c r="R944">
        <f>R943+0.05</f>
        <v/>
      </c>
      <c r="S944">
        <f>S943+0.01</f>
        <v/>
      </c>
      <c r="T944">
        <f>T943+0.7</f>
        <v/>
      </c>
      <c r="U944">
        <f>U943+1.1</f>
        <v/>
      </c>
      <c r="V944">
        <f>V943+0.25</f>
        <v/>
      </c>
      <c r="W944">
        <f>W943+0.5</f>
        <v/>
      </c>
    </row>
    <row r="945">
      <c r="E945">
        <f>O945=ROUND(934*0.1,10)</f>
        <v/>
      </c>
      <c r="F945">
        <f>P945=ROUND(934*0.2,10)</f>
        <v/>
      </c>
      <c r="G945">
        <f>Q945=ROUND(934*0.3,10)</f>
        <v/>
      </c>
      <c r="H945">
        <f>R945=ROUND(934*0.05,10)</f>
        <v/>
      </c>
      <c r="I945">
        <f>S945=ROUND(934*0.01,10)</f>
        <v/>
      </c>
      <c r="J945">
        <f>T945=ROUND(934*0.7,10)</f>
        <v/>
      </c>
      <c r="K945">
        <f>U945=ROUND(934*1.1,10)</f>
        <v/>
      </c>
      <c r="L945">
        <f>V945=ROUND(934*0.25,10)</f>
        <v/>
      </c>
      <c r="M945">
        <f>W945=ROUND(934*0.5,10)</f>
        <v/>
      </c>
      <c r="O945">
        <f>O944+0.1</f>
        <v/>
      </c>
      <c r="P945">
        <f>P944+0.2</f>
        <v/>
      </c>
      <c r="Q945">
        <f>Q944+0.3</f>
        <v/>
      </c>
      <c r="R945">
        <f>R944+0.05</f>
        <v/>
      </c>
      <c r="S945">
        <f>S944+0.01</f>
        <v/>
      </c>
      <c r="T945">
        <f>T944+0.7</f>
        <v/>
      </c>
      <c r="U945">
        <f>U944+1.1</f>
        <v/>
      </c>
      <c r="V945">
        <f>V944+0.25</f>
        <v/>
      </c>
      <c r="W945">
        <f>W944+0.5</f>
        <v/>
      </c>
    </row>
    <row r="946">
      <c r="E946">
        <f>O946=ROUND(935*0.1,10)</f>
        <v/>
      </c>
      <c r="F946">
        <f>P946=ROUND(935*0.2,10)</f>
        <v/>
      </c>
      <c r="G946">
        <f>Q946=ROUND(935*0.3,10)</f>
        <v/>
      </c>
      <c r="H946">
        <f>R946=ROUND(935*0.05,10)</f>
        <v/>
      </c>
      <c r="I946">
        <f>S946=ROUND(935*0.01,10)</f>
        <v/>
      </c>
      <c r="J946">
        <f>T946=ROUND(935*0.7,10)</f>
        <v/>
      </c>
      <c r="K946">
        <f>U946=ROUND(935*1.1,10)</f>
        <v/>
      </c>
      <c r="L946">
        <f>V946=ROUND(935*0.25,10)</f>
        <v/>
      </c>
      <c r="M946">
        <f>W946=ROUND(935*0.5,10)</f>
        <v/>
      </c>
      <c r="O946">
        <f>O945+0.1</f>
        <v/>
      </c>
      <c r="P946">
        <f>P945+0.2</f>
        <v/>
      </c>
      <c r="Q946">
        <f>Q945+0.3</f>
        <v/>
      </c>
      <c r="R946">
        <f>R945+0.05</f>
        <v/>
      </c>
      <c r="S946">
        <f>S945+0.01</f>
        <v/>
      </c>
      <c r="T946">
        <f>T945+0.7</f>
        <v/>
      </c>
      <c r="U946">
        <f>U945+1.1</f>
        <v/>
      </c>
      <c r="V946">
        <f>V945+0.25</f>
        <v/>
      </c>
      <c r="W946">
        <f>W945+0.5</f>
        <v/>
      </c>
    </row>
    <row r="947">
      <c r="E947">
        <f>O947=ROUND(936*0.1,10)</f>
        <v/>
      </c>
      <c r="F947">
        <f>P947=ROUND(936*0.2,10)</f>
        <v/>
      </c>
      <c r="G947">
        <f>Q947=ROUND(936*0.3,10)</f>
        <v/>
      </c>
      <c r="H947">
        <f>R947=ROUND(936*0.05,10)</f>
        <v/>
      </c>
      <c r="I947">
        <f>S947=ROUND(936*0.01,10)</f>
        <v/>
      </c>
      <c r="J947">
        <f>T947=ROUND(936*0.7,10)</f>
        <v/>
      </c>
      <c r="K947">
        <f>U947=ROUND(936*1.1,10)</f>
        <v/>
      </c>
      <c r="L947">
        <f>V947=ROUND(936*0.25,10)</f>
        <v/>
      </c>
      <c r="M947">
        <f>W947=ROUND(936*0.5,10)</f>
        <v/>
      </c>
      <c r="O947">
        <f>O946+0.1</f>
        <v/>
      </c>
      <c r="P947">
        <f>P946+0.2</f>
        <v/>
      </c>
      <c r="Q947">
        <f>Q946+0.3</f>
        <v/>
      </c>
      <c r="R947">
        <f>R946+0.05</f>
        <v/>
      </c>
      <c r="S947">
        <f>S946+0.01</f>
        <v/>
      </c>
      <c r="T947">
        <f>T946+0.7</f>
        <v/>
      </c>
      <c r="U947">
        <f>U946+1.1</f>
        <v/>
      </c>
      <c r="V947">
        <f>V946+0.25</f>
        <v/>
      </c>
      <c r="W947">
        <f>W946+0.5</f>
        <v/>
      </c>
    </row>
    <row r="948">
      <c r="E948">
        <f>O948=ROUND(937*0.1,10)</f>
        <v/>
      </c>
      <c r="F948">
        <f>P948=ROUND(937*0.2,10)</f>
        <v/>
      </c>
      <c r="G948">
        <f>Q948=ROUND(937*0.3,10)</f>
        <v/>
      </c>
      <c r="H948">
        <f>R948=ROUND(937*0.05,10)</f>
        <v/>
      </c>
      <c r="I948">
        <f>S948=ROUND(937*0.01,10)</f>
        <v/>
      </c>
      <c r="J948">
        <f>T948=ROUND(937*0.7,10)</f>
        <v/>
      </c>
      <c r="K948">
        <f>U948=ROUND(937*1.1,10)</f>
        <v/>
      </c>
      <c r="L948">
        <f>V948=ROUND(937*0.25,10)</f>
        <v/>
      </c>
      <c r="M948">
        <f>W948=ROUND(937*0.5,10)</f>
        <v/>
      </c>
      <c r="O948">
        <f>O947+0.1</f>
        <v/>
      </c>
      <c r="P948">
        <f>P947+0.2</f>
        <v/>
      </c>
      <c r="Q948">
        <f>Q947+0.3</f>
        <v/>
      </c>
      <c r="R948">
        <f>R947+0.05</f>
        <v/>
      </c>
      <c r="S948">
        <f>S947+0.01</f>
        <v/>
      </c>
      <c r="T948">
        <f>T947+0.7</f>
        <v/>
      </c>
      <c r="U948">
        <f>U947+1.1</f>
        <v/>
      </c>
      <c r="V948">
        <f>V947+0.25</f>
        <v/>
      </c>
      <c r="W948">
        <f>W947+0.5</f>
        <v/>
      </c>
    </row>
    <row r="949">
      <c r="E949">
        <f>O949=ROUND(938*0.1,10)</f>
        <v/>
      </c>
      <c r="F949">
        <f>P949=ROUND(938*0.2,10)</f>
        <v/>
      </c>
      <c r="G949">
        <f>Q949=ROUND(938*0.3,10)</f>
        <v/>
      </c>
      <c r="H949">
        <f>R949=ROUND(938*0.05,10)</f>
        <v/>
      </c>
      <c r="I949">
        <f>S949=ROUND(938*0.01,10)</f>
        <v/>
      </c>
      <c r="J949">
        <f>T949=ROUND(938*0.7,10)</f>
        <v/>
      </c>
      <c r="K949">
        <f>U949=ROUND(938*1.1,10)</f>
        <v/>
      </c>
      <c r="L949">
        <f>V949=ROUND(938*0.25,10)</f>
        <v/>
      </c>
      <c r="M949">
        <f>W949=ROUND(938*0.5,10)</f>
        <v/>
      </c>
      <c r="O949">
        <f>O948+0.1</f>
        <v/>
      </c>
      <c r="P949">
        <f>P948+0.2</f>
        <v/>
      </c>
      <c r="Q949">
        <f>Q948+0.3</f>
        <v/>
      </c>
      <c r="R949">
        <f>R948+0.05</f>
        <v/>
      </c>
      <c r="S949">
        <f>S948+0.01</f>
        <v/>
      </c>
      <c r="T949">
        <f>T948+0.7</f>
        <v/>
      </c>
      <c r="U949">
        <f>U948+1.1</f>
        <v/>
      </c>
      <c r="V949">
        <f>V948+0.25</f>
        <v/>
      </c>
      <c r="W949">
        <f>W948+0.5</f>
        <v/>
      </c>
    </row>
    <row r="950">
      <c r="E950">
        <f>O950=ROUND(939*0.1,10)</f>
        <v/>
      </c>
      <c r="F950">
        <f>P950=ROUND(939*0.2,10)</f>
        <v/>
      </c>
      <c r="G950">
        <f>Q950=ROUND(939*0.3,10)</f>
        <v/>
      </c>
      <c r="H950">
        <f>R950=ROUND(939*0.05,10)</f>
        <v/>
      </c>
      <c r="I950">
        <f>S950=ROUND(939*0.01,10)</f>
        <v/>
      </c>
      <c r="J950">
        <f>T950=ROUND(939*0.7,10)</f>
        <v/>
      </c>
      <c r="K950">
        <f>U950=ROUND(939*1.1,10)</f>
        <v/>
      </c>
      <c r="L950">
        <f>V950=ROUND(939*0.25,10)</f>
        <v/>
      </c>
      <c r="M950">
        <f>W950=ROUND(939*0.5,10)</f>
        <v/>
      </c>
      <c r="O950">
        <f>O949+0.1</f>
        <v/>
      </c>
      <c r="P950">
        <f>P949+0.2</f>
        <v/>
      </c>
      <c r="Q950">
        <f>Q949+0.3</f>
        <v/>
      </c>
      <c r="R950">
        <f>R949+0.05</f>
        <v/>
      </c>
      <c r="S950">
        <f>S949+0.01</f>
        <v/>
      </c>
      <c r="T950">
        <f>T949+0.7</f>
        <v/>
      </c>
      <c r="U950">
        <f>U949+1.1</f>
        <v/>
      </c>
      <c r="V950">
        <f>V949+0.25</f>
        <v/>
      </c>
      <c r="W950">
        <f>W949+0.5</f>
        <v/>
      </c>
    </row>
    <row r="951">
      <c r="E951">
        <f>O951=ROUND(940*0.1,10)</f>
        <v/>
      </c>
      <c r="F951">
        <f>P951=ROUND(940*0.2,10)</f>
        <v/>
      </c>
      <c r="G951">
        <f>Q951=ROUND(940*0.3,10)</f>
        <v/>
      </c>
      <c r="H951">
        <f>R951=ROUND(940*0.05,10)</f>
        <v/>
      </c>
      <c r="I951">
        <f>S951=ROUND(940*0.01,10)</f>
        <v/>
      </c>
      <c r="J951">
        <f>T951=ROUND(940*0.7,10)</f>
        <v/>
      </c>
      <c r="K951">
        <f>U951=ROUND(940*1.1,10)</f>
        <v/>
      </c>
      <c r="L951">
        <f>V951=ROUND(940*0.25,10)</f>
        <v/>
      </c>
      <c r="M951">
        <f>W951=ROUND(940*0.5,10)</f>
        <v/>
      </c>
      <c r="O951">
        <f>O950+0.1</f>
        <v/>
      </c>
      <c r="P951">
        <f>P950+0.2</f>
        <v/>
      </c>
      <c r="Q951">
        <f>Q950+0.3</f>
        <v/>
      </c>
      <c r="R951">
        <f>R950+0.05</f>
        <v/>
      </c>
      <c r="S951">
        <f>S950+0.01</f>
        <v/>
      </c>
      <c r="T951">
        <f>T950+0.7</f>
        <v/>
      </c>
      <c r="U951">
        <f>U950+1.1</f>
        <v/>
      </c>
      <c r="V951">
        <f>V950+0.25</f>
        <v/>
      </c>
      <c r="W951">
        <f>W950+0.5</f>
        <v/>
      </c>
    </row>
    <row r="952">
      <c r="E952">
        <f>O952=ROUND(941*0.1,10)</f>
        <v/>
      </c>
      <c r="F952">
        <f>P952=ROUND(941*0.2,10)</f>
        <v/>
      </c>
      <c r="G952">
        <f>Q952=ROUND(941*0.3,10)</f>
        <v/>
      </c>
      <c r="H952">
        <f>R952=ROUND(941*0.05,10)</f>
        <v/>
      </c>
      <c r="I952">
        <f>S952=ROUND(941*0.01,10)</f>
        <v/>
      </c>
      <c r="J952">
        <f>T952=ROUND(941*0.7,10)</f>
        <v/>
      </c>
      <c r="K952">
        <f>U952=ROUND(941*1.1,10)</f>
        <v/>
      </c>
      <c r="L952">
        <f>V952=ROUND(941*0.25,10)</f>
        <v/>
      </c>
      <c r="M952">
        <f>W952=ROUND(941*0.5,10)</f>
        <v/>
      </c>
      <c r="O952">
        <f>O951+0.1</f>
        <v/>
      </c>
      <c r="P952">
        <f>P951+0.2</f>
        <v/>
      </c>
      <c r="Q952">
        <f>Q951+0.3</f>
        <v/>
      </c>
      <c r="R952">
        <f>R951+0.05</f>
        <v/>
      </c>
      <c r="S952">
        <f>S951+0.01</f>
        <v/>
      </c>
      <c r="T952">
        <f>T951+0.7</f>
        <v/>
      </c>
      <c r="U952">
        <f>U951+1.1</f>
        <v/>
      </c>
      <c r="V952">
        <f>V951+0.25</f>
        <v/>
      </c>
      <c r="W952">
        <f>W951+0.5</f>
        <v/>
      </c>
    </row>
    <row r="953">
      <c r="E953">
        <f>O953=ROUND(942*0.1,10)</f>
        <v/>
      </c>
      <c r="F953">
        <f>P953=ROUND(942*0.2,10)</f>
        <v/>
      </c>
      <c r="G953">
        <f>Q953=ROUND(942*0.3,10)</f>
        <v/>
      </c>
      <c r="H953">
        <f>R953=ROUND(942*0.05,10)</f>
        <v/>
      </c>
      <c r="I953">
        <f>S953=ROUND(942*0.01,10)</f>
        <v/>
      </c>
      <c r="J953">
        <f>T953=ROUND(942*0.7,10)</f>
        <v/>
      </c>
      <c r="K953">
        <f>U953=ROUND(942*1.1,10)</f>
        <v/>
      </c>
      <c r="L953">
        <f>V953=ROUND(942*0.25,10)</f>
        <v/>
      </c>
      <c r="M953">
        <f>W953=ROUND(942*0.5,10)</f>
        <v/>
      </c>
      <c r="O953">
        <f>O952+0.1</f>
        <v/>
      </c>
      <c r="P953">
        <f>P952+0.2</f>
        <v/>
      </c>
      <c r="Q953">
        <f>Q952+0.3</f>
        <v/>
      </c>
      <c r="R953">
        <f>R952+0.05</f>
        <v/>
      </c>
      <c r="S953">
        <f>S952+0.01</f>
        <v/>
      </c>
      <c r="T953">
        <f>T952+0.7</f>
        <v/>
      </c>
      <c r="U953">
        <f>U952+1.1</f>
        <v/>
      </c>
      <c r="V953">
        <f>V952+0.25</f>
        <v/>
      </c>
      <c r="W953">
        <f>W952+0.5</f>
        <v/>
      </c>
    </row>
    <row r="954">
      <c r="E954">
        <f>O954=ROUND(943*0.1,10)</f>
        <v/>
      </c>
      <c r="F954">
        <f>P954=ROUND(943*0.2,10)</f>
        <v/>
      </c>
      <c r="G954">
        <f>Q954=ROUND(943*0.3,10)</f>
        <v/>
      </c>
      <c r="H954">
        <f>R954=ROUND(943*0.05,10)</f>
        <v/>
      </c>
      <c r="I954">
        <f>S954=ROUND(943*0.01,10)</f>
        <v/>
      </c>
      <c r="J954">
        <f>T954=ROUND(943*0.7,10)</f>
        <v/>
      </c>
      <c r="K954">
        <f>U954=ROUND(943*1.1,10)</f>
        <v/>
      </c>
      <c r="L954">
        <f>V954=ROUND(943*0.25,10)</f>
        <v/>
      </c>
      <c r="M954">
        <f>W954=ROUND(943*0.5,10)</f>
        <v/>
      </c>
      <c r="O954">
        <f>O953+0.1</f>
        <v/>
      </c>
      <c r="P954">
        <f>P953+0.2</f>
        <v/>
      </c>
      <c r="Q954">
        <f>Q953+0.3</f>
        <v/>
      </c>
      <c r="R954">
        <f>R953+0.05</f>
        <v/>
      </c>
      <c r="S954">
        <f>S953+0.01</f>
        <v/>
      </c>
      <c r="T954">
        <f>T953+0.7</f>
        <v/>
      </c>
      <c r="U954">
        <f>U953+1.1</f>
        <v/>
      </c>
      <c r="V954">
        <f>V953+0.25</f>
        <v/>
      </c>
      <c r="W954">
        <f>W953+0.5</f>
        <v/>
      </c>
    </row>
    <row r="955">
      <c r="E955">
        <f>O955=ROUND(944*0.1,10)</f>
        <v/>
      </c>
      <c r="F955">
        <f>P955=ROUND(944*0.2,10)</f>
        <v/>
      </c>
      <c r="G955">
        <f>Q955=ROUND(944*0.3,10)</f>
        <v/>
      </c>
      <c r="H955">
        <f>R955=ROUND(944*0.05,10)</f>
        <v/>
      </c>
      <c r="I955">
        <f>S955=ROUND(944*0.01,10)</f>
        <v/>
      </c>
      <c r="J955">
        <f>T955=ROUND(944*0.7,10)</f>
        <v/>
      </c>
      <c r="K955">
        <f>U955=ROUND(944*1.1,10)</f>
        <v/>
      </c>
      <c r="L955">
        <f>V955=ROUND(944*0.25,10)</f>
        <v/>
      </c>
      <c r="M955">
        <f>W955=ROUND(944*0.5,10)</f>
        <v/>
      </c>
      <c r="O955">
        <f>O954+0.1</f>
        <v/>
      </c>
      <c r="P955">
        <f>P954+0.2</f>
        <v/>
      </c>
      <c r="Q955">
        <f>Q954+0.3</f>
        <v/>
      </c>
      <c r="R955">
        <f>R954+0.05</f>
        <v/>
      </c>
      <c r="S955">
        <f>S954+0.01</f>
        <v/>
      </c>
      <c r="T955">
        <f>T954+0.7</f>
        <v/>
      </c>
      <c r="U955">
        <f>U954+1.1</f>
        <v/>
      </c>
      <c r="V955">
        <f>V954+0.25</f>
        <v/>
      </c>
      <c r="W955">
        <f>W954+0.5</f>
        <v/>
      </c>
    </row>
    <row r="956">
      <c r="E956">
        <f>O956=ROUND(945*0.1,10)</f>
        <v/>
      </c>
      <c r="F956">
        <f>P956=ROUND(945*0.2,10)</f>
        <v/>
      </c>
      <c r="G956">
        <f>Q956=ROUND(945*0.3,10)</f>
        <v/>
      </c>
      <c r="H956">
        <f>R956=ROUND(945*0.05,10)</f>
        <v/>
      </c>
      <c r="I956">
        <f>S956=ROUND(945*0.01,10)</f>
        <v/>
      </c>
      <c r="J956">
        <f>T956=ROUND(945*0.7,10)</f>
        <v/>
      </c>
      <c r="K956">
        <f>U956=ROUND(945*1.1,10)</f>
        <v/>
      </c>
      <c r="L956">
        <f>V956=ROUND(945*0.25,10)</f>
        <v/>
      </c>
      <c r="M956">
        <f>W956=ROUND(945*0.5,10)</f>
        <v/>
      </c>
      <c r="O956">
        <f>O955+0.1</f>
        <v/>
      </c>
      <c r="P956">
        <f>P955+0.2</f>
        <v/>
      </c>
      <c r="Q956">
        <f>Q955+0.3</f>
        <v/>
      </c>
      <c r="R956">
        <f>R955+0.05</f>
        <v/>
      </c>
      <c r="S956">
        <f>S955+0.01</f>
        <v/>
      </c>
      <c r="T956">
        <f>T955+0.7</f>
        <v/>
      </c>
      <c r="U956">
        <f>U955+1.1</f>
        <v/>
      </c>
      <c r="V956">
        <f>V955+0.25</f>
        <v/>
      </c>
      <c r="W956">
        <f>W955+0.5</f>
        <v/>
      </c>
    </row>
    <row r="957">
      <c r="E957">
        <f>O957=ROUND(946*0.1,10)</f>
        <v/>
      </c>
      <c r="F957">
        <f>P957=ROUND(946*0.2,10)</f>
        <v/>
      </c>
      <c r="G957">
        <f>Q957=ROUND(946*0.3,10)</f>
        <v/>
      </c>
      <c r="H957">
        <f>R957=ROUND(946*0.05,10)</f>
        <v/>
      </c>
      <c r="I957">
        <f>S957=ROUND(946*0.01,10)</f>
        <v/>
      </c>
      <c r="J957">
        <f>T957=ROUND(946*0.7,10)</f>
        <v/>
      </c>
      <c r="K957">
        <f>U957=ROUND(946*1.1,10)</f>
        <v/>
      </c>
      <c r="L957">
        <f>V957=ROUND(946*0.25,10)</f>
        <v/>
      </c>
      <c r="M957">
        <f>W957=ROUND(946*0.5,10)</f>
        <v/>
      </c>
      <c r="O957">
        <f>O956+0.1</f>
        <v/>
      </c>
      <c r="P957">
        <f>P956+0.2</f>
        <v/>
      </c>
      <c r="Q957">
        <f>Q956+0.3</f>
        <v/>
      </c>
      <c r="R957">
        <f>R956+0.05</f>
        <v/>
      </c>
      <c r="S957">
        <f>S956+0.01</f>
        <v/>
      </c>
      <c r="T957">
        <f>T956+0.7</f>
        <v/>
      </c>
      <c r="U957">
        <f>U956+1.1</f>
        <v/>
      </c>
      <c r="V957">
        <f>V956+0.25</f>
        <v/>
      </c>
      <c r="W957">
        <f>W956+0.5</f>
        <v/>
      </c>
    </row>
    <row r="958">
      <c r="E958">
        <f>O958=ROUND(947*0.1,10)</f>
        <v/>
      </c>
      <c r="F958">
        <f>P958=ROUND(947*0.2,10)</f>
        <v/>
      </c>
      <c r="G958">
        <f>Q958=ROUND(947*0.3,10)</f>
        <v/>
      </c>
      <c r="H958">
        <f>R958=ROUND(947*0.05,10)</f>
        <v/>
      </c>
      <c r="I958">
        <f>S958=ROUND(947*0.01,10)</f>
        <v/>
      </c>
      <c r="J958">
        <f>T958=ROUND(947*0.7,10)</f>
        <v/>
      </c>
      <c r="K958">
        <f>U958=ROUND(947*1.1,10)</f>
        <v/>
      </c>
      <c r="L958">
        <f>V958=ROUND(947*0.25,10)</f>
        <v/>
      </c>
      <c r="M958">
        <f>W958=ROUND(947*0.5,10)</f>
        <v/>
      </c>
      <c r="O958">
        <f>O957+0.1</f>
        <v/>
      </c>
      <c r="P958">
        <f>P957+0.2</f>
        <v/>
      </c>
      <c r="Q958">
        <f>Q957+0.3</f>
        <v/>
      </c>
      <c r="R958">
        <f>R957+0.05</f>
        <v/>
      </c>
      <c r="S958">
        <f>S957+0.01</f>
        <v/>
      </c>
      <c r="T958">
        <f>T957+0.7</f>
        <v/>
      </c>
      <c r="U958">
        <f>U957+1.1</f>
        <v/>
      </c>
      <c r="V958">
        <f>V957+0.25</f>
        <v/>
      </c>
      <c r="W958">
        <f>W957+0.5</f>
        <v/>
      </c>
    </row>
    <row r="959">
      <c r="E959">
        <f>O959=ROUND(948*0.1,10)</f>
        <v/>
      </c>
      <c r="F959">
        <f>P959=ROUND(948*0.2,10)</f>
        <v/>
      </c>
      <c r="G959">
        <f>Q959=ROUND(948*0.3,10)</f>
        <v/>
      </c>
      <c r="H959">
        <f>R959=ROUND(948*0.05,10)</f>
        <v/>
      </c>
      <c r="I959">
        <f>S959=ROUND(948*0.01,10)</f>
        <v/>
      </c>
      <c r="J959">
        <f>T959=ROUND(948*0.7,10)</f>
        <v/>
      </c>
      <c r="K959">
        <f>U959=ROUND(948*1.1,10)</f>
        <v/>
      </c>
      <c r="L959">
        <f>V959=ROUND(948*0.25,10)</f>
        <v/>
      </c>
      <c r="M959">
        <f>W959=ROUND(948*0.5,10)</f>
        <v/>
      </c>
      <c r="O959">
        <f>O958+0.1</f>
        <v/>
      </c>
      <c r="P959">
        <f>P958+0.2</f>
        <v/>
      </c>
      <c r="Q959">
        <f>Q958+0.3</f>
        <v/>
      </c>
      <c r="R959">
        <f>R958+0.05</f>
        <v/>
      </c>
      <c r="S959">
        <f>S958+0.01</f>
        <v/>
      </c>
      <c r="T959">
        <f>T958+0.7</f>
        <v/>
      </c>
      <c r="U959">
        <f>U958+1.1</f>
        <v/>
      </c>
      <c r="V959">
        <f>V958+0.25</f>
        <v/>
      </c>
      <c r="W959">
        <f>W958+0.5</f>
        <v/>
      </c>
    </row>
    <row r="960">
      <c r="E960">
        <f>O960=ROUND(949*0.1,10)</f>
        <v/>
      </c>
      <c r="F960">
        <f>P960=ROUND(949*0.2,10)</f>
        <v/>
      </c>
      <c r="G960">
        <f>Q960=ROUND(949*0.3,10)</f>
        <v/>
      </c>
      <c r="H960">
        <f>R960=ROUND(949*0.05,10)</f>
        <v/>
      </c>
      <c r="I960">
        <f>S960=ROUND(949*0.01,10)</f>
        <v/>
      </c>
      <c r="J960">
        <f>T960=ROUND(949*0.7,10)</f>
        <v/>
      </c>
      <c r="K960">
        <f>U960=ROUND(949*1.1,10)</f>
        <v/>
      </c>
      <c r="L960">
        <f>V960=ROUND(949*0.25,10)</f>
        <v/>
      </c>
      <c r="M960">
        <f>W960=ROUND(949*0.5,10)</f>
        <v/>
      </c>
      <c r="O960">
        <f>O959+0.1</f>
        <v/>
      </c>
      <c r="P960">
        <f>P959+0.2</f>
        <v/>
      </c>
      <c r="Q960">
        <f>Q959+0.3</f>
        <v/>
      </c>
      <c r="R960">
        <f>R959+0.05</f>
        <v/>
      </c>
      <c r="S960">
        <f>S959+0.01</f>
        <v/>
      </c>
      <c r="T960">
        <f>T959+0.7</f>
        <v/>
      </c>
      <c r="U960">
        <f>U959+1.1</f>
        <v/>
      </c>
      <c r="V960">
        <f>V959+0.25</f>
        <v/>
      </c>
      <c r="W960">
        <f>W959+0.5</f>
        <v/>
      </c>
    </row>
    <row r="961">
      <c r="E961">
        <f>O961=ROUND(950*0.1,10)</f>
        <v/>
      </c>
      <c r="F961">
        <f>P961=ROUND(950*0.2,10)</f>
        <v/>
      </c>
      <c r="G961">
        <f>Q961=ROUND(950*0.3,10)</f>
        <v/>
      </c>
      <c r="H961">
        <f>R961=ROUND(950*0.05,10)</f>
        <v/>
      </c>
      <c r="I961">
        <f>S961=ROUND(950*0.01,10)</f>
        <v/>
      </c>
      <c r="J961">
        <f>T961=ROUND(950*0.7,10)</f>
        <v/>
      </c>
      <c r="K961">
        <f>U961=ROUND(950*1.1,10)</f>
        <v/>
      </c>
      <c r="L961">
        <f>V961=ROUND(950*0.25,10)</f>
        <v/>
      </c>
      <c r="M961">
        <f>W961=ROUND(950*0.5,10)</f>
        <v/>
      </c>
      <c r="O961">
        <f>O960+0.1</f>
        <v/>
      </c>
      <c r="P961">
        <f>P960+0.2</f>
        <v/>
      </c>
      <c r="Q961">
        <f>Q960+0.3</f>
        <v/>
      </c>
      <c r="R961">
        <f>R960+0.05</f>
        <v/>
      </c>
      <c r="S961">
        <f>S960+0.01</f>
        <v/>
      </c>
      <c r="T961">
        <f>T960+0.7</f>
        <v/>
      </c>
      <c r="U961">
        <f>U960+1.1</f>
        <v/>
      </c>
      <c r="V961">
        <f>V960+0.25</f>
        <v/>
      </c>
      <c r="W961">
        <f>W960+0.5</f>
        <v/>
      </c>
    </row>
    <row r="962">
      <c r="E962">
        <f>O962=ROUND(951*0.1,10)</f>
        <v/>
      </c>
      <c r="F962">
        <f>P962=ROUND(951*0.2,10)</f>
        <v/>
      </c>
      <c r="G962">
        <f>Q962=ROUND(951*0.3,10)</f>
        <v/>
      </c>
      <c r="H962">
        <f>R962=ROUND(951*0.05,10)</f>
        <v/>
      </c>
      <c r="I962">
        <f>S962=ROUND(951*0.01,10)</f>
        <v/>
      </c>
      <c r="J962">
        <f>T962=ROUND(951*0.7,10)</f>
        <v/>
      </c>
      <c r="K962">
        <f>U962=ROUND(951*1.1,10)</f>
        <v/>
      </c>
      <c r="L962">
        <f>V962=ROUND(951*0.25,10)</f>
        <v/>
      </c>
      <c r="M962">
        <f>W962=ROUND(951*0.5,10)</f>
        <v/>
      </c>
      <c r="O962">
        <f>O961+0.1</f>
        <v/>
      </c>
      <c r="P962">
        <f>P961+0.2</f>
        <v/>
      </c>
      <c r="Q962">
        <f>Q961+0.3</f>
        <v/>
      </c>
      <c r="R962">
        <f>R961+0.05</f>
        <v/>
      </c>
      <c r="S962">
        <f>S961+0.01</f>
        <v/>
      </c>
      <c r="T962">
        <f>T961+0.7</f>
        <v/>
      </c>
      <c r="U962">
        <f>U961+1.1</f>
        <v/>
      </c>
      <c r="V962">
        <f>V961+0.25</f>
        <v/>
      </c>
      <c r="W962">
        <f>W961+0.5</f>
        <v/>
      </c>
    </row>
    <row r="963">
      <c r="E963">
        <f>O963=ROUND(952*0.1,10)</f>
        <v/>
      </c>
      <c r="F963">
        <f>P963=ROUND(952*0.2,10)</f>
        <v/>
      </c>
      <c r="G963">
        <f>Q963=ROUND(952*0.3,10)</f>
        <v/>
      </c>
      <c r="H963">
        <f>R963=ROUND(952*0.05,10)</f>
        <v/>
      </c>
      <c r="I963">
        <f>S963=ROUND(952*0.01,10)</f>
        <v/>
      </c>
      <c r="J963">
        <f>T963=ROUND(952*0.7,10)</f>
        <v/>
      </c>
      <c r="K963">
        <f>U963=ROUND(952*1.1,10)</f>
        <v/>
      </c>
      <c r="L963">
        <f>V963=ROUND(952*0.25,10)</f>
        <v/>
      </c>
      <c r="M963">
        <f>W963=ROUND(952*0.5,10)</f>
        <v/>
      </c>
      <c r="O963">
        <f>O962+0.1</f>
        <v/>
      </c>
      <c r="P963">
        <f>P962+0.2</f>
        <v/>
      </c>
      <c r="Q963">
        <f>Q962+0.3</f>
        <v/>
      </c>
      <c r="R963">
        <f>R962+0.05</f>
        <v/>
      </c>
      <c r="S963">
        <f>S962+0.01</f>
        <v/>
      </c>
      <c r="T963">
        <f>T962+0.7</f>
        <v/>
      </c>
      <c r="U963">
        <f>U962+1.1</f>
        <v/>
      </c>
      <c r="V963">
        <f>V962+0.25</f>
        <v/>
      </c>
      <c r="W963">
        <f>W962+0.5</f>
        <v/>
      </c>
    </row>
    <row r="964">
      <c r="E964">
        <f>O964=ROUND(953*0.1,10)</f>
        <v/>
      </c>
      <c r="F964">
        <f>P964=ROUND(953*0.2,10)</f>
        <v/>
      </c>
      <c r="G964">
        <f>Q964=ROUND(953*0.3,10)</f>
        <v/>
      </c>
      <c r="H964">
        <f>R964=ROUND(953*0.05,10)</f>
        <v/>
      </c>
      <c r="I964">
        <f>S964=ROUND(953*0.01,10)</f>
        <v/>
      </c>
      <c r="J964">
        <f>T964=ROUND(953*0.7,10)</f>
        <v/>
      </c>
      <c r="K964">
        <f>U964=ROUND(953*1.1,10)</f>
        <v/>
      </c>
      <c r="L964">
        <f>V964=ROUND(953*0.25,10)</f>
        <v/>
      </c>
      <c r="M964">
        <f>W964=ROUND(953*0.5,10)</f>
        <v/>
      </c>
      <c r="O964">
        <f>O963+0.1</f>
        <v/>
      </c>
      <c r="P964">
        <f>P963+0.2</f>
        <v/>
      </c>
      <c r="Q964">
        <f>Q963+0.3</f>
        <v/>
      </c>
      <c r="R964">
        <f>R963+0.05</f>
        <v/>
      </c>
      <c r="S964">
        <f>S963+0.01</f>
        <v/>
      </c>
      <c r="T964">
        <f>T963+0.7</f>
        <v/>
      </c>
      <c r="U964">
        <f>U963+1.1</f>
        <v/>
      </c>
      <c r="V964">
        <f>V963+0.25</f>
        <v/>
      </c>
      <c r="W964">
        <f>W963+0.5</f>
        <v/>
      </c>
    </row>
    <row r="965">
      <c r="E965">
        <f>O965=ROUND(954*0.1,10)</f>
        <v/>
      </c>
      <c r="F965">
        <f>P965=ROUND(954*0.2,10)</f>
        <v/>
      </c>
      <c r="G965">
        <f>Q965=ROUND(954*0.3,10)</f>
        <v/>
      </c>
      <c r="H965">
        <f>R965=ROUND(954*0.05,10)</f>
        <v/>
      </c>
      <c r="I965">
        <f>S965=ROUND(954*0.01,10)</f>
        <v/>
      </c>
      <c r="J965">
        <f>T965=ROUND(954*0.7,10)</f>
        <v/>
      </c>
      <c r="K965">
        <f>U965=ROUND(954*1.1,10)</f>
        <v/>
      </c>
      <c r="L965">
        <f>V965=ROUND(954*0.25,10)</f>
        <v/>
      </c>
      <c r="M965">
        <f>W965=ROUND(954*0.5,10)</f>
        <v/>
      </c>
      <c r="O965">
        <f>O964+0.1</f>
        <v/>
      </c>
      <c r="P965">
        <f>P964+0.2</f>
        <v/>
      </c>
      <c r="Q965">
        <f>Q964+0.3</f>
        <v/>
      </c>
      <c r="R965">
        <f>R964+0.05</f>
        <v/>
      </c>
      <c r="S965">
        <f>S964+0.01</f>
        <v/>
      </c>
      <c r="T965">
        <f>T964+0.7</f>
        <v/>
      </c>
      <c r="U965">
        <f>U964+1.1</f>
        <v/>
      </c>
      <c r="V965">
        <f>V964+0.25</f>
        <v/>
      </c>
      <c r="W965">
        <f>W964+0.5</f>
        <v/>
      </c>
    </row>
    <row r="966">
      <c r="E966">
        <f>O966=ROUND(955*0.1,10)</f>
        <v/>
      </c>
      <c r="F966">
        <f>P966=ROUND(955*0.2,10)</f>
        <v/>
      </c>
      <c r="G966">
        <f>Q966=ROUND(955*0.3,10)</f>
        <v/>
      </c>
      <c r="H966">
        <f>R966=ROUND(955*0.05,10)</f>
        <v/>
      </c>
      <c r="I966">
        <f>S966=ROUND(955*0.01,10)</f>
        <v/>
      </c>
      <c r="J966">
        <f>T966=ROUND(955*0.7,10)</f>
        <v/>
      </c>
      <c r="K966">
        <f>U966=ROUND(955*1.1,10)</f>
        <v/>
      </c>
      <c r="L966">
        <f>V966=ROUND(955*0.25,10)</f>
        <v/>
      </c>
      <c r="M966">
        <f>W966=ROUND(955*0.5,10)</f>
        <v/>
      </c>
      <c r="O966">
        <f>O965+0.1</f>
        <v/>
      </c>
      <c r="P966">
        <f>P965+0.2</f>
        <v/>
      </c>
      <c r="Q966">
        <f>Q965+0.3</f>
        <v/>
      </c>
      <c r="R966">
        <f>R965+0.05</f>
        <v/>
      </c>
      <c r="S966">
        <f>S965+0.01</f>
        <v/>
      </c>
      <c r="T966">
        <f>T965+0.7</f>
        <v/>
      </c>
      <c r="U966">
        <f>U965+1.1</f>
        <v/>
      </c>
      <c r="V966">
        <f>V965+0.25</f>
        <v/>
      </c>
      <c r="W966">
        <f>W965+0.5</f>
        <v/>
      </c>
    </row>
    <row r="967">
      <c r="E967">
        <f>O967=ROUND(956*0.1,10)</f>
        <v/>
      </c>
      <c r="F967">
        <f>P967=ROUND(956*0.2,10)</f>
        <v/>
      </c>
      <c r="G967">
        <f>Q967=ROUND(956*0.3,10)</f>
        <v/>
      </c>
      <c r="H967">
        <f>R967=ROUND(956*0.05,10)</f>
        <v/>
      </c>
      <c r="I967">
        <f>S967=ROUND(956*0.01,10)</f>
        <v/>
      </c>
      <c r="J967">
        <f>T967=ROUND(956*0.7,10)</f>
        <v/>
      </c>
      <c r="K967">
        <f>U967=ROUND(956*1.1,10)</f>
        <v/>
      </c>
      <c r="L967">
        <f>V967=ROUND(956*0.25,10)</f>
        <v/>
      </c>
      <c r="M967">
        <f>W967=ROUND(956*0.5,10)</f>
        <v/>
      </c>
      <c r="O967">
        <f>O966+0.1</f>
        <v/>
      </c>
      <c r="P967">
        <f>P966+0.2</f>
        <v/>
      </c>
      <c r="Q967">
        <f>Q966+0.3</f>
        <v/>
      </c>
      <c r="R967">
        <f>R966+0.05</f>
        <v/>
      </c>
      <c r="S967">
        <f>S966+0.01</f>
        <v/>
      </c>
      <c r="T967">
        <f>T966+0.7</f>
        <v/>
      </c>
      <c r="U967">
        <f>U966+1.1</f>
        <v/>
      </c>
      <c r="V967">
        <f>V966+0.25</f>
        <v/>
      </c>
      <c r="W967">
        <f>W966+0.5</f>
        <v/>
      </c>
    </row>
    <row r="968">
      <c r="E968">
        <f>O968=ROUND(957*0.1,10)</f>
        <v/>
      </c>
      <c r="F968">
        <f>P968=ROUND(957*0.2,10)</f>
        <v/>
      </c>
      <c r="G968">
        <f>Q968=ROUND(957*0.3,10)</f>
        <v/>
      </c>
      <c r="H968">
        <f>R968=ROUND(957*0.05,10)</f>
        <v/>
      </c>
      <c r="I968">
        <f>S968=ROUND(957*0.01,10)</f>
        <v/>
      </c>
      <c r="J968">
        <f>T968=ROUND(957*0.7,10)</f>
        <v/>
      </c>
      <c r="K968">
        <f>U968=ROUND(957*1.1,10)</f>
        <v/>
      </c>
      <c r="L968">
        <f>V968=ROUND(957*0.25,10)</f>
        <v/>
      </c>
      <c r="M968">
        <f>W968=ROUND(957*0.5,10)</f>
        <v/>
      </c>
      <c r="O968">
        <f>O967+0.1</f>
        <v/>
      </c>
      <c r="P968">
        <f>P967+0.2</f>
        <v/>
      </c>
      <c r="Q968">
        <f>Q967+0.3</f>
        <v/>
      </c>
      <c r="R968">
        <f>R967+0.05</f>
        <v/>
      </c>
      <c r="S968">
        <f>S967+0.01</f>
        <v/>
      </c>
      <c r="T968">
        <f>T967+0.7</f>
        <v/>
      </c>
      <c r="U968">
        <f>U967+1.1</f>
        <v/>
      </c>
      <c r="V968">
        <f>V967+0.25</f>
        <v/>
      </c>
      <c r="W968">
        <f>W967+0.5</f>
        <v/>
      </c>
    </row>
    <row r="969">
      <c r="E969">
        <f>O969=ROUND(958*0.1,10)</f>
        <v/>
      </c>
      <c r="F969">
        <f>P969=ROUND(958*0.2,10)</f>
        <v/>
      </c>
      <c r="G969">
        <f>Q969=ROUND(958*0.3,10)</f>
        <v/>
      </c>
      <c r="H969">
        <f>R969=ROUND(958*0.05,10)</f>
        <v/>
      </c>
      <c r="I969">
        <f>S969=ROUND(958*0.01,10)</f>
        <v/>
      </c>
      <c r="J969">
        <f>T969=ROUND(958*0.7,10)</f>
        <v/>
      </c>
      <c r="K969">
        <f>U969=ROUND(958*1.1,10)</f>
        <v/>
      </c>
      <c r="L969">
        <f>V969=ROUND(958*0.25,10)</f>
        <v/>
      </c>
      <c r="M969">
        <f>W969=ROUND(958*0.5,10)</f>
        <v/>
      </c>
      <c r="O969">
        <f>O968+0.1</f>
        <v/>
      </c>
      <c r="P969">
        <f>P968+0.2</f>
        <v/>
      </c>
      <c r="Q969">
        <f>Q968+0.3</f>
        <v/>
      </c>
      <c r="R969">
        <f>R968+0.05</f>
        <v/>
      </c>
      <c r="S969">
        <f>S968+0.01</f>
        <v/>
      </c>
      <c r="T969">
        <f>T968+0.7</f>
        <v/>
      </c>
      <c r="U969">
        <f>U968+1.1</f>
        <v/>
      </c>
      <c r="V969">
        <f>V968+0.25</f>
        <v/>
      </c>
      <c r="W969">
        <f>W968+0.5</f>
        <v/>
      </c>
    </row>
    <row r="970">
      <c r="E970">
        <f>O970=ROUND(959*0.1,10)</f>
        <v/>
      </c>
      <c r="F970">
        <f>P970=ROUND(959*0.2,10)</f>
        <v/>
      </c>
      <c r="G970">
        <f>Q970=ROUND(959*0.3,10)</f>
        <v/>
      </c>
      <c r="H970">
        <f>R970=ROUND(959*0.05,10)</f>
        <v/>
      </c>
      <c r="I970">
        <f>S970=ROUND(959*0.01,10)</f>
        <v/>
      </c>
      <c r="J970">
        <f>T970=ROUND(959*0.7,10)</f>
        <v/>
      </c>
      <c r="K970">
        <f>U970=ROUND(959*1.1,10)</f>
        <v/>
      </c>
      <c r="L970">
        <f>V970=ROUND(959*0.25,10)</f>
        <v/>
      </c>
      <c r="M970">
        <f>W970=ROUND(959*0.5,10)</f>
        <v/>
      </c>
      <c r="O970">
        <f>O969+0.1</f>
        <v/>
      </c>
      <c r="P970">
        <f>P969+0.2</f>
        <v/>
      </c>
      <c r="Q970">
        <f>Q969+0.3</f>
        <v/>
      </c>
      <c r="R970">
        <f>R969+0.05</f>
        <v/>
      </c>
      <c r="S970">
        <f>S969+0.01</f>
        <v/>
      </c>
      <c r="T970">
        <f>T969+0.7</f>
        <v/>
      </c>
      <c r="U970">
        <f>U969+1.1</f>
        <v/>
      </c>
      <c r="V970">
        <f>V969+0.25</f>
        <v/>
      </c>
      <c r="W970">
        <f>W969+0.5</f>
        <v/>
      </c>
    </row>
    <row r="971">
      <c r="E971">
        <f>O971=ROUND(960*0.1,10)</f>
        <v/>
      </c>
      <c r="F971">
        <f>P971=ROUND(960*0.2,10)</f>
        <v/>
      </c>
      <c r="G971">
        <f>Q971=ROUND(960*0.3,10)</f>
        <v/>
      </c>
      <c r="H971">
        <f>R971=ROUND(960*0.05,10)</f>
        <v/>
      </c>
      <c r="I971">
        <f>S971=ROUND(960*0.01,10)</f>
        <v/>
      </c>
      <c r="J971">
        <f>T971=ROUND(960*0.7,10)</f>
        <v/>
      </c>
      <c r="K971">
        <f>U971=ROUND(960*1.1,10)</f>
        <v/>
      </c>
      <c r="L971">
        <f>V971=ROUND(960*0.25,10)</f>
        <v/>
      </c>
      <c r="M971">
        <f>W971=ROUND(960*0.5,10)</f>
        <v/>
      </c>
      <c r="O971">
        <f>O970+0.1</f>
        <v/>
      </c>
      <c r="P971">
        <f>P970+0.2</f>
        <v/>
      </c>
      <c r="Q971">
        <f>Q970+0.3</f>
        <v/>
      </c>
      <c r="R971">
        <f>R970+0.05</f>
        <v/>
      </c>
      <c r="S971">
        <f>S970+0.01</f>
        <v/>
      </c>
      <c r="T971">
        <f>T970+0.7</f>
        <v/>
      </c>
      <c r="U971">
        <f>U970+1.1</f>
        <v/>
      </c>
      <c r="V971">
        <f>V970+0.25</f>
        <v/>
      </c>
      <c r="W971">
        <f>W970+0.5</f>
        <v/>
      </c>
    </row>
    <row r="972">
      <c r="E972">
        <f>O972=ROUND(961*0.1,10)</f>
        <v/>
      </c>
      <c r="F972">
        <f>P972=ROUND(961*0.2,10)</f>
        <v/>
      </c>
      <c r="G972">
        <f>Q972=ROUND(961*0.3,10)</f>
        <v/>
      </c>
      <c r="H972">
        <f>R972=ROUND(961*0.05,10)</f>
        <v/>
      </c>
      <c r="I972">
        <f>S972=ROUND(961*0.01,10)</f>
        <v/>
      </c>
      <c r="J972">
        <f>T972=ROUND(961*0.7,10)</f>
        <v/>
      </c>
      <c r="K972">
        <f>U972=ROUND(961*1.1,10)</f>
        <v/>
      </c>
      <c r="L972">
        <f>V972=ROUND(961*0.25,10)</f>
        <v/>
      </c>
      <c r="M972">
        <f>W972=ROUND(961*0.5,10)</f>
        <v/>
      </c>
      <c r="O972">
        <f>O971+0.1</f>
        <v/>
      </c>
      <c r="P972">
        <f>P971+0.2</f>
        <v/>
      </c>
      <c r="Q972">
        <f>Q971+0.3</f>
        <v/>
      </c>
      <c r="R972">
        <f>R971+0.05</f>
        <v/>
      </c>
      <c r="S972">
        <f>S971+0.01</f>
        <v/>
      </c>
      <c r="T972">
        <f>T971+0.7</f>
        <v/>
      </c>
      <c r="U972">
        <f>U971+1.1</f>
        <v/>
      </c>
      <c r="V972">
        <f>V971+0.25</f>
        <v/>
      </c>
      <c r="W972">
        <f>W971+0.5</f>
        <v/>
      </c>
    </row>
    <row r="973">
      <c r="E973">
        <f>O973=ROUND(962*0.1,10)</f>
        <v/>
      </c>
      <c r="F973">
        <f>P973=ROUND(962*0.2,10)</f>
        <v/>
      </c>
      <c r="G973">
        <f>Q973=ROUND(962*0.3,10)</f>
        <v/>
      </c>
      <c r="H973">
        <f>R973=ROUND(962*0.05,10)</f>
        <v/>
      </c>
      <c r="I973">
        <f>S973=ROUND(962*0.01,10)</f>
        <v/>
      </c>
      <c r="J973">
        <f>T973=ROUND(962*0.7,10)</f>
        <v/>
      </c>
      <c r="K973">
        <f>U973=ROUND(962*1.1,10)</f>
        <v/>
      </c>
      <c r="L973">
        <f>V973=ROUND(962*0.25,10)</f>
        <v/>
      </c>
      <c r="M973">
        <f>W973=ROUND(962*0.5,10)</f>
        <v/>
      </c>
      <c r="O973">
        <f>O972+0.1</f>
        <v/>
      </c>
      <c r="P973">
        <f>P972+0.2</f>
        <v/>
      </c>
      <c r="Q973">
        <f>Q972+0.3</f>
        <v/>
      </c>
      <c r="R973">
        <f>R972+0.05</f>
        <v/>
      </c>
      <c r="S973">
        <f>S972+0.01</f>
        <v/>
      </c>
      <c r="T973">
        <f>T972+0.7</f>
        <v/>
      </c>
      <c r="U973">
        <f>U972+1.1</f>
        <v/>
      </c>
      <c r="V973">
        <f>V972+0.25</f>
        <v/>
      </c>
      <c r="W973">
        <f>W972+0.5</f>
        <v/>
      </c>
    </row>
    <row r="974">
      <c r="E974">
        <f>O974=ROUND(963*0.1,10)</f>
        <v/>
      </c>
      <c r="F974">
        <f>P974=ROUND(963*0.2,10)</f>
        <v/>
      </c>
      <c r="G974">
        <f>Q974=ROUND(963*0.3,10)</f>
        <v/>
      </c>
      <c r="H974">
        <f>R974=ROUND(963*0.05,10)</f>
        <v/>
      </c>
      <c r="I974">
        <f>S974=ROUND(963*0.01,10)</f>
        <v/>
      </c>
      <c r="J974">
        <f>T974=ROUND(963*0.7,10)</f>
        <v/>
      </c>
      <c r="K974">
        <f>U974=ROUND(963*1.1,10)</f>
        <v/>
      </c>
      <c r="L974">
        <f>V974=ROUND(963*0.25,10)</f>
        <v/>
      </c>
      <c r="M974">
        <f>W974=ROUND(963*0.5,10)</f>
        <v/>
      </c>
      <c r="O974">
        <f>O973+0.1</f>
        <v/>
      </c>
      <c r="P974">
        <f>P973+0.2</f>
        <v/>
      </c>
      <c r="Q974">
        <f>Q973+0.3</f>
        <v/>
      </c>
      <c r="R974">
        <f>R973+0.05</f>
        <v/>
      </c>
      <c r="S974">
        <f>S973+0.01</f>
        <v/>
      </c>
      <c r="T974">
        <f>T973+0.7</f>
        <v/>
      </c>
      <c r="U974">
        <f>U973+1.1</f>
        <v/>
      </c>
      <c r="V974">
        <f>V973+0.25</f>
        <v/>
      </c>
      <c r="W974">
        <f>W973+0.5</f>
        <v/>
      </c>
    </row>
    <row r="975">
      <c r="E975">
        <f>O975=ROUND(964*0.1,10)</f>
        <v/>
      </c>
      <c r="F975">
        <f>P975=ROUND(964*0.2,10)</f>
        <v/>
      </c>
      <c r="G975">
        <f>Q975=ROUND(964*0.3,10)</f>
        <v/>
      </c>
      <c r="H975">
        <f>R975=ROUND(964*0.05,10)</f>
        <v/>
      </c>
      <c r="I975">
        <f>S975=ROUND(964*0.01,10)</f>
        <v/>
      </c>
      <c r="J975">
        <f>T975=ROUND(964*0.7,10)</f>
        <v/>
      </c>
      <c r="K975">
        <f>U975=ROUND(964*1.1,10)</f>
        <v/>
      </c>
      <c r="L975">
        <f>V975=ROUND(964*0.25,10)</f>
        <v/>
      </c>
      <c r="M975">
        <f>W975=ROUND(964*0.5,10)</f>
        <v/>
      </c>
      <c r="O975">
        <f>O974+0.1</f>
        <v/>
      </c>
      <c r="P975">
        <f>P974+0.2</f>
        <v/>
      </c>
      <c r="Q975">
        <f>Q974+0.3</f>
        <v/>
      </c>
      <c r="R975">
        <f>R974+0.05</f>
        <v/>
      </c>
      <c r="S975">
        <f>S974+0.01</f>
        <v/>
      </c>
      <c r="T975">
        <f>T974+0.7</f>
        <v/>
      </c>
      <c r="U975">
        <f>U974+1.1</f>
        <v/>
      </c>
      <c r="V975">
        <f>V974+0.25</f>
        <v/>
      </c>
      <c r="W975">
        <f>W974+0.5</f>
        <v/>
      </c>
    </row>
    <row r="976">
      <c r="E976">
        <f>O976=ROUND(965*0.1,10)</f>
        <v/>
      </c>
      <c r="F976">
        <f>P976=ROUND(965*0.2,10)</f>
        <v/>
      </c>
      <c r="G976">
        <f>Q976=ROUND(965*0.3,10)</f>
        <v/>
      </c>
      <c r="H976">
        <f>R976=ROUND(965*0.05,10)</f>
        <v/>
      </c>
      <c r="I976">
        <f>S976=ROUND(965*0.01,10)</f>
        <v/>
      </c>
      <c r="J976">
        <f>T976=ROUND(965*0.7,10)</f>
        <v/>
      </c>
      <c r="K976">
        <f>U976=ROUND(965*1.1,10)</f>
        <v/>
      </c>
      <c r="L976">
        <f>V976=ROUND(965*0.25,10)</f>
        <v/>
      </c>
      <c r="M976">
        <f>W976=ROUND(965*0.5,10)</f>
        <v/>
      </c>
      <c r="O976">
        <f>O975+0.1</f>
        <v/>
      </c>
      <c r="P976">
        <f>P975+0.2</f>
        <v/>
      </c>
      <c r="Q976">
        <f>Q975+0.3</f>
        <v/>
      </c>
      <c r="R976">
        <f>R975+0.05</f>
        <v/>
      </c>
      <c r="S976">
        <f>S975+0.01</f>
        <v/>
      </c>
      <c r="T976">
        <f>T975+0.7</f>
        <v/>
      </c>
      <c r="U976">
        <f>U975+1.1</f>
        <v/>
      </c>
      <c r="V976">
        <f>V975+0.25</f>
        <v/>
      </c>
      <c r="W976">
        <f>W975+0.5</f>
        <v/>
      </c>
    </row>
    <row r="977">
      <c r="E977">
        <f>O977=ROUND(966*0.1,10)</f>
        <v/>
      </c>
      <c r="F977">
        <f>P977=ROUND(966*0.2,10)</f>
        <v/>
      </c>
      <c r="G977">
        <f>Q977=ROUND(966*0.3,10)</f>
        <v/>
      </c>
      <c r="H977">
        <f>R977=ROUND(966*0.05,10)</f>
        <v/>
      </c>
      <c r="I977">
        <f>S977=ROUND(966*0.01,10)</f>
        <v/>
      </c>
      <c r="J977">
        <f>T977=ROUND(966*0.7,10)</f>
        <v/>
      </c>
      <c r="K977">
        <f>U977=ROUND(966*1.1,10)</f>
        <v/>
      </c>
      <c r="L977">
        <f>V977=ROUND(966*0.25,10)</f>
        <v/>
      </c>
      <c r="M977">
        <f>W977=ROUND(966*0.5,10)</f>
        <v/>
      </c>
      <c r="O977">
        <f>O976+0.1</f>
        <v/>
      </c>
      <c r="P977">
        <f>P976+0.2</f>
        <v/>
      </c>
      <c r="Q977">
        <f>Q976+0.3</f>
        <v/>
      </c>
      <c r="R977">
        <f>R976+0.05</f>
        <v/>
      </c>
      <c r="S977">
        <f>S976+0.01</f>
        <v/>
      </c>
      <c r="T977">
        <f>T976+0.7</f>
        <v/>
      </c>
      <c r="U977">
        <f>U976+1.1</f>
        <v/>
      </c>
      <c r="V977">
        <f>V976+0.25</f>
        <v/>
      </c>
      <c r="W977">
        <f>W976+0.5</f>
        <v/>
      </c>
    </row>
    <row r="978">
      <c r="E978">
        <f>O978=ROUND(967*0.1,10)</f>
        <v/>
      </c>
      <c r="F978">
        <f>P978=ROUND(967*0.2,10)</f>
        <v/>
      </c>
      <c r="G978">
        <f>Q978=ROUND(967*0.3,10)</f>
        <v/>
      </c>
      <c r="H978">
        <f>R978=ROUND(967*0.05,10)</f>
        <v/>
      </c>
      <c r="I978">
        <f>S978=ROUND(967*0.01,10)</f>
        <v/>
      </c>
      <c r="J978">
        <f>T978=ROUND(967*0.7,10)</f>
        <v/>
      </c>
      <c r="K978">
        <f>U978=ROUND(967*1.1,10)</f>
        <v/>
      </c>
      <c r="L978">
        <f>V978=ROUND(967*0.25,10)</f>
        <v/>
      </c>
      <c r="M978">
        <f>W978=ROUND(967*0.5,10)</f>
        <v/>
      </c>
      <c r="O978">
        <f>O977+0.1</f>
        <v/>
      </c>
      <c r="P978">
        <f>P977+0.2</f>
        <v/>
      </c>
      <c r="Q978">
        <f>Q977+0.3</f>
        <v/>
      </c>
      <c r="R978">
        <f>R977+0.05</f>
        <v/>
      </c>
      <c r="S978">
        <f>S977+0.01</f>
        <v/>
      </c>
      <c r="T978">
        <f>T977+0.7</f>
        <v/>
      </c>
      <c r="U978">
        <f>U977+1.1</f>
        <v/>
      </c>
      <c r="V978">
        <f>V977+0.25</f>
        <v/>
      </c>
      <c r="W978">
        <f>W977+0.5</f>
        <v/>
      </c>
    </row>
    <row r="979">
      <c r="E979">
        <f>O979=ROUND(968*0.1,10)</f>
        <v/>
      </c>
      <c r="F979">
        <f>P979=ROUND(968*0.2,10)</f>
        <v/>
      </c>
      <c r="G979">
        <f>Q979=ROUND(968*0.3,10)</f>
        <v/>
      </c>
      <c r="H979">
        <f>R979=ROUND(968*0.05,10)</f>
        <v/>
      </c>
      <c r="I979">
        <f>S979=ROUND(968*0.01,10)</f>
        <v/>
      </c>
      <c r="J979">
        <f>T979=ROUND(968*0.7,10)</f>
        <v/>
      </c>
      <c r="K979">
        <f>U979=ROUND(968*1.1,10)</f>
        <v/>
      </c>
      <c r="L979">
        <f>V979=ROUND(968*0.25,10)</f>
        <v/>
      </c>
      <c r="M979">
        <f>W979=ROUND(968*0.5,10)</f>
        <v/>
      </c>
      <c r="O979">
        <f>O978+0.1</f>
        <v/>
      </c>
      <c r="P979">
        <f>P978+0.2</f>
        <v/>
      </c>
      <c r="Q979">
        <f>Q978+0.3</f>
        <v/>
      </c>
      <c r="R979">
        <f>R978+0.05</f>
        <v/>
      </c>
      <c r="S979">
        <f>S978+0.01</f>
        <v/>
      </c>
      <c r="T979">
        <f>T978+0.7</f>
        <v/>
      </c>
      <c r="U979">
        <f>U978+1.1</f>
        <v/>
      </c>
      <c r="V979">
        <f>V978+0.25</f>
        <v/>
      </c>
      <c r="W979">
        <f>W978+0.5</f>
        <v/>
      </c>
    </row>
    <row r="980">
      <c r="E980">
        <f>O980=ROUND(969*0.1,10)</f>
        <v/>
      </c>
      <c r="F980">
        <f>P980=ROUND(969*0.2,10)</f>
        <v/>
      </c>
      <c r="G980">
        <f>Q980=ROUND(969*0.3,10)</f>
        <v/>
      </c>
      <c r="H980">
        <f>R980=ROUND(969*0.05,10)</f>
        <v/>
      </c>
      <c r="I980">
        <f>S980=ROUND(969*0.01,10)</f>
        <v/>
      </c>
      <c r="J980">
        <f>T980=ROUND(969*0.7,10)</f>
        <v/>
      </c>
      <c r="K980">
        <f>U980=ROUND(969*1.1,10)</f>
        <v/>
      </c>
      <c r="L980">
        <f>V980=ROUND(969*0.25,10)</f>
        <v/>
      </c>
      <c r="M980">
        <f>W980=ROUND(969*0.5,10)</f>
        <v/>
      </c>
      <c r="O980">
        <f>O979+0.1</f>
        <v/>
      </c>
      <c r="P980">
        <f>P979+0.2</f>
        <v/>
      </c>
      <c r="Q980">
        <f>Q979+0.3</f>
        <v/>
      </c>
      <c r="R980">
        <f>R979+0.05</f>
        <v/>
      </c>
      <c r="S980">
        <f>S979+0.01</f>
        <v/>
      </c>
      <c r="T980">
        <f>T979+0.7</f>
        <v/>
      </c>
      <c r="U980">
        <f>U979+1.1</f>
        <v/>
      </c>
      <c r="V980">
        <f>V979+0.25</f>
        <v/>
      </c>
      <c r="W980">
        <f>W979+0.5</f>
        <v/>
      </c>
    </row>
    <row r="981">
      <c r="E981">
        <f>O981=ROUND(970*0.1,10)</f>
        <v/>
      </c>
      <c r="F981">
        <f>P981=ROUND(970*0.2,10)</f>
        <v/>
      </c>
      <c r="G981">
        <f>Q981=ROUND(970*0.3,10)</f>
        <v/>
      </c>
      <c r="H981">
        <f>R981=ROUND(970*0.05,10)</f>
        <v/>
      </c>
      <c r="I981">
        <f>S981=ROUND(970*0.01,10)</f>
        <v/>
      </c>
      <c r="J981">
        <f>T981=ROUND(970*0.7,10)</f>
        <v/>
      </c>
      <c r="K981">
        <f>U981=ROUND(970*1.1,10)</f>
        <v/>
      </c>
      <c r="L981">
        <f>V981=ROUND(970*0.25,10)</f>
        <v/>
      </c>
      <c r="M981">
        <f>W981=ROUND(970*0.5,10)</f>
        <v/>
      </c>
      <c r="O981">
        <f>O980+0.1</f>
        <v/>
      </c>
      <c r="P981">
        <f>P980+0.2</f>
        <v/>
      </c>
      <c r="Q981">
        <f>Q980+0.3</f>
        <v/>
      </c>
      <c r="R981">
        <f>R980+0.05</f>
        <v/>
      </c>
      <c r="S981">
        <f>S980+0.01</f>
        <v/>
      </c>
      <c r="T981">
        <f>T980+0.7</f>
        <v/>
      </c>
      <c r="U981">
        <f>U980+1.1</f>
        <v/>
      </c>
      <c r="V981">
        <f>V980+0.25</f>
        <v/>
      </c>
      <c r="W981">
        <f>W980+0.5</f>
        <v/>
      </c>
    </row>
    <row r="982">
      <c r="E982">
        <f>O982=ROUND(971*0.1,10)</f>
        <v/>
      </c>
      <c r="F982">
        <f>P982=ROUND(971*0.2,10)</f>
        <v/>
      </c>
      <c r="G982">
        <f>Q982=ROUND(971*0.3,10)</f>
        <v/>
      </c>
      <c r="H982">
        <f>R982=ROUND(971*0.05,10)</f>
        <v/>
      </c>
      <c r="I982">
        <f>S982=ROUND(971*0.01,10)</f>
        <v/>
      </c>
      <c r="J982">
        <f>T982=ROUND(971*0.7,10)</f>
        <v/>
      </c>
      <c r="K982">
        <f>U982=ROUND(971*1.1,10)</f>
        <v/>
      </c>
      <c r="L982">
        <f>V982=ROUND(971*0.25,10)</f>
        <v/>
      </c>
      <c r="M982">
        <f>W982=ROUND(971*0.5,10)</f>
        <v/>
      </c>
      <c r="O982">
        <f>O981+0.1</f>
        <v/>
      </c>
      <c r="P982">
        <f>P981+0.2</f>
        <v/>
      </c>
      <c r="Q982">
        <f>Q981+0.3</f>
        <v/>
      </c>
      <c r="R982">
        <f>R981+0.05</f>
        <v/>
      </c>
      <c r="S982">
        <f>S981+0.01</f>
        <v/>
      </c>
      <c r="T982">
        <f>T981+0.7</f>
        <v/>
      </c>
      <c r="U982">
        <f>U981+1.1</f>
        <v/>
      </c>
      <c r="V982">
        <f>V981+0.25</f>
        <v/>
      </c>
      <c r="W982">
        <f>W981+0.5</f>
        <v/>
      </c>
    </row>
    <row r="983">
      <c r="E983">
        <f>O983=ROUND(972*0.1,10)</f>
        <v/>
      </c>
      <c r="F983">
        <f>P983=ROUND(972*0.2,10)</f>
        <v/>
      </c>
      <c r="G983">
        <f>Q983=ROUND(972*0.3,10)</f>
        <v/>
      </c>
      <c r="H983">
        <f>R983=ROUND(972*0.05,10)</f>
        <v/>
      </c>
      <c r="I983">
        <f>S983=ROUND(972*0.01,10)</f>
        <v/>
      </c>
      <c r="J983">
        <f>T983=ROUND(972*0.7,10)</f>
        <v/>
      </c>
      <c r="K983">
        <f>U983=ROUND(972*1.1,10)</f>
        <v/>
      </c>
      <c r="L983">
        <f>V983=ROUND(972*0.25,10)</f>
        <v/>
      </c>
      <c r="M983">
        <f>W983=ROUND(972*0.5,10)</f>
        <v/>
      </c>
      <c r="O983">
        <f>O982+0.1</f>
        <v/>
      </c>
      <c r="P983">
        <f>P982+0.2</f>
        <v/>
      </c>
      <c r="Q983">
        <f>Q982+0.3</f>
        <v/>
      </c>
      <c r="R983">
        <f>R982+0.05</f>
        <v/>
      </c>
      <c r="S983">
        <f>S982+0.01</f>
        <v/>
      </c>
      <c r="T983">
        <f>T982+0.7</f>
        <v/>
      </c>
      <c r="U983">
        <f>U982+1.1</f>
        <v/>
      </c>
      <c r="V983">
        <f>V982+0.25</f>
        <v/>
      </c>
      <c r="W983">
        <f>W982+0.5</f>
        <v/>
      </c>
    </row>
    <row r="984">
      <c r="E984">
        <f>O984=ROUND(973*0.1,10)</f>
        <v/>
      </c>
      <c r="F984">
        <f>P984=ROUND(973*0.2,10)</f>
        <v/>
      </c>
      <c r="G984">
        <f>Q984=ROUND(973*0.3,10)</f>
        <v/>
      </c>
      <c r="H984">
        <f>R984=ROUND(973*0.05,10)</f>
        <v/>
      </c>
      <c r="I984">
        <f>S984=ROUND(973*0.01,10)</f>
        <v/>
      </c>
      <c r="J984">
        <f>T984=ROUND(973*0.7,10)</f>
        <v/>
      </c>
      <c r="K984">
        <f>U984=ROUND(973*1.1,10)</f>
        <v/>
      </c>
      <c r="L984">
        <f>V984=ROUND(973*0.25,10)</f>
        <v/>
      </c>
      <c r="M984">
        <f>W984=ROUND(973*0.5,10)</f>
        <v/>
      </c>
      <c r="O984">
        <f>O983+0.1</f>
        <v/>
      </c>
      <c r="P984">
        <f>P983+0.2</f>
        <v/>
      </c>
      <c r="Q984">
        <f>Q983+0.3</f>
        <v/>
      </c>
      <c r="R984">
        <f>R983+0.05</f>
        <v/>
      </c>
      <c r="S984">
        <f>S983+0.01</f>
        <v/>
      </c>
      <c r="T984">
        <f>T983+0.7</f>
        <v/>
      </c>
      <c r="U984">
        <f>U983+1.1</f>
        <v/>
      </c>
      <c r="V984">
        <f>V983+0.25</f>
        <v/>
      </c>
      <c r="W984">
        <f>W983+0.5</f>
        <v/>
      </c>
    </row>
    <row r="985">
      <c r="E985">
        <f>O985=ROUND(974*0.1,10)</f>
        <v/>
      </c>
      <c r="F985">
        <f>P985=ROUND(974*0.2,10)</f>
        <v/>
      </c>
      <c r="G985">
        <f>Q985=ROUND(974*0.3,10)</f>
        <v/>
      </c>
      <c r="H985">
        <f>R985=ROUND(974*0.05,10)</f>
        <v/>
      </c>
      <c r="I985">
        <f>S985=ROUND(974*0.01,10)</f>
        <v/>
      </c>
      <c r="J985">
        <f>T985=ROUND(974*0.7,10)</f>
        <v/>
      </c>
      <c r="K985">
        <f>U985=ROUND(974*1.1,10)</f>
        <v/>
      </c>
      <c r="L985">
        <f>V985=ROUND(974*0.25,10)</f>
        <v/>
      </c>
      <c r="M985">
        <f>W985=ROUND(974*0.5,10)</f>
        <v/>
      </c>
      <c r="O985">
        <f>O984+0.1</f>
        <v/>
      </c>
      <c r="P985">
        <f>P984+0.2</f>
        <v/>
      </c>
      <c r="Q985">
        <f>Q984+0.3</f>
        <v/>
      </c>
      <c r="R985">
        <f>R984+0.05</f>
        <v/>
      </c>
      <c r="S985">
        <f>S984+0.01</f>
        <v/>
      </c>
      <c r="T985">
        <f>T984+0.7</f>
        <v/>
      </c>
      <c r="U985">
        <f>U984+1.1</f>
        <v/>
      </c>
      <c r="V985">
        <f>V984+0.25</f>
        <v/>
      </c>
      <c r="W985">
        <f>W984+0.5</f>
        <v/>
      </c>
    </row>
    <row r="986">
      <c r="E986">
        <f>O986=ROUND(975*0.1,10)</f>
        <v/>
      </c>
      <c r="F986">
        <f>P986=ROUND(975*0.2,10)</f>
        <v/>
      </c>
      <c r="G986">
        <f>Q986=ROUND(975*0.3,10)</f>
        <v/>
      </c>
      <c r="H986">
        <f>R986=ROUND(975*0.05,10)</f>
        <v/>
      </c>
      <c r="I986">
        <f>S986=ROUND(975*0.01,10)</f>
        <v/>
      </c>
      <c r="J986">
        <f>T986=ROUND(975*0.7,10)</f>
        <v/>
      </c>
      <c r="K986">
        <f>U986=ROUND(975*1.1,10)</f>
        <v/>
      </c>
      <c r="L986">
        <f>V986=ROUND(975*0.25,10)</f>
        <v/>
      </c>
      <c r="M986">
        <f>W986=ROUND(975*0.5,10)</f>
        <v/>
      </c>
      <c r="O986">
        <f>O985+0.1</f>
        <v/>
      </c>
      <c r="P986">
        <f>P985+0.2</f>
        <v/>
      </c>
      <c r="Q986">
        <f>Q985+0.3</f>
        <v/>
      </c>
      <c r="R986">
        <f>R985+0.05</f>
        <v/>
      </c>
      <c r="S986">
        <f>S985+0.01</f>
        <v/>
      </c>
      <c r="T986">
        <f>T985+0.7</f>
        <v/>
      </c>
      <c r="U986">
        <f>U985+1.1</f>
        <v/>
      </c>
      <c r="V986">
        <f>V985+0.25</f>
        <v/>
      </c>
      <c r="W986">
        <f>W985+0.5</f>
        <v/>
      </c>
    </row>
    <row r="987">
      <c r="E987">
        <f>O987=ROUND(976*0.1,10)</f>
        <v/>
      </c>
      <c r="F987">
        <f>P987=ROUND(976*0.2,10)</f>
        <v/>
      </c>
      <c r="G987">
        <f>Q987=ROUND(976*0.3,10)</f>
        <v/>
      </c>
      <c r="H987">
        <f>R987=ROUND(976*0.05,10)</f>
        <v/>
      </c>
      <c r="I987">
        <f>S987=ROUND(976*0.01,10)</f>
        <v/>
      </c>
      <c r="J987">
        <f>T987=ROUND(976*0.7,10)</f>
        <v/>
      </c>
      <c r="K987">
        <f>U987=ROUND(976*1.1,10)</f>
        <v/>
      </c>
      <c r="L987">
        <f>V987=ROUND(976*0.25,10)</f>
        <v/>
      </c>
      <c r="M987">
        <f>W987=ROUND(976*0.5,10)</f>
        <v/>
      </c>
      <c r="O987">
        <f>O986+0.1</f>
        <v/>
      </c>
      <c r="P987">
        <f>P986+0.2</f>
        <v/>
      </c>
      <c r="Q987">
        <f>Q986+0.3</f>
        <v/>
      </c>
      <c r="R987">
        <f>R986+0.05</f>
        <v/>
      </c>
      <c r="S987">
        <f>S986+0.01</f>
        <v/>
      </c>
      <c r="T987">
        <f>T986+0.7</f>
        <v/>
      </c>
      <c r="U987">
        <f>U986+1.1</f>
        <v/>
      </c>
      <c r="V987">
        <f>V986+0.25</f>
        <v/>
      </c>
      <c r="W987">
        <f>W986+0.5</f>
        <v/>
      </c>
    </row>
    <row r="988">
      <c r="E988">
        <f>O988=ROUND(977*0.1,10)</f>
        <v/>
      </c>
      <c r="F988">
        <f>P988=ROUND(977*0.2,10)</f>
        <v/>
      </c>
      <c r="G988">
        <f>Q988=ROUND(977*0.3,10)</f>
        <v/>
      </c>
      <c r="H988">
        <f>R988=ROUND(977*0.05,10)</f>
        <v/>
      </c>
      <c r="I988">
        <f>S988=ROUND(977*0.01,10)</f>
        <v/>
      </c>
      <c r="J988">
        <f>T988=ROUND(977*0.7,10)</f>
        <v/>
      </c>
      <c r="K988">
        <f>U988=ROUND(977*1.1,10)</f>
        <v/>
      </c>
      <c r="L988">
        <f>V988=ROUND(977*0.25,10)</f>
        <v/>
      </c>
      <c r="M988">
        <f>W988=ROUND(977*0.5,10)</f>
        <v/>
      </c>
      <c r="O988">
        <f>O987+0.1</f>
        <v/>
      </c>
      <c r="P988">
        <f>P987+0.2</f>
        <v/>
      </c>
      <c r="Q988">
        <f>Q987+0.3</f>
        <v/>
      </c>
      <c r="R988">
        <f>R987+0.05</f>
        <v/>
      </c>
      <c r="S988">
        <f>S987+0.01</f>
        <v/>
      </c>
      <c r="T988">
        <f>T987+0.7</f>
        <v/>
      </c>
      <c r="U988">
        <f>U987+1.1</f>
        <v/>
      </c>
      <c r="V988">
        <f>V987+0.25</f>
        <v/>
      </c>
      <c r="W988">
        <f>W987+0.5</f>
        <v/>
      </c>
    </row>
    <row r="989">
      <c r="E989">
        <f>O989=ROUND(978*0.1,10)</f>
        <v/>
      </c>
      <c r="F989">
        <f>P989=ROUND(978*0.2,10)</f>
        <v/>
      </c>
      <c r="G989">
        <f>Q989=ROUND(978*0.3,10)</f>
        <v/>
      </c>
      <c r="H989">
        <f>R989=ROUND(978*0.05,10)</f>
        <v/>
      </c>
      <c r="I989">
        <f>S989=ROUND(978*0.01,10)</f>
        <v/>
      </c>
      <c r="J989">
        <f>T989=ROUND(978*0.7,10)</f>
        <v/>
      </c>
      <c r="K989">
        <f>U989=ROUND(978*1.1,10)</f>
        <v/>
      </c>
      <c r="L989">
        <f>V989=ROUND(978*0.25,10)</f>
        <v/>
      </c>
      <c r="M989">
        <f>W989=ROUND(978*0.5,10)</f>
        <v/>
      </c>
      <c r="O989">
        <f>O988+0.1</f>
        <v/>
      </c>
      <c r="P989">
        <f>P988+0.2</f>
        <v/>
      </c>
      <c r="Q989">
        <f>Q988+0.3</f>
        <v/>
      </c>
      <c r="R989">
        <f>R988+0.05</f>
        <v/>
      </c>
      <c r="S989">
        <f>S988+0.01</f>
        <v/>
      </c>
      <c r="T989">
        <f>T988+0.7</f>
        <v/>
      </c>
      <c r="U989">
        <f>U988+1.1</f>
        <v/>
      </c>
      <c r="V989">
        <f>V988+0.25</f>
        <v/>
      </c>
      <c r="W989">
        <f>W988+0.5</f>
        <v/>
      </c>
    </row>
    <row r="990">
      <c r="E990">
        <f>O990=ROUND(979*0.1,10)</f>
        <v/>
      </c>
      <c r="F990">
        <f>P990=ROUND(979*0.2,10)</f>
        <v/>
      </c>
      <c r="G990">
        <f>Q990=ROUND(979*0.3,10)</f>
        <v/>
      </c>
      <c r="H990">
        <f>R990=ROUND(979*0.05,10)</f>
        <v/>
      </c>
      <c r="I990">
        <f>S990=ROUND(979*0.01,10)</f>
        <v/>
      </c>
      <c r="J990">
        <f>T990=ROUND(979*0.7,10)</f>
        <v/>
      </c>
      <c r="K990">
        <f>U990=ROUND(979*1.1,10)</f>
        <v/>
      </c>
      <c r="L990">
        <f>V990=ROUND(979*0.25,10)</f>
        <v/>
      </c>
      <c r="M990">
        <f>W990=ROUND(979*0.5,10)</f>
        <v/>
      </c>
      <c r="O990">
        <f>O989+0.1</f>
        <v/>
      </c>
      <c r="P990">
        <f>P989+0.2</f>
        <v/>
      </c>
      <c r="Q990">
        <f>Q989+0.3</f>
        <v/>
      </c>
      <c r="R990">
        <f>R989+0.05</f>
        <v/>
      </c>
      <c r="S990">
        <f>S989+0.01</f>
        <v/>
      </c>
      <c r="T990">
        <f>T989+0.7</f>
        <v/>
      </c>
      <c r="U990">
        <f>U989+1.1</f>
        <v/>
      </c>
      <c r="V990">
        <f>V989+0.25</f>
        <v/>
      </c>
      <c r="W990">
        <f>W989+0.5</f>
        <v/>
      </c>
    </row>
    <row r="991">
      <c r="E991">
        <f>O991=ROUND(980*0.1,10)</f>
        <v/>
      </c>
      <c r="F991">
        <f>P991=ROUND(980*0.2,10)</f>
        <v/>
      </c>
      <c r="G991">
        <f>Q991=ROUND(980*0.3,10)</f>
        <v/>
      </c>
      <c r="H991">
        <f>R991=ROUND(980*0.05,10)</f>
        <v/>
      </c>
      <c r="I991">
        <f>S991=ROUND(980*0.01,10)</f>
        <v/>
      </c>
      <c r="J991">
        <f>T991=ROUND(980*0.7,10)</f>
        <v/>
      </c>
      <c r="K991">
        <f>U991=ROUND(980*1.1,10)</f>
        <v/>
      </c>
      <c r="L991">
        <f>V991=ROUND(980*0.25,10)</f>
        <v/>
      </c>
      <c r="M991">
        <f>W991=ROUND(980*0.5,10)</f>
        <v/>
      </c>
      <c r="O991">
        <f>O990+0.1</f>
        <v/>
      </c>
      <c r="P991">
        <f>P990+0.2</f>
        <v/>
      </c>
      <c r="Q991">
        <f>Q990+0.3</f>
        <v/>
      </c>
      <c r="R991">
        <f>R990+0.05</f>
        <v/>
      </c>
      <c r="S991">
        <f>S990+0.01</f>
        <v/>
      </c>
      <c r="T991">
        <f>T990+0.7</f>
        <v/>
      </c>
      <c r="U991">
        <f>U990+1.1</f>
        <v/>
      </c>
      <c r="V991">
        <f>V990+0.25</f>
        <v/>
      </c>
      <c r="W991">
        <f>W990+0.5</f>
        <v/>
      </c>
    </row>
    <row r="992">
      <c r="E992">
        <f>O992=ROUND(981*0.1,10)</f>
        <v/>
      </c>
      <c r="F992">
        <f>P992=ROUND(981*0.2,10)</f>
        <v/>
      </c>
      <c r="G992">
        <f>Q992=ROUND(981*0.3,10)</f>
        <v/>
      </c>
      <c r="H992">
        <f>R992=ROUND(981*0.05,10)</f>
        <v/>
      </c>
      <c r="I992">
        <f>S992=ROUND(981*0.01,10)</f>
        <v/>
      </c>
      <c r="J992">
        <f>T992=ROUND(981*0.7,10)</f>
        <v/>
      </c>
      <c r="K992">
        <f>U992=ROUND(981*1.1,10)</f>
        <v/>
      </c>
      <c r="L992">
        <f>V992=ROUND(981*0.25,10)</f>
        <v/>
      </c>
      <c r="M992">
        <f>W992=ROUND(981*0.5,10)</f>
        <v/>
      </c>
      <c r="O992">
        <f>O991+0.1</f>
        <v/>
      </c>
      <c r="P992">
        <f>P991+0.2</f>
        <v/>
      </c>
      <c r="Q992">
        <f>Q991+0.3</f>
        <v/>
      </c>
      <c r="R992">
        <f>R991+0.05</f>
        <v/>
      </c>
      <c r="S992">
        <f>S991+0.01</f>
        <v/>
      </c>
      <c r="T992">
        <f>T991+0.7</f>
        <v/>
      </c>
      <c r="U992">
        <f>U991+1.1</f>
        <v/>
      </c>
      <c r="V992">
        <f>V991+0.25</f>
        <v/>
      </c>
      <c r="W992">
        <f>W991+0.5</f>
        <v/>
      </c>
    </row>
    <row r="993">
      <c r="E993">
        <f>O993=ROUND(982*0.1,10)</f>
        <v/>
      </c>
      <c r="F993">
        <f>P993=ROUND(982*0.2,10)</f>
        <v/>
      </c>
      <c r="G993">
        <f>Q993=ROUND(982*0.3,10)</f>
        <v/>
      </c>
      <c r="H993">
        <f>R993=ROUND(982*0.05,10)</f>
        <v/>
      </c>
      <c r="I993">
        <f>S993=ROUND(982*0.01,10)</f>
        <v/>
      </c>
      <c r="J993">
        <f>T993=ROUND(982*0.7,10)</f>
        <v/>
      </c>
      <c r="K993">
        <f>U993=ROUND(982*1.1,10)</f>
        <v/>
      </c>
      <c r="L993">
        <f>V993=ROUND(982*0.25,10)</f>
        <v/>
      </c>
      <c r="M993">
        <f>W993=ROUND(982*0.5,10)</f>
        <v/>
      </c>
      <c r="O993">
        <f>O992+0.1</f>
        <v/>
      </c>
      <c r="P993">
        <f>P992+0.2</f>
        <v/>
      </c>
      <c r="Q993">
        <f>Q992+0.3</f>
        <v/>
      </c>
      <c r="R993">
        <f>R992+0.05</f>
        <v/>
      </c>
      <c r="S993">
        <f>S992+0.01</f>
        <v/>
      </c>
      <c r="T993">
        <f>T992+0.7</f>
        <v/>
      </c>
      <c r="U993">
        <f>U992+1.1</f>
        <v/>
      </c>
      <c r="V993">
        <f>V992+0.25</f>
        <v/>
      </c>
      <c r="W993">
        <f>W992+0.5</f>
        <v/>
      </c>
    </row>
    <row r="994">
      <c r="E994">
        <f>O994=ROUND(983*0.1,10)</f>
        <v/>
      </c>
      <c r="F994">
        <f>P994=ROUND(983*0.2,10)</f>
        <v/>
      </c>
      <c r="G994">
        <f>Q994=ROUND(983*0.3,10)</f>
        <v/>
      </c>
      <c r="H994">
        <f>R994=ROUND(983*0.05,10)</f>
        <v/>
      </c>
      <c r="I994">
        <f>S994=ROUND(983*0.01,10)</f>
        <v/>
      </c>
      <c r="J994">
        <f>T994=ROUND(983*0.7,10)</f>
        <v/>
      </c>
      <c r="K994">
        <f>U994=ROUND(983*1.1,10)</f>
        <v/>
      </c>
      <c r="L994">
        <f>V994=ROUND(983*0.25,10)</f>
        <v/>
      </c>
      <c r="M994">
        <f>W994=ROUND(983*0.5,10)</f>
        <v/>
      </c>
      <c r="O994">
        <f>O993+0.1</f>
        <v/>
      </c>
      <c r="P994">
        <f>P993+0.2</f>
        <v/>
      </c>
      <c r="Q994">
        <f>Q993+0.3</f>
        <v/>
      </c>
      <c r="R994">
        <f>R993+0.05</f>
        <v/>
      </c>
      <c r="S994">
        <f>S993+0.01</f>
        <v/>
      </c>
      <c r="T994">
        <f>T993+0.7</f>
        <v/>
      </c>
      <c r="U994">
        <f>U993+1.1</f>
        <v/>
      </c>
      <c r="V994">
        <f>V993+0.25</f>
        <v/>
      </c>
      <c r="W994">
        <f>W993+0.5</f>
        <v/>
      </c>
    </row>
    <row r="995">
      <c r="E995">
        <f>O995=ROUND(984*0.1,10)</f>
        <v/>
      </c>
      <c r="F995">
        <f>P995=ROUND(984*0.2,10)</f>
        <v/>
      </c>
      <c r="G995">
        <f>Q995=ROUND(984*0.3,10)</f>
        <v/>
      </c>
      <c r="H995">
        <f>R995=ROUND(984*0.05,10)</f>
        <v/>
      </c>
      <c r="I995">
        <f>S995=ROUND(984*0.01,10)</f>
        <v/>
      </c>
      <c r="J995">
        <f>T995=ROUND(984*0.7,10)</f>
        <v/>
      </c>
      <c r="K995">
        <f>U995=ROUND(984*1.1,10)</f>
        <v/>
      </c>
      <c r="L995">
        <f>V995=ROUND(984*0.25,10)</f>
        <v/>
      </c>
      <c r="M995">
        <f>W995=ROUND(984*0.5,10)</f>
        <v/>
      </c>
      <c r="O995">
        <f>O994+0.1</f>
        <v/>
      </c>
      <c r="P995">
        <f>P994+0.2</f>
        <v/>
      </c>
      <c r="Q995">
        <f>Q994+0.3</f>
        <v/>
      </c>
      <c r="R995">
        <f>R994+0.05</f>
        <v/>
      </c>
      <c r="S995">
        <f>S994+0.01</f>
        <v/>
      </c>
      <c r="T995">
        <f>T994+0.7</f>
        <v/>
      </c>
      <c r="U995">
        <f>U994+1.1</f>
        <v/>
      </c>
      <c r="V995">
        <f>V994+0.25</f>
        <v/>
      </c>
      <c r="W995">
        <f>W994+0.5</f>
        <v/>
      </c>
    </row>
    <row r="996">
      <c r="E996">
        <f>O996=ROUND(985*0.1,10)</f>
        <v/>
      </c>
      <c r="F996">
        <f>P996=ROUND(985*0.2,10)</f>
        <v/>
      </c>
      <c r="G996">
        <f>Q996=ROUND(985*0.3,10)</f>
        <v/>
      </c>
      <c r="H996">
        <f>R996=ROUND(985*0.05,10)</f>
        <v/>
      </c>
      <c r="I996">
        <f>S996=ROUND(985*0.01,10)</f>
        <v/>
      </c>
      <c r="J996">
        <f>T996=ROUND(985*0.7,10)</f>
        <v/>
      </c>
      <c r="K996">
        <f>U996=ROUND(985*1.1,10)</f>
        <v/>
      </c>
      <c r="L996">
        <f>V996=ROUND(985*0.25,10)</f>
        <v/>
      </c>
      <c r="M996">
        <f>W996=ROUND(985*0.5,10)</f>
        <v/>
      </c>
      <c r="O996">
        <f>O995+0.1</f>
        <v/>
      </c>
      <c r="P996">
        <f>P995+0.2</f>
        <v/>
      </c>
      <c r="Q996">
        <f>Q995+0.3</f>
        <v/>
      </c>
      <c r="R996">
        <f>R995+0.05</f>
        <v/>
      </c>
      <c r="S996">
        <f>S995+0.01</f>
        <v/>
      </c>
      <c r="T996">
        <f>T995+0.7</f>
        <v/>
      </c>
      <c r="U996">
        <f>U995+1.1</f>
        <v/>
      </c>
      <c r="V996">
        <f>V995+0.25</f>
        <v/>
      </c>
      <c r="W996">
        <f>W995+0.5</f>
        <v/>
      </c>
    </row>
    <row r="997">
      <c r="E997">
        <f>O997=ROUND(986*0.1,10)</f>
        <v/>
      </c>
      <c r="F997">
        <f>P997=ROUND(986*0.2,10)</f>
        <v/>
      </c>
      <c r="G997">
        <f>Q997=ROUND(986*0.3,10)</f>
        <v/>
      </c>
      <c r="H997">
        <f>R997=ROUND(986*0.05,10)</f>
        <v/>
      </c>
      <c r="I997">
        <f>S997=ROUND(986*0.01,10)</f>
        <v/>
      </c>
      <c r="J997">
        <f>T997=ROUND(986*0.7,10)</f>
        <v/>
      </c>
      <c r="K997">
        <f>U997=ROUND(986*1.1,10)</f>
        <v/>
      </c>
      <c r="L997">
        <f>V997=ROUND(986*0.25,10)</f>
        <v/>
      </c>
      <c r="M997">
        <f>W997=ROUND(986*0.5,10)</f>
        <v/>
      </c>
      <c r="O997">
        <f>O996+0.1</f>
        <v/>
      </c>
      <c r="P997">
        <f>P996+0.2</f>
        <v/>
      </c>
      <c r="Q997">
        <f>Q996+0.3</f>
        <v/>
      </c>
      <c r="R997">
        <f>R996+0.05</f>
        <v/>
      </c>
      <c r="S997">
        <f>S996+0.01</f>
        <v/>
      </c>
      <c r="T997">
        <f>T996+0.7</f>
        <v/>
      </c>
      <c r="U997">
        <f>U996+1.1</f>
        <v/>
      </c>
      <c r="V997">
        <f>V996+0.25</f>
        <v/>
      </c>
      <c r="W997">
        <f>W996+0.5</f>
        <v/>
      </c>
    </row>
    <row r="998">
      <c r="E998">
        <f>O998=ROUND(987*0.1,10)</f>
        <v/>
      </c>
      <c r="F998">
        <f>P998=ROUND(987*0.2,10)</f>
        <v/>
      </c>
      <c r="G998">
        <f>Q998=ROUND(987*0.3,10)</f>
        <v/>
      </c>
      <c r="H998">
        <f>R998=ROUND(987*0.05,10)</f>
        <v/>
      </c>
      <c r="I998">
        <f>S998=ROUND(987*0.01,10)</f>
        <v/>
      </c>
      <c r="J998">
        <f>T998=ROUND(987*0.7,10)</f>
        <v/>
      </c>
      <c r="K998">
        <f>U998=ROUND(987*1.1,10)</f>
        <v/>
      </c>
      <c r="L998">
        <f>V998=ROUND(987*0.25,10)</f>
        <v/>
      </c>
      <c r="M998">
        <f>W998=ROUND(987*0.5,10)</f>
        <v/>
      </c>
      <c r="O998">
        <f>O997+0.1</f>
        <v/>
      </c>
      <c r="P998">
        <f>P997+0.2</f>
        <v/>
      </c>
      <c r="Q998">
        <f>Q997+0.3</f>
        <v/>
      </c>
      <c r="R998">
        <f>R997+0.05</f>
        <v/>
      </c>
      <c r="S998">
        <f>S997+0.01</f>
        <v/>
      </c>
      <c r="T998">
        <f>T997+0.7</f>
        <v/>
      </c>
      <c r="U998">
        <f>U997+1.1</f>
        <v/>
      </c>
      <c r="V998">
        <f>V997+0.25</f>
        <v/>
      </c>
      <c r="W998">
        <f>W997+0.5</f>
        <v/>
      </c>
    </row>
    <row r="999">
      <c r="E999">
        <f>O999=ROUND(988*0.1,10)</f>
        <v/>
      </c>
      <c r="F999">
        <f>P999=ROUND(988*0.2,10)</f>
        <v/>
      </c>
      <c r="G999">
        <f>Q999=ROUND(988*0.3,10)</f>
        <v/>
      </c>
      <c r="H999">
        <f>R999=ROUND(988*0.05,10)</f>
        <v/>
      </c>
      <c r="I999">
        <f>S999=ROUND(988*0.01,10)</f>
        <v/>
      </c>
      <c r="J999">
        <f>T999=ROUND(988*0.7,10)</f>
        <v/>
      </c>
      <c r="K999">
        <f>U999=ROUND(988*1.1,10)</f>
        <v/>
      </c>
      <c r="L999">
        <f>V999=ROUND(988*0.25,10)</f>
        <v/>
      </c>
      <c r="M999">
        <f>W999=ROUND(988*0.5,10)</f>
        <v/>
      </c>
      <c r="O999">
        <f>O998+0.1</f>
        <v/>
      </c>
      <c r="P999">
        <f>P998+0.2</f>
        <v/>
      </c>
      <c r="Q999">
        <f>Q998+0.3</f>
        <v/>
      </c>
      <c r="R999">
        <f>R998+0.05</f>
        <v/>
      </c>
      <c r="S999">
        <f>S998+0.01</f>
        <v/>
      </c>
      <c r="T999">
        <f>T998+0.7</f>
        <v/>
      </c>
      <c r="U999">
        <f>U998+1.1</f>
        <v/>
      </c>
      <c r="V999">
        <f>V998+0.25</f>
        <v/>
      </c>
      <c r="W999">
        <f>W998+0.5</f>
        <v/>
      </c>
    </row>
    <row r="1000">
      <c r="E1000">
        <f>O1000=ROUND(989*0.1,10)</f>
        <v/>
      </c>
      <c r="F1000">
        <f>P1000=ROUND(989*0.2,10)</f>
        <v/>
      </c>
      <c r="G1000">
        <f>Q1000=ROUND(989*0.3,10)</f>
        <v/>
      </c>
      <c r="H1000">
        <f>R1000=ROUND(989*0.05,10)</f>
        <v/>
      </c>
      <c r="I1000">
        <f>S1000=ROUND(989*0.01,10)</f>
        <v/>
      </c>
      <c r="J1000">
        <f>T1000=ROUND(989*0.7,10)</f>
        <v/>
      </c>
      <c r="K1000">
        <f>U1000=ROUND(989*1.1,10)</f>
        <v/>
      </c>
      <c r="L1000">
        <f>V1000=ROUND(989*0.25,10)</f>
        <v/>
      </c>
      <c r="M1000">
        <f>W1000=ROUND(989*0.5,10)</f>
        <v/>
      </c>
      <c r="O1000">
        <f>O999+0.1</f>
        <v/>
      </c>
      <c r="P1000">
        <f>P999+0.2</f>
        <v/>
      </c>
      <c r="Q1000">
        <f>Q999+0.3</f>
        <v/>
      </c>
      <c r="R1000">
        <f>R999+0.05</f>
        <v/>
      </c>
      <c r="S1000">
        <f>S999+0.01</f>
        <v/>
      </c>
      <c r="T1000">
        <f>T999+0.7</f>
        <v/>
      </c>
      <c r="U1000">
        <f>U999+1.1</f>
        <v/>
      </c>
      <c r="V1000">
        <f>V999+0.25</f>
        <v/>
      </c>
      <c r="W1000">
        <f>W999+0.5</f>
        <v/>
      </c>
    </row>
    <row r="1001">
      <c r="E1001">
        <f>O1001=ROUND(990*0.1,10)</f>
        <v/>
      </c>
      <c r="F1001">
        <f>P1001=ROUND(990*0.2,10)</f>
        <v/>
      </c>
      <c r="G1001">
        <f>Q1001=ROUND(990*0.3,10)</f>
        <v/>
      </c>
      <c r="H1001">
        <f>R1001=ROUND(990*0.05,10)</f>
        <v/>
      </c>
      <c r="I1001">
        <f>S1001=ROUND(990*0.01,10)</f>
        <v/>
      </c>
      <c r="J1001">
        <f>T1001=ROUND(990*0.7,10)</f>
        <v/>
      </c>
      <c r="K1001">
        <f>U1001=ROUND(990*1.1,10)</f>
        <v/>
      </c>
      <c r="L1001">
        <f>V1001=ROUND(990*0.25,10)</f>
        <v/>
      </c>
      <c r="M1001">
        <f>W1001=ROUND(990*0.5,10)</f>
        <v/>
      </c>
      <c r="O1001">
        <f>O1000+0.1</f>
        <v/>
      </c>
      <c r="P1001">
        <f>P1000+0.2</f>
        <v/>
      </c>
      <c r="Q1001">
        <f>Q1000+0.3</f>
        <v/>
      </c>
      <c r="R1001">
        <f>R1000+0.05</f>
        <v/>
      </c>
      <c r="S1001">
        <f>S1000+0.01</f>
        <v/>
      </c>
      <c r="T1001">
        <f>T1000+0.7</f>
        <v/>
      </c>
      <c r="U1001">
        <f>U1000+1.1</f>
        <v/>
      </c>
      <c r="V1001">
        <f>V1000+0.25</f>
        <v/>
      </c>
      <c r="W1001">
        <f>W1000+0.5</f>
        <v/>
      </c>
    </row>
    <row r="1002">
      <c r="E1002">
        <f>O1002=ROUND(991*0.1,10)</f>
        <v/>
      </c>
      <c r="F1002">
        <f>P1002=ROUND(991*0.2,10)</f>
        <v/>
      </c>
      <c r="G1002">
        <f>Q1002=ROUND(991*0.3,10)</f>
        <v/>
      </c>
      <c r="H1002">
        <f>R1002=ROUND(991*0.05,10)</f>
        <v/>
      </c>
      <c r="I1002">
        <f>S1002=ROUND(991*0.01,10)</f>
        <v/>
      </c>
      <c r="J1002">
        <f>T1002=ROUND(991*0.7,10)</f>
        <v/>
      </c>
      <c r="K1002">
        <f>U1002=ROUND(991*1.1,10)</f>
        <v/>
      </c>
      <c r="L1002">
        <f>V1002=ROUND(991*0.25,10)</f>
        <v/>
      </c>
      <c r="M1002">
        <f>W1002=ROUND(991*0.5,10)</f>
        <v/>
      </c>
      <c r="O1002">
        <f>O1001+0.1</f>
        <v/>
      </c>
      <c r="P1002">
        <f>P1001+0.2</f>
        <v/>
      </c>
      <c r="Q1002">
        <f>Q1001+0.3</f>
        <v/>
      </c>
      <c r="R1002">
        <f>R1001+0.05</f>
        <v/>
      </c>
      <c r="S1002">
        <f>S1001+0.01</f>
        <v/>
      </c>
      <c r="T1002">
        <f>T1001+0.7</f>
        <v/>
      </c>
      <c r="U1002">
        <f>U1001+1.1</f>
        <v/>
      </c>
      <c r="V1002">
        <f>V1001+0.25</f>
        <v/>
      </c>
      <c r="W1002">
        <f>W1001+0.5</f>
        <v/>
      </c>
    </row>
    <row r="1003">
      <c r="E1003">
        <f>O1003=ROUND(992*0.1,10)</f>
        <v/>
      </c>
      <c r="F1003">
        <f>P1003=ROUND(992*0.2,10)</f>
        <v/>
      </c>
      <c r="G1003">
        <f>Q1003=ROUND(992*0.3,10)</f>
        <v/>
      </c>
      <c r="H1003">
        <f>R1003=ROUND(992*0.05,10)</f>
        <v/>
      </c>
      <c r="I1003">
        <f>S1003=ROUND(992*0.01,10)</f>
        <v/>
      </c>
      <c r="J1003">
        <f>T1003=ROUND(992*0.7,10)</f>
        <v/>
      </c>
      <c r="K1003">
        <f>U1003=ROUND(992*1.1,10)</f>
        <v/>
      </c>
      <c r="L1003">
        <f>V1003=ROUND(992*0.25,10)</f>
        <v/>
      </c>
      <c r="M1003">
        <f>W1003=ROUND(992*0.5,10)</f>
        <v/>
      </c>
      <c r="O1003">
        <f>O1002+0.1</f>
        <v/>
      </c>
      <c r="P1003">
        <f>P1002+0.2</f>
        <v/>
      </c>
      <c r="Q1003">
        <f>Q1002+0.3</f>
        <v/>
      </c>
      <c r="R1003">
        <f>R1002+0.05</f>
        <v/>
      </c>
      <c r="S1003">
        <f>S1002+0.01</f>
        <v/>
      </c>
      <c r="T1003">
        <f>T1002+0.7</f>
        <v/>
      </c>
      <c r="U1003">
        <f>U1002+1.1</f>
        <v/>
      </c>
      <c r="V1003">
        <f>V1002+0.25</f>
        <v/>
      </c>
      <c r="W1003">
        <f>W1002+0.5</f>
        <v/>
      </c>
    </row>
    <row r="1004">
      <c r="E1004">
        <f>O1004=ROUND(993*0.1,10)</f>
        <v/>
      </c>
      <c r="F1004">
        <f>P1004=ROUND(993*0.2,10)</f>
        <v/>
      </c>
      <c r="G1004">
        <f>Q1004=ROUND(993*0.3,10)</f>
        <v/>
      </c>
      <c r="H1004">
        <f>R1004=ROUND(993*0.05,10)</f>
        <v/>
      </c>
      <c r="I1004">
        <f>S1004=ROUND(993*0.01,10)</f>
        <v/>
      </c>
      <c r="J1004">
        <f>T1004=ROUND(993*0.7,10)</f>
        <v/>
      </c>
      <c r="K1004">
        <f>U1004=ROUND(993*1.1,10)</f>
        <v/>
      </c>
      <c r="L1004">
        <f>V1004=ROUND(993*0.25,10)</f>
        <v/>
      </c>
      <c r="M1004">
        <f>W1004=ROUND(993*0.5,10)</f>
        <v/>
      </c>
      <c r="O1004">
        <f>O1003+0.1</f>
        <v/>
      </c>
      <c r="P1004">
        <f>P1003+0.2</f>
        <v/>
      </c>
      <c r="Q1004">
        <f>Q1003+0.3</f>
        <v/>
      </c>
      <c r="R1004">
        <f>R1003+0.05</f>
        <v/>
      </c>
      <c r="S1004">
        <f>S1003+0.01</f>
        <v/>
      </c>
      <c r="T1004">
        <f>T1003+0.7</f>
        <v/>
      </c>
      <c r="U1004">
        <f>U1003+1.1</f>
        <v/>
      </c>
      <c r="V1004">
        <f>V1003+0.25</f>
        <v/>
      </c>
      <c r="W1004">
        <f>W1003+0.5</f>
        <v/>
      </c>
    </row>
    <row r="1005">
      <c r="E1005">
        <f>O1005=ROUND(994*0.1,10)</f>
        <v/>
      </c>
      <c r="F1005">
        <f>P1005=ROUND(994*0.2,10)</f>
        <v/>
      </c>
      <c r="G1005">
        <f>Q1005=ROUND(994*0.3,10)</f>
        <v/>
      </c>
      <c r="H1005">
        <f>R1005=ROUND(994*0.05,10)</f>
        <v/>
      </c>
      <c r="I1005">
        <f>S1005=ROUND(994*0.01,10)</f>
        <v/>
      </c>
      <c r="J1005">
        <f>T1005=ROUND(994*0.7,10)</f>
        <v/>
      </c>
      <c r="K1005">
        <f>U1005=ROUND(994*1.1,10)</f>
        <v/>
      </c>
      <c r="L1005">
        <f>V1005=ROUND(994*0.25,10)</f>
        <v/>
      </c>
      <c r="M1005">
        <f>W1005=ROUND(994*0.5,10)</f>
        <v/>
      </c>
      <c r="O1005">
        <f>O1004+0.1</f>
        <v/>
      </c>
      <c r="P1005">
        <f>P1004+0.2</f>
        <v/>
      </c>
      <c r="Q1005">
        <f>Q1004+0.3</f>
        <v/>
      </c>
      <c r="R1005">
        <f>R1004+0.05</f>
        <v/>
      </c>
      <c r="S1005">
        <f>S1004+0.01</f>
        <v/>
      </c>
      <c r="T1005">
        <f>T1004+0.7</f>
        <v/>
      </c>
      <c r="U1005">
        <f>U1004+1.1</f>
        <v/>
      </c>
      <c r="V1005">
        <f>V1004+0.25</f>
        <v/>
      </c>
      <c r="W1005">
        <f>W1004+0.5</f>
        <v/>
      </c>
    </row>
    <row r="1006">
      <c r="E1006">
        <f>O1006=ROUND(995*0.1,10)</f>
        <v/>
      </c>
      <c r="F1006">
        <f>P1006=ROUND(995*0.2,10)</f>
        <v/>
      </c>
      <c r="G1006">
        <f>Q1006=ROUND(995*0.3,10)</f>
        <v/>
      </c>
      <c r="H1006">
        <f>R1006=ROUND(995*0.05,10)</f>
        <v/>
      </c>
      <c r="I1006">
        <f>S1006=ROUND(995*0.01,10)</f>
        <v/>
      </c>
      <c r="J1006">
        <f>T1006=ROUND(995*0.7,10)</f>
        <v/>
      </c>
      <c r="K1006">
        <f>U1006=ROUND(995*1.1,10)</f>
        <v/>
      </c>
      <c r="L1006">
        <f>V1006=ROUND(995*0.25,10)</f>
        <v/>
      </c>
      <c r="M1006">
        <f>W1006=ROUND(995*0.5,10)</f>
        <v/>
      </c>
      <c r="O1006">
        <f>O1005+0.1</f>
        <v/>
      </c>
      <c r="P1006">
        <f>P1005+0.2</f>
        <v/>
      </c>
      <c r="Q1006">
        <f>Q1005+0.3</f>
        <v/>
      </c>
      <c r="R1006">
        <f>R1005+0.05</f>
        <v/>
      </c>
      <c r="S1006">
        <f>S1005+0.01</f>
        <v/>
      </c>
      <c r="T1006">
        <f>T1005+0.7</f>
        <v/>
      </c>
      <c r="U1006">
        <f>U1005+1.1</f>
        <v/>
      </c>
      <c r="V1006">
        <f>V1005+0.25</f>
        <v/>
      </c>
      <c r="W1006">
        <f>W1005+0.5</f>
        <v/>
      </c>
    </row>
    <row r="1007">
      <c r="E1007">
        <f>O1007=ROUND(996*0.1,10)</f>
        <v/>
      </c>
      <c r="F1007">
        <f>P1007=ROUND(996*0.2,10)</f>
        <v/>
      </c>
      <c r="G1007">
        <f>Q1007=ROUND(996*0.3,10)</f>
        <v/>
      </c>
      <c r="H1007">
        <f>R1007=ROUND(996*0.05,10)</f>
        <v/>
      </c>
      <c r="I1007">
        <f>S1007=ROUND(996*0.01,10)</f>
        <v/>
      </c>
      <c r="J1007">
        <f>T1007=ROUND(996*0.7,10)</f>
        <v/>
      </c>
      <c r="K1007">
        <f>U1007=ROUND(996*1.1,10)</f>
        <v/>
      </c>
      <c r="L1007">
        <f>V1007=ROUND(996*0.25,10)</f>
        <v/>
      </c>
      <c r="M1007">
        <f>W1007=ROUND(996*0.5,10)</f>
        <v/>
      </c>
      <c r="O1007">
        <f>O1006+0.1</f>
        <v/>
      </c>
      <c r="P1007">
        <f>P1006+0.2</f>
        <v/>
      </c>
      <c r="Q1007">
        <f>Q1006+0.3</f>
        <v/>
      </c>
      <c r="R1007">
        <f>R1006+0.05</f>
        <v/>
      </c>
      <c r="S1007">
        <f>S1006+0.01</f>
        <v/>
      </c>
      <c r="T1007">
        <f>T1006+0.7</f>
        <v/>
      </c>
      <c r="U1007">
        <f>U1006+1.1</f>
        <v/>
      </c>
      <c r="V1007">
        <f>V1006+0.25</f>
        <v/>
      </c>
      <c r="W1007">
        <f>W1006+0.5</f>
        <v/>
      </c>
    </row>
    <row r="1008">
      <c r="E1008">
        <f>O1008=ROUND(997*0.1,10)</f>
        <v/>
      </c>
      <c r="F1008">
        <f>P1008=ROUND(997*0.2,10)</f>
        <v/>
      </c>
      <c r="G1008">
        <f>Q1008=ROUND(997*0.3,10)</f>
        <v/>
      </c>
      <c r="H1008">
        <f>R1008=ROUND(997*0.05,10)</f>
        <v/>
      </c>
      <c r="I1008">
        <f>S1008=ROUND(997*0.01,10)</f>
        <v/>
      </c>
      <c r="J1008">
        <f>T1008=ROUND(997*0.7,10)</f>
        <v/>
      </c>
      <c r="K1008">
        <f>U1008=ROUND(997*1.1,10)</f>
        <v/>
      </c>
      <c r="L1008">
        <f>V1008=ROUND(997*0.25,10)</f>
        <v/>
      </c>
      <c r="M1008">
        <f>W1008=ROUND(997*0.5,10)</f>
        <v/>
      </c>
      <c r="O1008">
        <f>O1007+0.1</f>
        <v/>
      </c>
      <c r="P1008">
        <f>P1007+0.2</f>
        <v/>
      </c>
      <c r="Q1008">
        <f>Q1007+0.3</f>
        <v/>
      </c>
      <c r="R1008">
        <f>R1007+0.05</f>
        <v/>
      </c>
      <c r="S1008">
        <f>S1007+0.01</f>
        <v/>
      </c>
      <c r="T1008">
        <f>T1007+0.7</f>
        <v/>
      </c>
      <c r="U1008">
        <f>U1007+1.1</f>
        <v/>
      </c>
      <c r="V1008">
        <f>V1007+0.25</f>
        <v/>
      </c>
      <c r="W1008">
        <f>W1007+0.5</f>
        <v/>
      </c>
    </row>
    <row r="1009">
      <c r="E1009">
        <f>O1009=ROUND(998*0.1,10)</f>
        <v/>
      </c>
      <c r="F1009">
        <f>P1009=ROUND(998*0.2,10)</f>
        <v/>
      </c>
      <c r="G1009">
        <f>Q1009=ROUND(998*0.3,10)</f>
        <v/>
      </c>
      <c r="H1009">
        <f>R1009=ROUND(998*0.05,10)</f>
        <v/>
      </c>
      <c r="I1009">
        <f>S1009=ROUND(998*0.01,10)</f>
        <v/>
      </c>
      <c r="J1009">
        <f>T1009=ROUND(998*0.7,10)</f>
        <v/>
      </c>
      <c r="K1009">
        <f>U1009=ROUND(998*1.1,10)</f>
        <v/>
      </c>
      <c r="L1009">
        <f>V1009=ROUND(998*0.25,10)</f>
        <v/>
      </c>
      <c r="M1009">
        <f>W1009=ROUND(998*0.5,10)</f>
        <v/>
      </c>
      <c r="O1009">
        <f>O1008+0.1</f>
        <v/>
      </c>
      <c r="P1009">
        <f>P1008+0.2</f>
        <v/>
      </c>
      <c r="Q1009">
        <f>Q1008+0.3</f>
        <v/>
      </c>
      <c r="R1009">
        <f>R1008+0.05</f>
        <v/>
      </c>
      <c r="S1009">
        <f>S1008+0.01</f>
        <v/>
      </c>
      <c r="T1009">
        <f>T1008+0.7</f>
        <v/>
      </c>
      <c r="U1009">
        <f>U1008+1.1</f>
        <v/>
      </c>
      <c r="V1009">
        <f>V1008+0.25</f>
        <v/>
      </c>
      <c r="W1009">
        <f>W1008+0.5</f>
        <v/>
      </c>
    </row>
    <row r="1010">
      <c r="E1010">
        <f>O1010=ROUND(999*0.1,10)</f>
        <v/>
      </c>
      <c r="F1010">
        <f>P1010=ROUND(999*0.2,10)</f>
        <v/>
      </c>
      <c r="G1010">
        <f>Q1010=ROUND(999*0.3,10)</f>
        <v/>
      </c>
      <c r="H1010">
        <f>R1010=ROUND(999*0.05,10)</f>
        <v/>
      </c>
      <c r="I1010">
        <f>S1010=ROUND(999*0.01,10)</f>
        <v/>
      </c>
      <c r="J1010">
        <f>T1010=ROUND(999*0.7,10)</f>
        <v/>
      </c>
      <c r="K1010">
        <f>U1010=ROUND(999*1.1,10)</f>
        <v/>
      </c>
      <c r="L1010">
        <f>V1010=ROUND(999*0.25,10)</f>
        <v/>
      </c>
      <c r="M1010">
        <f>W1010=ROUND(999*0.5,10)</f>
        <v/>
      </c>
      <c r="O1010">
        <f>O1009+0.1</f>
        <v/>
      </c>
      <c r="P1010">
        <f>P1009+0.2</f>
        <v/>
      </c>
      <c r="Q1010">
        <f>Q1009+0.3</f>
        <v/>
      </c>
      <c r="R1010">
        <f>R1009+0.05</f>
        <v/>
      </c>
      <c r="S1010">
        <f>S1009+0.01</f>
        <v/>
      </c>
      <c r="T1010">
        <f>T1009+0.7</f>
        <v/>
      </c>
      <c r="U1010">
        <f>U1009+1.1</f>
        <v/>
      </c>
      <c r="V1010">
        <f>V1009+0.25</f>
        <v/>
      </c>
      <c r="W1010">
        <f>W1009+0.5</f>
        <v/>
      </c>
    </row>
    <row r="1011">
      <c r="E1011">
        <f>O1011=ROUND(1000*0.1,10)</f>
        <v/>
      </c>
      <c r="F1011">
        <f>P1011=ROUND(1000*0.2,10)</f>
        <v/>
      </c>
      <c r="G1011">
        <f>Q1011=ROUND(1000*0.3,10)</f>
        <v/>
      </c>
      <c r="H1011">
        <f>R1011=ROUND(1000*0.05,10)</f>
        <v/>
      </c>
      <c r="I1011">
        <f>S1011=ROUND(1000*0.01,10)</f>
        <v/>
      </c>
      <c r="J1011">
        <f>T1011=ROUND(1000*0.7,10)</f>
        <v/>
      </c>
      <c r="K1011">
        <f>U1011=ROUND(1000*1.1,10)</f>
        <v/>
      </c>
      <c r="L1011">
        <f>V1011=ROUND(1000*0.25,10)</f>
        <v/>
      </c>
      <c r="M1011">
        <f>W1011=ROUND(1000*0.5,10)</f>
        <v/>
      </c>
      <c r="O1011">
        <f>O1010+0.1</f>
        <v/>
      </c>
      <c r="P1011">
        <f>P1010+0.2</f>
        <v/>
      </c>
      <c r="Q1011">
        <f>Q1010+0.3</f>
        <v/>
      </c>
      <c r="R1011">
        <f>R1010+0.05</f>
        <v/>
      </c>
      <c r="S1011">
        <f>S1010+0.01</f>
        <v/>
      </c>
      <c r="T1011">
        <f>T1010+0.7</f>
        <v/>
      </c>
      <c r="U1011">
        <f>U1010+1.1</f>
        <v/>
      </c>
      <c r="V1011">
        <f>V1010+0.25</f>
        <v/>
      </c>
      <c r="W1011">
        <f>W1010+0.5</f>
        <v/>
      </c>
    </row>
    <row r="1012">
      <c r="E1012">
        <f>O1012=ROUND(1001*0.1,10)</f>
        <v/>
      </c>
      <c r="F1012">
        <f>P1012=ROUND(1001*0.2,10)</f>
        <v/>
      </c>
      <c r="G1012">
        <f>Q1012=ROUND(1001*0.3,10)</f>
        <v/>
      </c>
      <c r="H1012">
        <f>R1012=ROUND(1001*0.05,10)</f>
        <v/>
      </c>
      <c r="I1012">
        <f>S1012=ROUND(1001*0.01,10)</f>
        <v/>
      </c>
      <c r="J1012">
        <f>T1012=ROUND(1001*0.7,10)</f>
        <v/>
      </c>
      <c r="K1012">
        <f>U1012=ROUND(1001*1.1,10)</f>
        <v/>
      </c>
      <c r="L1012">
        <f>V1012=ROUND(1001*0.25,10)</f>
        <v/>
      </c>
      <c r="M1012">
        <f>W1012=ROUND(1001*0.5,10)</f>
        <v/>
      </c>
      <c r="O1012">
        <f>O1011+0.1</f>
        <v/>
      </c>
      <c r="P1012">
        <f>P1011+0.2</f>
        <v/>
      </c>
      <c r="Q1012">
        <f>Q1011+0.3</f>
        <v/>
      </c>
      <c r="R1012">
        <f>R1011+0.05</f>
        <v/>
      </c>
      <c r="S1012">
        <f>S1011+0.01</f>
        <v/>
      </c>
      <c r="T1012">
        <f>T1011+0.7</f>
        <v/>
      </c>
      <c r="U1012">
        <f>U1011+1.1</f>
        <v/>
      </c>
      <c r="V1012">
        <f>V1011+0.25</f>
        <v/>
      </c>
      <c r="W1012">
        <f>W1011+0.5</f>
        <v/>
      </c>
    </row>
    <row r="1013">
      <c r="E1013">
        <f>O1013=ROUND(1002*0.1,10)</f>
        <v/>
      </c>
      <c r="F1013">
        <f>P1013=ROUND(1002*0.2,10)</f>
        <v/>
      </c>
      <c r="G1013">
        <f>Q1013=ROUND(1002*0.3,10)</f>
        <v/>
      </c>
      <c r="H1013">
        <f>R1013=ROUND(1002*0.05,10)</f>
        <v/>
      </c>
      <c r="I1013">
        <f>S1013=ROUND(1002*0.01,10)</f>
        <v/>
      </c>
      <c r="J1013">
        <f>T1013=ROUND(1002*0.7,10)</f>
        <v/>
      </c>
      <c r="K1013">
        <f>U1013=ROUND(1002*1.1,10)</f>
        <v/>
      </c>
      <c r="L1013">
        <f>V1013=ROUND(1002*0.25,10)</f>
        <v/>
      </c>
      <c r="M1013">
        <f>W1013=ROUND(1002*0.5,10)</f>
        <v/>
      </c>
      <c r="O1013">
        <f>O1012+0.1</f>
        <v/>
      </c>
      <c r="P1013">
        <f>P1012+0.2</f>
        <v/>
      </c>
      <c r="Q1013">
        <f>Q1012+0.3</f>
        <v/>
      </c>
      <c r="R1013">
        <f>R1012+0.05</f>
        <v/>
      </c>
      <c r="S1013">
        <f>S1012+0.01</f>
        <v/>
      </c>
      <c r="T1013">
        <f>T1012+0.7</f>
        <v/>
      </c>
      <c r="U1013">
        <f>U1012+1.1</f>
        <v/>
      </c>
      <c r="V1013">
        <f>V1012+0.25</f>
        <v/>
      </c>
      <c r="W1013">
        <f>W1012+0.5</f>
        <v/>
      </c>
    </row>
    <row r="1014">
      <c r="E1014">
        <f>O1014=ROUND(1003*0.1,10)</f>
        <v/>
      </c>
      <c r="F1014">
        <f>P1014=ROUND(1003*0.2,10)</f>
        <v/>
      </c>
      <c r="G1014">
        <f>Q1014=ROUND(1003*0.3,10)</f>
        <v/>
      </c>
      <c r="H1014">
        <f>R1014=ROUND(1003*0.05,10)</f>
        <v/>
      </c>
      <c r="I1014">
        <f>S1014=ROUND(1003*0.01,10)</f>
        <v/>
      </c>
      <c r="J1014">
        <f>T1014=ROUND(1003*0.7,10)</f>
        <v/>
      </c>
      <c r="K1014">
        <f>U1014=ROUND(1003*1.1,10)</f>
        <v/>
      </c>
      <c r="L1014">
        <f>V1014=ROUND(1003*0.25,10)</f>
        <v/>
      </c>
      <c r="M1014">
        <f>W1014=ROUND(1003*0.5,10)</f>
        <v/>
      </c>
      <c r="O1014">
        <f>O1013+0.1</f>
        <v/>
      </c>
      <c r="P1014">
        <f>P1013+0.2</f>
        <v/>
      </c>
      <c r="Q1014">
        <f>Q1013+0.3</f>
        <v/>
      </c>
      <c r="R1014">
        <f>R1013+0.05</f>
        <v/>
      </c>
      <c r="S1014">
        <f>S1013+0.01</f>
        <v/>
      </c>
      <c r="T1014">
        <f>T1013+0.7</f>
        <v/>
      </c>
      <c r="U1014">
        <f>U1013+1.1</f>
        <v/>
      </c>
      <c r="V1014">
        <f>V1013+0.25</f>
        <v/>
      </c>
      <c r="W1014">
        <f>W1013+0.5</f>
        <v/>
      </c>
    </row>
    <row r="1015">
      <c r="E1015">
        <f>O1015=ROUND(1004*0.1,10)</f>
        <v/>
      </c>
      <c r="F1015">
        <f>P1015=ROUND(1004*0.2,10)</f>
        <v/>
      </c>
      <c r="G1015">
        <f>Q1015=ROUND(1004*0.3,10)</f>
        <v/>
      </c>
      <c r="H1015">
        <f>R1015=ROUND(1004*0.05,10)</f>
        <v/>
      </c>
      <c r="I1015">
        <f>S1015=ROUND(1004*0.01,10)</f>
        <v/>
      </c>
      <c r="J1015">
        <f>T1015=ROUND(1004*0.7,10)</f>
        <v/>
      </c>
      <c r="K1015">
        <f>U1015=ROUND(1004*1.1,10)</f>
        <v/>
      </c>
      <c r="L1015">
        <f>V1015=ROUND(1004*0.25,10)</f>
        <v/>
      </c>
      <c r="M1015">
        <f>W1015=ROUND(1004*0.5,10)</f>
        <v/>
      </c>
      <c r="O1015">
        <f>O1014+0.1</f>
        <v/>
      </c>
      <c r="P1015">
        <f>P1014+0.2</f>
        <v/>
      </c>
      <c r="Q1015">
        <f>Q1014+0.3</f>
        <v/>
      </c>
      <c r="R1015">
        <f>R1014+0.05</f>
        <v/>
      </c>
      <c r="S1015">
        <f>S1014+0.01</f>
        <v/>
      </c>
      <c r="T1015">
        <f>T1014+0.7</f>
        <v/>
      </c>
      <c r="U1015">
        <f>U1014+1.1</f>
        <v/>
      </c>
      <c r="V1015">
        <f>V1014+0.25</f>
        <v/>
      </c>
      <c r="W1015">
        <f>W1014+0.5</f>
        <v/>
      </c>
    </row>
    <row r="1016">
      <c r="E1016">
        <f>O1016=ROUND(1005*0.1,10)</f>
        <v/>
      </c>
      <c r="F1016">
        <f>P1016=ROUND(1005*0.2,10)</f>
        <v/>
      </c>
      <c r="G1016">
        <f>Q1016=ROUND(1005*0.3,10)</f>
        <v/>
      </c>
      <c r="H1016">
        <f>R1016=ROUND(1005*0.05,10)</f>
        <v/>
      </c>
      <c r="I1016">
        <f>S1016=ROUND(1005*0.01,10)</f>
        <v/>
      </c>
      <c r="J1016">
        <f>T1016=ROUND(1005*0.7,10)</f>
        <v/>
      </c>
      <c r="K1016">
        <f>U1016=ROUND(1005*1.1,10)</f>
        <v/>
      </c>
      <c r="L1016">
        <f>V1016=ROUND(1005*0.25,10)</f>
        <v/>
      </c>
      <c r="M1016">
        <f>W1016=ROUND(1005*0.5,10)</f>
        <v/>
      </c>
      <c r="O1016">
        <f>O1015+0.1</f>
        <v/>
      </c>
      <c r="P1016">
        <f>P1015+0.2</f>
        <v/>
      </c>
      <c r="Q1016">
        <f>Q1015+0.3</f>
        <v/>
      </c>
      <c r="R1016">
        <f>R1015+0.05</f>
        <v/>
      </c>
      <c r="S1016">
        <f>S1015+0.01</f>
        <v/>
      </c>
      <c r="T1016">
        <f>T1015+0.7</f>
        <v/>
      </c>
      <c r="U1016">
        <f>U1015+1.1</f>
        <v/>
      </c>
      <c r="V1016">
        <f>V1015+0.25</f>
        <v/>
      </c>
      <c r="W1016">
        <f>W1015+0.5</f>
        <v/>
      </c>
    </row>
    <row r="1017">
      <c r="E1017">
        <f>O1017=ROUND(1006*0.1,10)</f>
        <v/>
      </c>
      <c r="F1017">
        <f>P1017=ROUND(1006*0.2,10)</f>
        <v/>
      </c>
      <c r="G1017">
        <f>Q1017=ROUND(1006*0.3,10)</f>
        <v/>
      </c>
      <c r="H1017">
        <f>R1017=ROUND(1006*0.05,10)</f>
        <v/>
      </c>
      <c r="I1017">
        <f>S1017=ROUND(1006*0.01,10)</f>
        <v/>
      </c>
      <c r="J1017">
        <f>T1017=ROUND(1006*0.7,10)</f>
        <v/>
      </c>
      <c r="K1017">
        <f>U1017=ROUND(1006*1.1,10)</f>
        <v/>
      </c>
      <c r="L1017">
        <f>V1017=ROUND(1006*0.25,10)</f>
        <v/>
      </c>
      <c r="M1017">
        <f>W1017=ROUND(1006*0.5,10)</f>
        <v/>
      </c>
      <c r="O1017">
        <f>O1016+0.1</f>
        <v/>
      </c>
      <c r="P1017">
        <f>P1016+0.2</f>
        <v/>
      </c>
      <c r="Q1017">
        <f>Q1016+0.3</f>
        <v/>
      </c>
      <c r="R1017">
        <f>R1016+0.05</f>
        <v/>
      </c>
      <c r="S1017">
        <f>S1016+0.01</f>
        <v/>
      </c>
      <c r="T1017">
        <f>T1016+0.7</f>
        <v/>
      </c>
      <c r="U1017">
        <f>U1016+1.1</f>
        <v/>
      </c>
      <c r="V1017">
        <f>V1016+0.25</f>
        <v/>
      </c>
      <c r="W1017">
        <f>W1016+0.5</f>
        <v/>
      </c>
    </row>
    <row r="1018">
      <c r="E1018">
        <f>O1018=ROUND(1007*0.1,10)</f>
        <v/>
      </c>
      <c r="F1018">
        <f>P1018=ROUND(1007*0.2,10)</f>
        <v/>
      </c>
      <c r="G1018">
        <f>Q1018=ROUND(1007*0.3,10)</f>
        <v/>
      </c>
      <c r="H1018">
        <f>R1018=ROUND(1007*0.05,10)</f>
        <v/>
      </c>
      <c r="I1018">
        <f>S1018=ROUND(1007*0.01,10)</f>
        <v/>
      </c>
      <c r="J1018">
        <f>T1018=ROUND(1007*0.7,10)</f>
        <v/>
      </c>
      <c r="K1018">
        <f>U1018=ROUND(1007*1.1,10)</f>
        <v/>
      </c>
      <c r="L1018">
        <f>V1018=ROUND(1007*0.25,10)</f>
        <v/>
      </c>
      <c r="M1018">
        <f>W1018=ROUND(1007*0.5,10)</f>
        <v/>
      </c>
      <c r="O1018">
        <f>O1017+0.1</f>
        <v/>
      </c>
      <c r="P1018">
        <f>P1017+0.2</f>
        <v/>
      </c>
      <c r="Q1018">
        <f>Q1017+0.3</f>
        <v/>
      </c>
      <c r="R1018">
        <f>R1017+0.05</f>
        <v/>
      </c>
      <c r="S1018">
        <f>S1017+0.01</f>
        <v/>
      </c>
      <c r="T1018">
        <f>T1017+0.7</f>
        <v/>
      </c>
      <c r="U1018">
        <f>U1017+1.1</f>
        <v/>
      </c>
      <c r="V1018">
        <f>V1017+0.25</f>
        <v/>
      </c>
      <c r="W1018">
        <f>W1017+0.5</f>
        <v/>
      </c>
    </row>
    <row r="1019">
      <c r="E1019">
        <f>O1019=ROUND(1008*0.1,10)</f>
        <v/>
      </c>
      <c r="F1019">
        <f>P1019=ROUND(1008*0.2,10)</f>
        <v/>
      </c>
      <c r="G1019">
        <f>Q1019=ROUND(1008*0.3,10)</f>
        <v/>
      </c>
      <c r="H1019">
        <f>R1019=ROUND(1008*0.05,10)</f>
        <v/>
      </c>
      <c r="I1019">
        <f>S1019=ROUND(1008*0.01,10)</f>
        <v/>
      </c>
      <c r="J1019">
        <f>T1019=ROUND(1008*0.7,10)</f>
        <v/>
      </c>
      <c r="K1019">
        <f>U1019=ROUND(1008*1.1,10)</f>
        <v/>
      </c>
      <c r="L1019">
        <f>V1019=ROUND(1008*0.25,10)</f>
        <v/>
      </c>
      <c r="M1019">
        <f>W1019=ROUND(1008*0.5,10)</f>
        <v/>
      </c>
      <c r="O1019">
        <f>O1018+0.1</f>
        <v/>
      </c>
      <c r="P1019">
        <f>P1018+0.2</f>
        <v/>
      </c>
      <c r="Q1019">
        <f>Q1018+0.3</f>
        <v/>
      </c>
      <c r="R1019">
        <f>R1018+0.05</f>
        <v/>
      </c>
      <c r="S1019">
        <f>S1018+0.01</f>
        <v/>
      </c>
      <c r="T1019">
        <f>T1018+0.7</f>
        <v/>
      </c>
      <c r="U1019">
        <f>U1018+1.1</f>
        <v/>
      </c>
      <c r="V1019">
        <f>V1018+0.25</f>
        <v/>
      </c>
      <c r="W1019">
        <f>W1018+0.5</f>
        <v/>
      </c>
    </row>
    <row r="1020">
      <c r="E1020">
        <f>O1020=ROUND(1009*0.1,10)</f>
        <v/>
      </c>
      <c r="F1020">
        <f>P1020=ROUND(1009*0.2,10)</f>
        <v/>
      </c>
      <c r="G1020">
        <f>Q1020=ROUND(1009*0.3,10)</f>
        <v/>
      </c>
      <c r="H1020">
        <f>R1020=ROUND(1009*0.05,10)</f>
        <v/>
      </c>
      <c r="I1020">
        <f>S1020=ROUND(1009*0.01,10)</f>
        <v/>
      </c>
      <c r="J1020">
        <f>T1020=ROUND(1009*0.7,10)</f>
        <v/>
      </c>
      <c r="K1020">
        <f>U1020=ROUND(1009*1.1,10)</f>
        <v/>
      </c>
      <c r="L1020">
        <f>V1020=ROUND(1009*0.25,10)</f>
        <v/>
      </c>
      <c r="M1020">
        <f>W1020=ROUND(1009*0.5,10)</f>
        <v/>
      </c>
      <c r="O1020">
        <f>O1019+0.1</f>
        <v/>
      </c>
      <c r="P1020">
        <f>P1019+0.2</f>
        <v/>
      </c>
      <c r="Q1020">
        <f>Q1019+0.3</f>
        <v/>
      </c>
      <c r="R1020">
        <f>R1019+0.05</f>
        <v/>
      </c>
      <c r="S1020">
        <f>S1019+0.01</f>
        <v/>
      </c>
      <c r="T1020">
        <f>T1019+0.7</f>
        <v/>
      </c>
      <c r="U1020">
        <f>U1019+1.1</f>
        <v/>
      </c>
      <c r="V1020">
        <f>V1019+0.25</f>
        <v/>
      </c>
      <c r="W1020">
        <f>W1019+0.5</f>
        <v/>
      </c>
    </row>
    <row r="1021">
      <c r="E1021">
        <f>O1021=ROUND(1010*0.1,10)</f>
        <v/>
      </c>
      <c r="F1021">
        <f>P1021=ROUND(1010*0.2,10)</f>
        <v/>
      </c>
      <c r="G1021">
        <f>Q1021=ROUND(1010*0.3,10)</f>
        <v/>
      </c>
      <c r="H1021">
        <f>R1021=ROUND(1010*0.05,10)</f>
        <v/>
      </c>
      <c r="I1021">
        <f>S1021=ROUND(1010*0.01,10)</f>
        <v/>
      </c>
      <c r="J1021">
        <f>T1021=ROUND(1010*0.7,10)</f>
        <v/>
      </c>
      <c r="K1021">
        <f>U1021=ROUND(1010*1.1,10)</f>
        <v/>
      </c>
      <c r="L1021">
        <f>V1021=ROUND(1010*0.25,10)</f>
        <v/>
      </c>
      <c r="M1021">
        <f>W1021=ROUND(1010*0.5,10)</f>
        <v/>
      </c>
      <c r="O1021">
        <f>O1020+0.1</f>
        <v/>
      </c>
      <c r="P1021">
        <f>P1020+0.2</f>
        <v/>
      </c>
      <c r="Q1021">
        <f>Q1020+0.3</f>
        <v/>
      </c>
      <c r="R1021">
        <f>R1020+0.05</f>
        <v/>
      </c>
      <c r="S1021">
        <f>S1020+0.01</f>
        <v/>
      </c>
      <c r="T1021">
        <f>T1020+0.7</f>
        <v/>
      </c>
      <c r="U1021">
        <f>U1020+1.1</f>
        <v/>
      </c>
      <c r="V1021">
        <f>V1020+0.25</f>
        <v/>
      </c>
      <c r="W1021">
        <f>W1020+0.5</f>
        <v/>
      </c>
    </row>
    <row r="1022">
      <c r="E1022">
        <f>O1022=ROUND(1011*0.1,10)</f>
        <v/>
      </c>
      <c r="F1022">
        <f>P1022=ROUND(1011*0.2,10)</f>
        <v/>
      </c>
      <c r="G1022">
        <f>Q1022=ROUND(1011*0.3,10)</f>
        <v/>
      </c>
      <c r="H1022">
        <f>R1022=ROUND(1011*0.05,10)</f>
        <v/>
      </c>
      <c r="I1022">
        <f>S1022=ROUND(1011*0.01,10)</f>
        <v/>
      </c>
      <c r="J1022">
        <f>T1022=ROUND(1011*0.7,10)</f>
        <v/>
      </c>
      <c r="K1022">
        <f>U1022=ROUND(1011*1.1,10)</f>
        <v/>
      </c>
      <c r="L1022">
        <f>V1022=ROUND(1011*0.25,10)</f>
        <v/>
      </c>
      <c r="M1022">
        <f>W1022=ROUND(1011*0.5,10)</f>
        <v/>
      </c>
      <c r="O1022">
        <f>O1021+0.1</f>
        <v/>
      </c>
      <c r="P1022">
        <f>P1021+0.2</f>
        <v/>
      </c>
      <c r="Q1022">
        <f>Q1021+0.3</f>
        <v/>
      </c>
      <c r="R1022">
        <f>R1021+0.05</f>
        <v/>
      </c>
      <c r="S1022">
        <f>S1021+0.01</f>
        <v/>
      </c>
      <c r="T1022">
        <f>T1021+0.7</f>
        <v/>
      </c>
      <c r="U1022">
        <f>U1021+1.1</f>
        <v/>
      </c>
      <c r="V1022">
        <f>V1021+0.25</f>
        <v/>
      </c>
      <c r="W1022">
        <f>W1021+0.5</f>
        <v/>
      </c>
    </row>
    <row r="1023">
      <c r="E1023">
        <f>O1023=ROUND(1012*0.1,10)</f>
        <v/>
      </c>
      <c r="F1023">
        <f>P1023=ROUND(1012*0.2,10)</f>
        <v/>
      </c>
      <c r="G1023">
        <f>Q1023=ROUND(1012*0.3,10)</f>
        <v/>
      </c>
      <c r="H1023">
        <f>R1023=ROUND(1012*0.05,10)</f>
        <v/>
      </c>
      <c r="I1023">
        <f>S1023=ROUND(1012*0.01,10)</f>
        <v/>
      </c>
      <c r="J1023">
        <f>T1023=ROUND(1012*0.7,10)</f>
        <v/>
      </c>
      <c r="K1023">
        <f>U1023=ROUND(1012*1.1,10)</f>
        <v/>
      </c>
      <c r="L1023">
        <f>V1023=ROUND(1012*0.25,10)</f>
        <v/>
      </c>
      <c r="M1023">
        <f>W1023=ROUND(1012*0.5,10)</f>
        <v/>
      </c>
      <c r="O1023">
        <f>O1022+0.1</f>
        <v/>
      </c>
      <c r="P1023">
        <f>P1022+0.2</f>
        <v/>
      </c>
      <c r="Q1023">
        <f>Q1022+0.3</f>
        <v/>
      </c>
      <c r="R1023">
        <f>R1022+0.05</f>
        <v/>
      </c>
      <c r="S1023">
        <f>S1022+0.01</f>
        <v/>
      </c>
      <c r="T1023">
        <f>T1022+0.7</f>
        <v/>
      </c>
      <c r="U1023">
        <f>U1022+1.1</f>
        <v/>
      </c>
      <c r="V1023">
        <f>V1022+0.25</f>
        <v/>
      </c>
      <c r="W1023">
        <f>W1022+0.5</f>
        <v/>
      </c>
    </row>
    <row r="1024">
      <c r="E1024">
        <f>O1024=ROUND(1013*0.1,10)</f>
        <v/>
      </c>
      <c r="F1024">
        <f>P1024=ROUND(1013*0.2,10)</f>
        <v/>
      </c>
      <c r="G1024">
        <f>Q1024=ROUND(1013*0.3,10)</f>
        <v/>
      </c>
      <c r="H1024">
        <f>R1024=ROUND(1013*0.05,10)</f>
        <v/>
      </c>
      <c r="I1024">
        <f>S1024=ROUND(1013*0.01,10)</f>
        <v/>
      </c>
      <c r="J1024">
        <f>T1024=ROUND(1013*0.7,10)</f>
        <v/>
      </c>
      <c r="K1024">
        <f>U1024=ROUND(1013*1.1,10)</f>
        <v/>
      </c>
      <c r="L1024">
        <f>V1024=ROUND(1013*0.25,10)</f>
        <v/>
      </c>
      <c r="M1024">
        <f>W1024=ROUND(1013*0.5,10)</f>
        <v/>
      </c>
      <c r="O1024">
        <f>O1023+0.1</f>
        <v/>
      </c>
      <c r="P1024">
        <f>P1023+0.2</f>
        <v/>
      </c>
      <c r="Q1024">
        <f>Q1023+0.3</f>
        <v/>
      </c>
      <c r="R1024">
        <f>R1023+0.05</f>
        <v/>
      </c>
      <c r="S1024">
        <f>S1023+0.01</f>
        <v/>
      </c>
      <c r="T1024">
        <f>T1023+0.7</f>
        <v/>
      </c>
      <c r="U1024">
        <f>U1023+1.1</f>
        <v/>
      </c>
      <c r="V1024">
        <f>V1023+0.25</f>
        <v/>
      </c>
      <c r="W1024">
        <f>W1023+0.5</f>
        <v/>
      </c>
    </row>
    <row r="1025">
      <c r="E1025">
        <f>O1025=ROUND(1014*0.1,10)</f>
        <v/>
      </c>
      <c r="F1025">
        <f>P1025=ROUND(1014*0.2,10)</f>
        <v/>
      </c>
      <c r="G1025">
        <f>Q1025=ROUND(1014*0.3,10)</f>
        <v/>
      </c>
      <c r="H1025">
        <f>R1025=ROUND(1014*0.05,10)</f>
        <v/>
      </c>
      <c r="I1025">
        <f>S1025=ROUND(1014*0.01,10)</f>
        <v/>
      </c>
      <c r="J1025">
        <f>T1025=ROUND(1014*0.7,10)</f>
        <v/>
      </c>
      <c r="K1025">
        <f>U1025=ROUND(1014*1.1,10)</f>
        <v/>
      </c>
      <c r="L1025">
        <f>V1025=ROUND(1014*0.25,10)</f>
        <v/>
      </c>
      <c r="M1025">
        <f>W1025=ROUND(1014*0.5,10)</f>
        <v/>
      </c>
      <c r="O1025">
        <f>O1024+0.1</f>
        <v/>
      </c>
      <c r="P1025">
        <f>P1024+0.2</f>
        <v/>
      </c>
      <c r="Q1025">
        <f>Q1024+0.3</f>
        <v/>
      </c>
      <c r="R1025">
        <f>R1024+0.05</f>
        <v/>
      </c>
      <c r="S1025">
        <f>S1024+0.01</f>
        <v/>
      </c>
      <c r="T1025">
        <f>T1024+0.7</f>
        <v/>
      </c>
      <c r="U1025">
        <f>U1024+1.1</f>
        <v/>
      </c>
      <c r="V1025">
        <f>V1024+0.25</f>
        <v/>
      </c>
      <c r="W1025">
        <f>W1024+0.5</f>
        <v/>
      </c>
    </row>
    <row r="1026">
      <c r="E1026">
        <f>O1026=ROUND(1015*0.1,10)</f>
        <v/>
      </c>
      <c r="F1026">
        <f>P1026=ROUND(1015*0.2,10)</f>
        <v/>
      </c>
      <c r="G1026">
        <f>Q1026=ROUND(1015*0.3,10)</f>
        <v/>
      </c>
      <c r="H1026">
        <f>R1026=ROUND(1015*0.05,10)</f>
        <v/>
      </c>
      <c r="I1026">
        <f>S1026=ROUND(1015*0.01,10)</f>
        <v/>
      </c>
      <c r="J1026">
        <f>T1026=ROUND(1015*0.7,10)</f>
        <v/>
      </c>
      <c r="K1026">
        <f>U1026=ROUND(1015*1.1,10)</f>
        <v/>
      </c>
      <c r="L1026">
        <f>V1026=ROUND(1015*0.25,10)</f>
        <v/>
      </c>
      <c r="M1026">
        <f>W1026=ROUND(1015*0.5,10)</f>
        <v/>
      </c>
      <c r="O1026">
        <f>O1025+0.1</f>
        <v/>
      </c>
      <c r="P1026">
        <f>P1025+0.2</f>
        <v/>
      </c>
      <c r="Q1026">
        <f>Q1025+0.3</f>
        <v/>
      </c>
      <c r="R1026">
        <f>R1025+0.05</f>
        <v/>
      </c>
      <c r="S1026">
        <f>S1025+0.01</f>
        <v/>
      </c>
      <c r="T1026">
        <f>T1025+0.7</f>
        <v/>
      </c>
      <c r="U1026">
        <f>U1025+1.1</f>
        <v/>
      </c>
      <c r="V1026">
        <f>V1025+0.25</f>
        <v/>
      </c>
      <c r="W1026">
        <f>W1025+0.5</f>
        <v/>
      </c>
    </row>
    <row r="1027">
      <c r="E1027">
        <f>O1027=ROUND(1016*0.1,10)</f>
        <v/>
      </c>
      <c r="F1027">
        <f>P1027=ROUND(1016*0.2,10)</f>
        <v/>
      </c>
      <c r="G1027">
        <f>Q1027=ROUND(1016*0.3,10)</f>
        <v/>
      </c>
      <c r="H1027">
        <f>R1027=ROUND(1016*0.05,10)</f>
        <v/>
      </c>
      <c r="I1027">
        <f>S1027=ROUND(1016*0.01,10)</f>
        <v/>
      </c>
      <c r="J1027">
        <f>T1027=ROUND(1016*0.7,10)</f>
        <v/>
      </c>
      <c r="K1027">
        <f>U1027=ROUND(1016*1.1,10)</f>
        <v/>
      </c>
      <c r="L1027">
        <f>V1027=ROUND(1016*0.25,10)</f>
        <v/>
      </c>
      <c r="M1027">
        <f>W1027=ROUND(1016*0.5,10)</f>
        <v/>
      </c>
      <c r="O1027">
        <f>O1026+0.1</f>
        <v/>
      </c>
      <c r="P1027">
        <f>P1026+0.2</f>
        <v/>
      </c>
      <c r="Q1027">
        <f>Q1026+0.3</f>
        <v/>
      </c>
      <c r="R1027">
        <f>R1026+0.05</f>
        <v/>
      </c>
      <c r="S1027">
        <f>S1026+0.01</f>
        <v/>
      </c>
      <c r="T1027">
        <f>T1026+0.7</f>
        <v/>
      </c>
      <c r="U1027">
        <f>U1026+1.1</f>
        <v/>
      </c>
      <c r="V1027">
        <f>V1026+0.25</f>
        <v/>
      </c>
      <c r="W1027">
        <f>W1026+0.5</f>
        <v/>
      </c>
    </row>
    <row r="1028">
      <c r="E1028">
        <f>O1028=ROUND(1017*0.1,10)</f>
        <v/>
      </c>
      <c r="F1028">
        <f>P1028=ROUND(1017*0.2,10)</f>
        <v/>
      </c>
      <c r="G1028">
        <f>Q1028=ROUND(1017*0.3,10)</f>
        <v/>
      </c>
      <c r="H1028">
        <f>R1028=ROUND(1017*0.05,10)</f>
        <v/>
      </c>
      <c r="I1028">
        <f>S1028=ROUND(1017*0.01,10)</f>
        <v/>
      </c>
      <c r="J1028">
        <f>T1028=ROUND(1017*0.7,10)</f>
        <v/>
      </c>
      <c r="K1028">
        <f>U1028=ROUND(1017*1.1,10)</f>
        <v/>
      </c>
      <c r="L1028">
        <f>V1028=ROUND(1017*0.25,10)</f>
        <v/>
      </c>
      <c r="M1028">
        <f>W1028=ROUND(1017*0.5,10)</f>
        <v/>
      </c>
      <c r="O1028">
        <f>O1027+0.1</f>
        <v/>
      </c>
      <c r="P1028">
        <f>P1027+0.2</f>
        <v/>
      </c>
      <c r="Q1028">
        <f>Q1027+0.3</f>
        <v/>
      </c>
      <c r="R1028">
        <f>R1027+0.05</f>
        <v/>
      </c>
      <c r="S1028">
        <f>S1027+0.01</f>
        <v/>
      </c>
      <c r="T1028">
        <f>T1027+0.7</f>
        <v/>
      </c>
      <c r="U1028">
        <f>U1027+1.1</f>
        <v/>
      </c>
      <c r="V1028">
        <f>V1027+0.25</f>
        <v/>
      </c>
      <c r="W1028">
        <f>W1027+0.5</f>
        <v/>
      </c>
    </row>
    <row r="1029">
      <c r="E1029">
        <f>O1029=ROUND(1018*0.1,10)</f>
        <v/>
      </c>
      <c r="F1029">
        <f>P1029=ROUND(1018*0.2,10)</f>
        <v/>
      </c>
      <c r="G1029">
        <f>Q1029=ROUND(1018*0.3,10)</f>
        <v/>
      </c>
      <c r="H1029">
        <f>R1029=ROUND(1018*0.05,10)</f>
        <v/>
      </c>
      <c r="I1029">
        <f>S1029=ROUND(1018*0.01,10)</f>
        <v/>
      </c>
      <c r="J1029">
        <f>T1029=ROUND(1018*0.7,10)</f>
        <v/>
      </c>
      <c r="K1029">
        <f>U1029=ROUND(1018*1.1,10)</f>
        <v/>
      </c>
      <c r="L1029">
        <f>V1029=ROUND(1018*0.25,10)</f>
        <v/>
      </c>
      <c r="M1029">
        <f>W1029=ROUND(1018*0.5,10)</f>
        <v/>
      </c>
      <c r="O1029">
        <f>O1028+0.1</f>
        <v/>
      </c>
      <c r="P1029">
        <f>P1028+0.2</f>
        <v/>
      </c>
      <c r="Q1029">
        <f>Q1028+0.3</f>
        <v/>
      </c>
      <c r="R1029">
        <f>R1028+0.05</f>
        <v/>
      </c>
      <c r="S1029">
        <f>S1028+0.01</f>
        <v/>
      </c>
      <c r="T1029">
        <f>T1028+0.7</f>
        <v/>
      </c>
      <c r="U1029">
        <f>U1028+1.1</f>
        <v/>
      </c>
      <c r="V1029">
        <f>V1028+0.25</f>
        <v/>
      </c>
      <c r="W1029">
        <f>W1028+0.5</f>
        <v/>
      </c>
    </row>
    <row r="1030">
      <c r="E1030">
        <f>O1030=ROUND(1019*0.1,10)</f>
        <v/>
      </c>
      <c r="F1030">
        <f>P1030=ROUND(1019*0.2,10)</f>
        <v/>
      </c>
      <c r="G1030">
        <f>Q1030=ROUND(1019*0.3,10)</f>
        <v/>
      </c>
      <c r="H1030">
        <f>R1030=ROUND(1019*0.05,10)</f>
        <v/>
      </c>
      <c r="I1030">
        <f>S1030=ROUND(1019*0.01,10)</f>
        <v/>
      </c>
      <c r="J1030">
        <f>T1030=ROUND(1019*0.7,10)</f>
        <v/>
      </c>
      <c r="K1030">
        <f>U1030=ROUND(1019*1.1,10)</f>
        <v/>
      </c>
      <c r="L1030">
        <f>V1030=ROUND(1019*0.25,10)</f>
        <v/>
      </c>
      <c r="M1030">
        <f>W1030=ROUND(1019*0.5,10)</f>
        <v/>
      </c>
      <c r="O1030">
        <f>O1029+0.1</f>
        <v/>
      </c>
      <c r="P1030">
        <f>P1029+0.2</f>
        <v/>
      </c>
      <c r="Q1030">
        <f>Q1029+0.3</f>
        <v/>
      </c>
      <c r="R1030">
        <f>R1029+0.05</f>
        <v/>
      </c>
      <c r="S1030">
        <f>S1029+0.01</f>
        <v/>
      </c>
      <c r="T1030">
        <f>T1029+0.7</f>
        <v/>
      </c>
      <c r="U1030">
        <f>U1029+1.1</f>
        <v/>
      </c>
      <c r="V1030">
        <f>V1029+0.25</f>
        <v/>
      </c>
      <c r="W1030">
        <f>W1029+0.5</f>
        <v/>
      </c>
    </row>
    <row r="1031">
      <c r="E1031">
        <f>O1031=ROUND(1020*0.1,10)</f>
        <v/>
      </c>
      <c r="F1031">
        <f>P1031=ROUND(1020*0.2,10)</f>
        <v/>
      </c>
      <c r="G1031">
        <f>Q1031=ROUND(1020*0.3,10)</f>
        <v/>
      </c>
      <c r="H1031">
        <f>R1031=ROUND(1020*0.05,10)</f>
        <v/>
      </c>
      <c r="I1031">
        <f>S1031=ROUND(1020*0.01,10)</f>
        <v/>
      </c>
      <c r="J1031">
        <f>T1031=ROUND(1020*0.7,10)</f>
        <v/>
      </c>
      <c r="K1031">
        <f>U1031=ROUND(1020*1.1,10)</f>
        <v/>
      </c>
      <c r="L1031">
        <f>V1031=ROUND(1020*0.25,10)</f>
        <v/>
      </c>
      <c r="M1031">
        <f>W1031=ROUND(1020*0.5,10)</f>
        <v/>
      </c>
      <c r="O1031">
        <f>O1030+0.1</f>
        <v/>
      </c>
      <c r="P1031">
        <f>P1030+0.2</f>
        <v/>
      </c>
      <c r="Q1031">
        <f>Q1030+0.3</f>
        <v/>
      </c>
      <c r="R1031">
        <f>R1030+0.05</f>
        <v/>
      </c>
      <c r="S1031">
        <f>S1030+0.01</f>
        <v/>
      </c>
      <c r="T1031">
        <f>T1030+0.7</f>
        <v/>
      </c>
      <c r="U1031">
        <f>U1030+1.1</f>
        <v/>
      </c>
      <c r="V1031">
        <f>V1030+0.25</f>
        <v/>
      </c>
      <c r="W1031">
        <f>W1030+0.5</f>
        <v/>
      </c>
    </row>
    <row r="1032">
      <c r="E1032">
        <f>O1032=ROUND(1021*0.1,10)</f>
        <v/>
      </c>
      <c r="F1032">
        <f>P1032=ROUND(1021*0.2,10)</f>
        <v/>
      </c>
      <c r="G1032">
        <f>Q1032=ROUND(1021*0.3,10)</f>
        <v/>
      </c>
      <c r="H1032">
        <f>R1032=ROUND(1021*0.05,10)</f>
        <v/>
      </c>
      <c r="I1032">
        <f>S1032=ROUND(1021*0.01,10)</f>
        <v/>
      </c>
      <c r="J1032">
        <f>T1032=ROUND(1021*0.7,10)</f>
        <v/>
      </c>
      <c r="K1032">
        <f>U1032=ROUND(1021*1.1,10)</f>
        <v/>
      </c>
      <c r="L1032">
        <f>V1032=ROUND(1021*0.25,10)</f>
        <v/>
      </c>
      <c r="M1032">
        <f>W1032=ROUND(1021*0.5,10)</f>
        <v/>
      </c>
      <c r="O1032">
        <f>O1031+0.1</f>
        <v/>
      </c>
      <c r="P1032">
        <f>P1031+0.2</f>
        <v/>
      </c>
      <c r="Q1032">
        <f>Q1031+0.3</f>
        <v/>
      </c>
      <c r="R1032">
        <f>R1031+0.05</f>
        <v/>
      </c>
      <c r="S1032">
        <f>S1031+0.01</f>
        <v/>
      </c>
      <c r="T1032">
        <f>T1031+0.7</f>
        <v/>
      </c>
      <c r="U1032">
        <f>U1031+1.1</f>
        <v/>
      </c>
      <c r="V1032">
        <f>V1031+0.25</f>
        <v/>
      </c>
      <c r="W1032">
        <f>W1031+0.5</f>
        <v/>
      </c>
    </row>
    <row r="1033">
      <c r="E1033">
        <f>O1033=ROUND(1022*0.1,10)</f>
        <v/>
      </c>
      <c r="F1033">
        <f>P1033=ROUND(1022*0.2,10)</f>
        <v/>
      </c>
      <c r="G1033">
        <f>Q1033=ROUND(1022*0.3,10)</f>
        <v/>
      </c>
      <c r="H1033">
        <f>R1033=ROUND(1022*0.05,10)</f>
        <v/>
      </c>
      <c r="I1033">
        <f>S1033=ROUND(1022*0.01,10)</f>
        <v/>
      </c>
      <c r="J1033">
        <f>T1033=ROUND(1022*0.7,10)</f>
        <v/>
      </c>
      <c r="K1033">
        <f>U1033=ROUND(1022*1.1,10)</f>
        <v/>
      </c>
      <c r="L1033">
        <f>V1033=ROUND(1022*0.25,10)</f>
        <v/>
      </c>
      <c r="M1033">
        <f>W1033=ROUND(1022*0.5,10)</f>
        <v/>
      </c>
      <c r="O1033">
        <f>O1032+0.1</f>
        <v/>
      </c>
      <c r="P1033">
        <f>P1032+0.2</f>
        <v/>
      </c>
      <c r="Q1033">
        <f>Q1032+0.3</f>
        <v/>
      </c>
      <c r="R1033">
        <f>R1032+0.05</f>
        <v/>
      </c>
      <c r="S1033">
        <f>S1032+0.01</f>
        <v/>
      </c>
      <c r="T1033">
        <f>T1032+0.7</f>
        <v/>
      </c>
      <c r="U1033">
        <f>U1032+1.1</f>
        <v/>
      </c>
      <c r="V1033">
        <f>V1032+0.25</f>
        <v/>
      </c>
      <c r="W1033">
        <f>W1032+0.5</f>
        <v/>
      </c>
    </row>
    <row r="1034">
      <c r="E1034">
        <f>O1034=ROUND(1023*0.1,10)</f>
        <v/>
      </c>
      <c r="F1034">
        <f>P1034=ROUND(1023*0.2,10)</f>
        <v/>
      </c>
      <c r="G1034">
        <f>Q1034=ROUND(1023*0.3,10)</f>
        <v/>
      </c>
      <c r="H1034">
        <f>R1034=ROUND(1023*0.05,10)</f>
        <v/>
      </c>
      <c r="I1034">
        <f>S1034=ROUND(1023*0.01,10)</f>
        <v/>
      </c>
      <c r="J1034">
        <f>T1034=ROUND(1023*0.7,10)</f>
        <v/>
      </c>
      <c r="K1034">
        <f>U1034=ROUND(1023*1.1,10)</f>
        <v/>
      </c>
      <c r="L1034">
        <f>V1034=ROUND(1023*0.25,10)</f>
        <v/>
      </c>
      <c r="M1034">
        <f>W1034=ROUND(1023*0.5,10)</f>
        <v/>
      </c>
      <c r="O1034">
        <f>O1033+0.1</f>
        <v/>
      </c>
      <c r="P1034">
        <f>P1033+0.2</f>
        <v/>
      </c>
      <c r="Q1034">
        <f>Q1033+0.3</f>
        <v/>
      </c>
      <c r="R1034">
        <f>R1033+0.05</f>
        <v/>
      </c>
      <c r="S1034">
        <f>S1033+0.01</f>
        <v/>
      </c>
      <c r="T1034">
        <f>T1033+0.7</f>
        <v/>
      </c>
      <c r="U1034">
        <f>U1033+1.1</f>
        <v/>
      </c>
      <c r="V1034">
        <f>V1033+0.25</f>
        <v/>
      </c>
      <c r="W1034">
        <f>W1033+0.5</f>
        <v/>
      </c>
    </row>
    <row r="1035">
      <c r="E1035">
        <f>O1035=ROUND(1024*0.1,10)</f>
        <v/>
      </c>
      <c r="F1035">
        <f>P1035=ROUND(1024*0.2,10)</f>
        <v/>
      </c>
      <c r="G1035">
        <f>Q1035=ROUND(1024*0.3,10)</f>
        <v/>
      </c>
      <c r="H1035">
        <f>R1035=ROUND(1024*0.05,10)</f>
        <v/>
      </c>
      <c r="I1035">
        <f>S1035=ROUND(1024*0.01,10)</f>
        <v/>
      </c>
      <c r="J1035">
        <f>T1035=ROUND(1024*0.7,10)</f>
        <v/>
      </c>
      <c r="K1035">
        <f>U1035=ROUND(1024*1.1,10)</f>
        <v/>
      </c>
      <c r="L1035">
        <f>V1035=ROUND(1024*0.25,10)</f>
        <v/>
      </c>
      <c r="M1035">
        <f>W1035=ROUND(1024*0.5,10)</f>
        <v/>
      </c>
      <c r="O1035">
        <f>O1034+0.1</f>
        <v/>
      </c>
      <c r="P1035">
        <f>P1034+0.2</f>
        <v/>
      </c>
      <c r="Q1035">
        <f>Q1034+0.3</f>
        <v/>
      </c>
      <c r="R1035">
        <f>R1034+0.05</f>
        <v/>
      </c>
      <c r="S1035">
        <f>S1034+0.01</f>
        <v/>
      </c>
      <c r="T1035">
        <f>T1034+0.7</f>
        <v/>
      </c>
      <c r="U1035">
        <f>U1034+1.1</f>
        <v/>
      </c>
      <c r="V1035">
        <f>V1034+0.25</f>
        <v/>
      </c>
      <c r="W1035">
        <f>W1034+0.5</f>
        <v/>
      </c>
    </row>
    <row r="1036">
      <c r="E1036">
        <f>O1036=ROUND(1025*0.1,10)</f>
        <v/>
      </c>
      <c r="F1036">
        <f>P1036=ROUND(1025*0.2,10)</f>
        <v/>
      </c>
      <c r="G1036">
        <f>Q1036=ROUND(1025*0.3,10)</f>
        <v/>
      </c>
      <c r="H1036">
        <f>R1036=ROUND(1025*0.05,10)</f>
        <v/>
      </c>
      <c r="I1036">
        <f>S1036=ROUND(1025*0.01,10)</f>
        <v/>
      </c>
      <c r="J1036">
        <f>T1036=ROUND(1025*0.7,10)</f>
        <v/>
      </c>
      <c r="K1036">
        <f>U1036=ROUND(1025*1.1,10)</f>
        <v/>
      </c>
      <c r="L1036">
        <f>V1036=ROUND(1025*0.25,10)</f>
        <v/>
      </c>
      <c r="M1036">
        <f>W1036=ROUND(1025*0.5,10)</f>
        <v/>
      </c>
      <c r="O1036">
        <f>O1035+0.1</f>
        <v/>
      </c>
      <c r="P1036">
        <f>P1035+0.2</f>
        <v/>
      </c>
      <c r="Q1036">
        <f>Q1035+0.3</f>
        <v/>
      </c>
      <c r="R1036">
        <f>R1035+0.05</f>
        <v/>
      </c>
      <c r="S1036">
        <f>S1035+0.01</f>
        <v/>
      </c>
      <c r="T1036">
        <f>T1035+0.7</f>
        <v/>
      </c>
      <c r="U1036">
        <f>U1035+1.1</f>
        <v/>
      </c>
      <c r="V1036">
        <f>V1035+0.25</f>
        <v/>
      </c>
      <c r="W1036">
        <f>W1035+0.5</f>
        <v/>
      </c>
    </row>
    <row r="1037">
      <c r="E1037">
        <f>O1037=ROUND(1026*0.1,10)</f>
        <v/>
      </c>
      <c r="F1037">
        <f>P1037=ROUND(1026*0.2,10)</f>
        <v/>
      </c>
      <c r="G1037">
        <f>Q1037=ROUND(1026*0.3,10)</f>
        <v/>
      </c>
      <c r="H1037">
        <f>R1037=ROUND(1026*0.05,10)</f>
        <v/>
      </c>
      <c r="I1037">
        <f>S1037=ROUND(1026*0.01,10)</f>
        <v/>
      </c>
      <c r="J1037">
        <f>T1037=ROUND(1026*0.7,10)</f>
        <v/>
      </c>
      <c r="K1037">
        <f>U1037=ROUND(1026*1.1,10)</f>
        <v/>
      </c>
      <c r="L1037">
        <f>V1037=ROUND(1026*0.25,10)</f>
        <v/>
      </c>
      <c r="M1037">
        <f>W1037=ROUND(1026*0.5,10)</f>
        <v/>
      </c>
      <c r="O1037">
        <f>O1036+0.1</f>
        <v/>
      </c>
      <c r="P1037">
        <f>P1036+0.2</f>
        <v/>
      </c>
      <c r="Q1037">
        <f>Q1036+0.3</f>
        <v/>
      </c>
      <c r="R1037">
        <f>R1036+0.05</f>
        <v/>
      </c>
      <c r="S1037">
        <f>S1036+0.01</f>
        <v/>
      </c>
      <c r="T1037">
        <f>T1036+0.7</f>
        <v/>
      </c>
      <c r="U1037">
        <f>U1036+1.1</f>
        <v/>
      </c>
      <c r="V1037">
        <f>V1036+0.25</f>
        <v/>
      </c>
      <c r="W1037">
        <f>W1036+0.5</f>
        <v/>
      </c>
    </row>
    <row r="1038">
      <c r="E1038">
        <f>O1038=ROUND(1027*0.1,10)</f>
        <v/>
      </c>
      <c r="F1038">
        <f>P1038=ROUND(1027*0.2,10)</f>
        <v/>
      </c>
      <c r="G1038">
        <f>Q1038=ROUND(1027*0.3,10)</f>
        <v/>
      </c>
      <c r="H1038">
        <f>R1038=ROUND(1027*0.05,10)</f>
        <v/>
      </c>
      <c r="I1038">
        <f>S1038=ROUND(1027*0.01,10)</f>
        <v/>
      </c>
      <c r="J1038">
        <f>T1038=ROUND(1027*0.7,10)</f>
        <v/>
      </c>
      <c r="K1038">
        <f>U1038=ROUND(1027*1.1,10)</f>
        <v/>
      </c>
      <c r="L1038">
        <f>V1038=ROUND(1027*0.25,10)</f>
        <v/>
      </c>
      <c r="M1038">
        <f>W1038=ROUND(1027*0.5,10)</f>
        <v/>
      </c>
      <c r="O1038">
        <f>O1037+0.1</f>
        <v/>
      </c>
      <c r="P1038">
        <f>P1037+0.2</f>
        <v/>
      </c>
      <c r="Q1038">
        <f>Q1037+0.3</f>
        <v/>
      </c>
      <c r="R1038">
        <f>R1037+0.05</f>
        <v/>
      </c>
      <c r="S1038">
        <f>S1037+0.01</f>
        <v/>
      </c>
      <c r="T1038">
        <f>T1037+0.7</f>
        <v/>
      </c>
      <c r="U1038">
        <f>U1037+1.1</f>
        <v/>
      </c>
      <c r="V1038">
        <f>V1037+0.25</f>
        <v/>
      </c>
      <c r="W1038">
        <f>W1037+0.5</f>
        <v/>
      </c>
    </row>
    <row r="1039">
      <c r="E1039">
        <f>O1039=ROUND(1028*0.1,10)</f>
        <v/>
      </c>
      <c r="F1039">
        <f>P1039=ROUND(1028*0.2,10)</f>
        <v/>
      </c>
      <c r="G1039">
        <f>Q1039=ROUND(1028*0.3,10)</f>
        <v/>
      </c>
      <c r="H1039">
        <f>R1039=ROUND(1028*0.05,10)</f>
        <v/>
      </c>
      <c r="I1039">
        <f>S1039=ROUND(1028*0.01,10)</f>
        <v/>
      </c>
      <c r="J1039">
        <f>T1039=ROUND(1028*0.7,10)</f>
        <v/>
      </c>
      <c r="K1039">
        <f>U1039=ROUND(1028*1.1,10)</f>
        <v/>
      </c>
      <c r="L1039">
        <f>V1039=ROUND(1028*0.25,10)</f>
        <v/>
      </c>
      <c r="M1039">
        <f>W1039=ROUND(1028*0.5,10)</f>
        <v/>
      </c>
      <c r="O1039">
        <f>O1038+0.1</f>
        <v/>
      </c>
      <c r="P1039">
        <f>P1038+0.2</f>
        <v/>
      </c>
      <c r="Q1039">
        <f>Q1038+0.3</f>
        <v/>
      </c>
      <c r="R1039">
        <f>R1038+0.05</f>
        <v/>
      </c>
      <c r="S1039">
        <f>S1038+0.01</f>
        <v/>
      </c>
      <c r="T1039">
        <f>T1038+0.7</f>
        <v/>
      </c>
      <c r="U1039">
        <f>U1038+1.1</f>
        <v/>
      </c>
      <c r="V1039">
        <f>V1038+0.25</f>
        <v/>
      </c>
      <c r="W1039">
        <f>W1038+0.5</f>
        <v/>
      </c>
    </row>
    <row r="1040">
      <c r="E1040">
        <f>O1040=ROUND(1029*0.1,10)</f>
        <v/>
      </c>
      <c r="F1040">
        <f>P1040=ROUND(1029*0.2,10)</f>
        <v/>
      </c>
      <c r="G1040">
        <f>Q1040=ROUND(1029*0.3,10)</f>
        <v/>
      </c>
      <c r="H1040">
        <f>R1040=ROUND(1029*0.05,10)</f>
        <v/>
      </c>
      <c r="I1040">
        <f>S1040=ROUND(1029*0.01,10)</f>
        <v/>
      </c>
      <c r="J1040">
        <f>T1040=ROUND(1029*0.7,10)</f>
        <v/>
      </c>
      <c r="K1040">
        <f>U1040=ROUND(1029*1.1,10)</f>
        <v/>
      </c>
      <c r="L1040">
        <f>V1040=ROUND(1029*0.25,10)</f>
        <v/>
      </c>
      <c r="M1040">
        <f>W1040=ROUND(1029*0.5,10)</f>
        <v/>
      </c>
      <c r="O1040">
        <f>O1039+0.1</f>
        <v/>
      </c>
      <c r="P1040">
        <f>P1039+0.2</f>
        <v/>
      </c>
      <c r="Q1040">
        <f>Q1039+0.3</f>
        <v/>
      </c>
      <c r="R1040">
        <f>R1039+0.05</f>
        <v/>
      </c>
      <c r="S1040">
        <f>S1039+0.01</f>
        <v/>
      </c>
      <c r="T1040">
        <f>T1039+0.7</f>
        <v/>
      </c>
      <c r="U1040">
        <f>U1039+1.1</f>
        <v/>
      </c>
      <c r="V1040">
        <f>V1039+0.25</f>
        <v/>
      </c>
      <c r="W1040">
        <f>W1039+0.5</f>
        <v/>
      </c>
    </row>
    <row r="1041">
      <c r="E1041">
        <f>O1041=ROUND(1030*0.1,10)</f>
        <v/>
      </c>
      <c r="F1041">
        <f>P1041=ROUND(1030*0.2,10)</f>
        <v/>
      </c>
      <c r="G1041">
        <f>Q1041=ROUND(1030*0.3,10)</f>
        <v/>
      </c>
      <c r="H1041">
        <f>R1041=ROUND(1030*0.05,10)</f>
        <v/>
      </c>
      <c r="I1041">
        <f>S1041=ROUND(1030*0.01,10)</f>
        <v/>
      </c>
      <c r="J1041">
        <f>T1041=ROUND(1030*0.7,10)</f>
        <v/>
      </c>
      <c r="K1041">
        <f>U1041=ROUND(1030*1.1,10)</f>
        <v/>
      </c>
      <c r="L1041">
        <f>V1041=ROUND(1030*0.25,10)</f>
        <v/>
      </c>
      <c r="M1041">
        <f>W1041=ROUND(1030*0.5,10)</f>
        <v/>
      </c>
      <c r="O1041">
        <f>O1040+0.1</f>
        <v/>
      </c>
      <c r="P1041">
        <f>P1040+0.2</f>
        <v/>
      </c>
      <c r="Q1041">
        <f>Q1040+0.3</f>
        <v/>
      </c>
      <c r="R1041">
        <f>R1040+0.05</f>
        <v/>
      </c>
      <c r="S1041">
        <f>S1040+0.01</f>
        <v/>
      </c>
      <c r="T1041">
        <f>T1040+0.7</f>
        <v/>
      </c>
      <c r="U1041">
        <f>U1040+1.1</f>
        <v/>
      </c>
      <c r="V1041">
        <f>V1040+0.25</f>
        <v/>
      </c>
      <c r="W1041">
        <f>W1040+0.5</f>
        <v/>
      </c>
    </row>
    <row r="1042">
      <c r="E1042">
        <f>O1042=ROUND(1031*0.1,10)</f>
        <v/>
      </c>
      <c r="F1042">
        <f>P1042=ROUND(1031*0.2,10)</f>
        <v/>
      </c>
      <c r="G1042">
        <f>Q1042=ROUND(1031*0.3,10)</f>
        <v/>
      </c>
      <c r="H1042">
        <f>R1042=ROUND(1031*0.05,10)</f>
        <v/>
      </c>
      <c r="I1042">
        <f>S1042=ROUND(1031*0.01,10)</f>
        <v/>
      </c>
      <c r="J1042">
        <f>T1042=ROUND(1031*0.7,10)</f>
        <v/>
      </c>
      <c r="K1042">
        <f>U1042=ROUND(1031*1.1,10)</f>
        <v/>
      </c>
      <c r="L1042">
        <f>V1042=ROUND(1031*0.25,10)</f>
        <v/>
      </c>
      <c r="M1042">
        <f>W1042=ROUND(1031*0.5,10)</f>
        <v/>
      </c>
      <c r="O1042">
        <f>O1041+0.1</f>
        <v/>
      </c>
      <c r="P1042">
        <f>P1041+0.2</f>
        <v/>
      </c>
      <c r="Q1042">
        <f>Q1041+0.3</f>
        <v/>
      </c>
      <c r="R1042">
        <f>R1041+0.05</f>
        <v/>
      </c>
      <c r="S1042">
        <f>S1041+0.01</f>
        <v/>
      </c>
      <c r="T1042">
        <f>T1041+0.7</f>
        <v/>
      </c>
      <c r="U1042">
        <f>U1041+1.1</f>
        <v/>
      </c>
      <c r="V1042">
        <f>V1041+0.25</f>
        <v/>
      </c>
      <c r="W1042">
        <f>W1041+0.5</f>
        <v/>
      </c>
    </row>
    <row r="1043">
      <c r="E1043">
        <f>O1043=ROUND(1032*0.1,10)</f>
        <v/>
      </c>
      <c r="F1043">
        <f>P1043=ROUND(1032*0.2,10)</f>
        <v/>
      </c>
      <c r="G1043">
        <f>Q1043=ROUND(1032*0.3,10)</f>
        <v/>
      </c>
      <c r="H1043">
        <f>R1043=ROUND(1032*0.05,10)</f>
        <v/>
      </c>
      <c r="I1043">
        <f>S1043=ROUND(1032*0.01,10)</f>
        <v/>
      </c>
      <c r="J1043">
        <f>T1043=ROUND(1032*0.7,10)</f>
        <v/>
      </c>
      <c r="K1043">
        <f>U1043=ROUND(1032*1.1,10)</f>
        <v/>
      </c>
      <c r="L1043">
        <f>V1043=ROUND(1032*0.25,10)</f>
        <v/>
      </c>
      <c r="M1043">
        <f>W1043=ROUND(1032*0.5,10)</f>
        <v/>
      </c>
      <c r="O1043">
        <f>O1042+0.1</f>
        <v/>
      </c>
      <c r="P1043">
        <f>P1042+0.2</f>
        <v/>
      </c>
      <c r="Q1043">
        <f>Q1042+0.3</f>
        <v/>
      </c>
      <c r="R1043">
        <f>R1042+0.05</f>
        <v/>
      </c>
      <c r="S1043">
        <f>S1042+0.01</f>
        <v/>
      </c>
      <c r="T1043">
        <f>T1042+0.7</f>
        <v/>
      </c>
      <c r="U1043">
        <f>U1042+1.1</f>
        <v/>
      </c>
      <c r="V1043">
        <f>V1042+0.25</f>
        <v/>
      </c>
      <c r="W1043">
        <f>W1042+0.5</f>
        <v/>
      </c>
    </row>
    <row r="1044">
      <c r="E1044">
        <f>O1044=ROUND(1033*0.1,10)</f>
        <v/>
      </c>
      <c r="F1044">
        <f>P1044=ROUND(1033*0.2,10)</f>
        <v/>
      </c>
      <c r="G1044">
        <f>Q1044=ROUND(1033*0.3,10)</f>
        <v/>
      </c>
      <c r="H1044">
        <f>R1044=ROUND(1033*0.05,10)</f>
        <v/>
      </c>
      <c r="I1044">
        <f>S1044=ROUND(1033*0.01,10)</f>
        <v/>
      </c>
      <c r="J1044">
        <f>T1044=ROUND(1033*0.7,10)</f>
        <v/>
      </c>
      <c r="K1044">
        <f>U1044=ROUND(1033*1.1,10)</f>
        <v/>
      </c>
      <c r="L1044">
        <f>V1044=ROUND(1033*0.25,10)</f>
        <v/>
      </c>
      <c r="M1044">
        <f>W1044=ROUND(1033*0.5,10)</f>
        <v/>
      </c>
      <c r="O1044">
        <f>O1043+0.1</f>
        <v/>
      </c>
      <c r="P1044">
        <f>P1043+0.2</f>
        <v/>
      </c>
      <c r="Q1044">
        <f>Q1043+0.3</f>
        <v/>
      </c>
      <c r="R1044">
        <f>R1043+0.05</f>
        <v/>
      </c>
      <c r="S1044">
        <f>S1043+0.01</f>
        <v/>
      </c>
      <c r="T1044">
        <f>T1043+0.7</f>
        <v/>
      </c>
      <c r="U1044">
        <f>U1043+1.1</f>
        <v/>
      </c>
      <c r="V1044">
        <f>V1043+0.25</f>
        <v/>
      </c>
      <c r="W1044">
        <f>W1043+0.5</f>
        <v/>
      </c>
    </row>
    <row r="1045">
      <c r="E1045">
        <f>O1045=ROUND(1034*0.1,10)</f>
        <v/>
      </c>
      <c r="F1045">
        <f>P1045=ROUND(1034*0.2,10)</f>
        <v/>
      </c>
      <c r="G1045">
        <f>Q1045=ROUND(1034*0.3,10)</f>
        <v/>
      </c>
      <c r="H1045">
        <f>R1045=ROUND(1034*0.05,10)</f>
        <v/>
      </c>
      <c r="I1045">
        <f>S1045=ROUND(1034*0.01,10)</f>
        <v/>
      </c>
      <c r="J1045">
        <f>T1045=ROUND(1034*0.7,10)</f>
        <v/>
      </c>
      <c r="K1045">
        <f>U1045=ROUND(1034*1.1,10)</f>
        <v/>
      </c>
      <c r="L1045">
        <f>V1045=ROUND(1034*0.25,10)</f>
        <v/>
      </c>
      <c r="M1045">
        <f>W1045=ROUND(1034*0.5,10)</f>
        <v/>
      </c>
      <c r="O1045">
        <f>O1044+0.1</f>
        <v/>
      </c>
      <c r="P1045">
        <f>P1044+0.2</f>
        <v/>
      </c>
      <c r="Q1045">
        <f>Q1044+0.3</f>
        <v/>
      </c>
      <c r="R1045">
        <f>R1044+0.05</f>
        <v/>
      </c>
      <c r="S1045">
        <f>S1044+0.01</f>
        <v/>
      </c>
      <c r="T1045">
        <f>T1044+0.7</f>
        <v/>
      </c>
      <c r="U1045">
        <f>U1044+1.1</f>
        <v/>
      </c>
      <c r="V1045">
        <f>V1044+0.25</f>
        <v/>
      </c>
      <c r="W1045">
        <f>W1044+0.5</f>
        <v/>
      </c>
    </row>
    <row r="1046">
      <c r="E1046">
        <f>O1046=ROUND(1035*0.1,10)</f>
        <v/>
      </c>
      <c r="F1046">
        <f>P1046=ROUND(1035*0.2,10)</f>
        <v/>
      </c>
      <c r="G1046">
        <f>Q1046=ROUND(1035*0.3,10)</f>
        <v/>
      </c>
      <c r="H1046">
        <f>R1046=ROUND(1035*0.05,10)</f>
        <v/>
      </c>
      <c r="I1046">
        <f>S1046=ROUND(1035*0.01,10)</f>
        <v/>
      </c>
      <c r="J1046">
        <f>T1046=ROUND(1035*0.7,10)</f>
        <v/>
      </c>
      <c r="K1046">
        <f>U1046=ROUND(1035*1.1,10)</f>
        <v/>
      </c>
      <c r="L1046">
        <f>V1046=ROUND(1035*0.25,10)</f>
        <v/>
      </c>
      <c r="M1046">
        <f>W1046=ROUND(1035*0.5,10)</f>
        <v/>
      </c>
      <c r="O1046">
        <f>O1045+0.1</f>
        <v/>
      </c>
      <c r="P1046">
        <f>P1045+0.2</f>
        <v/>
      </c>
      <c r="Q1046">
        <f>Q1045+0.3</f>
        <v/>
      </c>
      <c r="R1046">
        <f>R1045+0.05</f>
        <v/>
      </c>
      <c r="S1046">
        <f>S1045+0.01</f>
        <v/>
      </c>
      <c r="T1046">
        <f>T1045+0.7</f>
        <v/>
      </c>
      <c r="U1046">
        <f>U1045+1.1</f>
        <v/>
      </c>
      <c r="V1046">
        <f>V1045+0.25</f>
        <v/>
      </c>
      <c r="W1046">
        <f>W1045+0.5</f>
        <v/>
      </c>
    </row>
    <row r="1047">
      <c r="E1047">
        <f>O1047=ROUND(1036*0.1,10)</f>
        <v/>
      </c>
      <c r="F1047">
        <f>P1047=ROUND(1036*0.2,10)</f>
        <v/>
      </c>
      <c r="G1047">
        <f>Q1047=ROUND(1036*0.3,10)</f>
        <v/>
      </c>
      <c r="H1047">
        <f>R1047=ROUND(1036*0.05,10)</f>
        <v/>
      </c>
      <c r="I1047">
        <f>S1047=ROUND(1036*0.01,10)</f>
        <v/>
      </c>
      <c r="J1047">
        <f>T1047=ROUND(1036*0.7,10)</f>
        <v/>
      </c>
      <c r="K1047">
        <f>U1047=ROUND(1036*1.1,10)</f>
        <v/>
      </c>
      <c r="L1047">
        <f>V1047=ROUND(1036*0.25,10)</f>
        <v/>
      </c>
      <c r="M1047">
        <f>W1047=ROUND(1036*0.5,10)</f>
        <v/>
      </c>
      <c r="O1047">
        <f>O1046+0.1</f>
        <v/>
      </c>
      <c r="P1047">
        <f>P1046+0.2</f>
        <v/>
      </c>
      <c r="Q1047">
        <f>Q1046+0.3</f>
        <v/>
      </c>
      <c r="R1047">
        <f>R1046+0.05</f>
        <v/>
      </c>
      <c r="S1047">
        <f>S1046+0.01</f>
        <v/>
      </c>
      <c r="T1047">
        <f>T1046+0.7</f>
        <v/>
      </c>
      <c r="U1047">
        <f>U1046+1.1</f>
        <v/>
      </c>
      <c r="V1047">
        <f>V1046+0.25</f>
        <v/>
      </c>
      <c r="W1047">
        <f>W1046+0.5</f>
        <v/>
      </c>
    </row>
    <row r="1048">
      <c r="E1048">
        <f>O1048=ROUND(1037*0.1,10)</f>
        <v/>
      </c>
      <c r="F1048">
        <f>P1048=ROUND(1037*0.2,10)</f>
        <v/>
      </c>
      <c r="G1048">
        <f>Q1048=ROUND(1037*0.3,10)</f>
        <v/>
      </c>
      <c r="H1048">
        <f>R1048=ROUND(1037*0.05,10)</f>
        <v/>
      </c>
      <c r="I1048">
        <f>S1048=ROUND(1037*0.01,10)</f>
        <v/>
      </c>
      <c r="J1048">
        <f>T1048=ROUND(1037*0.7,10)</f>
        <v/>
      </c>
      <c r="K1048">
        <f>U1048=ROUND(1037*1.1,10)</f>
        <v/>
      </c>
      <c r="L1048">
        <f>V1048=ROUND(1037*0.25,10)</f>
        <v/>
      </c>
      <c r="M1048">
        <f>W1048=ROUND(1037*0.5,10)</f>
        <v/>
      </c>
      <c r="O1048">
        <f>O1047+0.1</f>
        <v/>
      </c>
      <c r="P1048">
        <f>P1047+0.2</f>
        <v/>
      </c>
      <c r="Q1048">
        <f>Q1047+0.3</f>
        <v/>
      </c>
      <c r="R1048">
        <f>R1047+0.05</f>
        <v/>
      </c>
      <c r="S1048">
        <f>S1047+0.01</f>
        <v/>
      </c>
      <c r="T1048">
        <f>T1047+0.7</f>
        <v/>
      </c>
      <c r="U1048">
        <f>U1047+1.1</f>
        <v/>
      </c>
      <c r="V1048">
        <f>V1047+0.25</f>
        <v/>
      </c>
      <c r="W1048">
        <f>W1047+0.5</f>
        <v/>
      </c>
    </row>
    <row r="1049">
      <c r="E1049">
        <f>O1049=ROUND(1038*0.1,10)</f>
        <v/>
      </c>
      <c r="F1049">
        <f>P1049=ROUND(1038*0.2,10)</f>
        <v/>
      </c>
      <c r="G1049">
        <f>Q1049=ROUND(1038*0.3,10)</f>
        <v/>
      </c>
      <c r="H1049">
        <f>R1049=ROUND(1038*0.05,10)</f>
        <v/>
      </c>
      <c r="I1049">
        <f>S1049=ROUND(1038*0.01,10)</f>
        <v/>
      </c>
      <c r="J1049">
        <f>T1049=ROUND(1038*0.7,10)</f>
        <v/>
      </c>
      <c r="K1049">
        <f>U1049=ROUND(1038*1.1,10)</f>
        <v/>
      </c>
      <c r="L1049">
        <f>V1049=ROUND(1038*0.25,10)</f>
        <v/>
      </c>
      <c r="M1049">
        <f>W1049=ROUND(1038*0.5,10)</f>
        <v/>
      </c>
      <c r="O1049">
        <f>O1048+0.1</f>
        <v/>
      </c>
      <c r="P1049">
        <f>P1048+0.2</f>
        <v/>
      </c>
      <c r="Q1049">
        <f>Q1048+0.3</f>
        <v/>
      </c>
      <c r="R1049">
        <f>R1048+0.05</f>
        <v/>
      </c>
      <c r="S1049">
        <f>S1048+0.01</f>
        <v/>
      </c>
      <c r="T1049">
        <f>T1048+0.7</f>
        <v/>
      </c>
      <c r="U1049">
        <f>U1048+1.1</f>
        <v/>
      </c>
      <c r="V1049">
        <f>V1048+0.25</f>
        <v/>
      </c>
      <c r="W1049">
        <f>W1048+0.5</f>
        <v/>
      </c>
    </row>
    <row r="1050">
      <c r="E1050">
        <f>O1050=ROUND(1039*0.1,10)</f>
        <v/>
      </c>
      <c r="F1050">
        <f>P1050=ROUND(1039*0.2,10)</f>
        <v/>
      </c>
      <c r="G1050">
        <f>Q1050=ROUND(1039*0.3,10)</f>
        <v/>
      </c>
      <c r="H1050">
        <f>R1050=ROUND(1039*0.05,10)</f>
        <v/>
      </c>
      <c r="I1050">
        <f>S1050=ROUND(1039*0.01,10)</f>
        <v/>
      </c>
      <c r="J1050">
        <f>T1050=ROUND(1039*0.7,10)</f>
        <v/>
      </c>
      <c r="K1050">
        <f>U1050=ROUND(1039*1.1,10)</f>
        <v/>
      </c>
      <c r="L1050">
        <f>V1050=ROUND(1039*0.25,10)</f>
        <v/>
      </c>
      <c r="M1050">
        <f>W1050=ROUND(1039*0.5,10)</f>
        <v/>
      </c>
      <c r="O1050">
        <f>O1049+0.1</f>
        <v/>
      </c>
      <c r="P1050">
        <f>P1049+0.2</f>
        <v/>
      </c>
      <c r="Q1050">
        <f>Q1049+0.3</f>
        <v/>
      </c>
      <c r="R1050">
        <f>R1049+0.05</f>
        <v/>
      </c>
      <c r="S1050">
        <f>S1049+0.01</f>
        <v/>
      </c>
      <c r="T1050">
        <f>T1049+0.7</f>
        <v/>
      </c>
      <c r="U1050">
        <f>U1049+1.1</f>
        <v/>
      </c>
      <c r="V1050">
        <f>V1049+0.25</f>
        <v/>
      </c>
      <c r="W1050">
        <f>W1049+0.5</f>
        <v/>
      </c>
    </row>
    <row r="1051">
      <c r="E1051">
        <f>O1051=ROUND(1040*0.1,10)</f>
        <v/>
      </c>
      <c r="F1051">
        <f>P1051=ROUND(1040*0.2,10)</f>
        <v/>
      </c>
      <c r="G1051">
        <f>Q1051=ROUND(1040*0.3,10)</f>
        <v/>
      </c>
      <c r="H1051">
        <f>R1051=ROUND(1040*0.05,10)</f>
        <v/>
      </c>
      <c r="I1051">
        <f>S1051=ROUND(1040*0.01,10)</f>
        <v/>
      </c>
      <c r="J1051">
        <f>T1051=ROUND(1040*0.7,10)</f>
        <v/>
      </c>
      <c r="K1051">
        <f>U1051=ROUND(1040*1.1,10)</f>
        <v/>
      </c>
      <c r="L1051">
        <f>V1051=ROUND(1040*0.25,10)</f>
        <v/>
      </c>
      <c r="M1051">
        <f>W1051=ROUND(1040*0.5,10)</f>
        <v/>
      </c>
      <c r="O1051">
        <f>O1050+0.1</f>
        <v/>
      </c>
      <c r="P1051">
        <f>P1050+0.2</f>
        <v/>
      </c>
      <c r="Q1051">
        <f>Q1050+0.3</f>
        <v/>
      </c>
      <c r="R1051">
        <f>R1050+0.05</f>
        <v/>
      </c>
      <c r="S1051">
        <f>S1050+0.01</f>
        <v/>
      </c>
      <c r="T1051">
        <f>T1050+0.7</f>
        <v/>
      </c>
      <c r="U1051">
        <f>U1050+1.1</f>
        <v/>
      </c>
      <c r="V1051">
        <f>V1050+0.25</f>
        <v/>
      </c>
      <c r="W1051">
        <f>W1050+0.5</f>
        <v/>
      </c>
    </row>
    <row r="1052">
      <c r="E1052">
        <f>O1052=ROUND(1041*0.1,10)</f>
        <v/>
      </c>
      <c r="F1052">
        <f>P1052=ROUND(1041*0.2,10)</f>
        <v/>
      </c>
      <c r="G1052">
        <f>Q1052=ROUND(1041*0.3,10)</f>
        <v/>
      </c>
      <c r="H1052">
        <f>R1052=ROUND(1041*0.05,10)</f>
        <v/>
      </c>
      <c r="I1052">
        <f>S1052=ROUND(1041*0.01,10)</f>
        <v/>
      </c>
      <c r="J1052">
        <f>T1052=ROUND(1041*0.7,10)</f>
        <v/>
      </c>
      <c r="K1052">
        <f>U1052=ROUND(1041*1.1,10)</f>
        <v/>
      </c>
      <c r="L1052">
        <f>V1052=ROUND(1041*0.25,10)</f>
        <v/>
      </c>
      <c r="M1052">
        <f>W1052=ROUND(1041*0.5,10)</f>
        <v/>
      </c>
      <c r="O1052">
        <f>O1051+0.1</f>
        <v/>
      </c>
      <c r="P1052">
        <f>P1051+0.2</f>
        <v/>
      </c>
      <c r="Q1052">
        <f>Q1051+0.3</f>
        <v/>
      </c>
      <c r="R1052">
        <f>R1051+0.05</f>
        <v/>
      </c>
      <c r="S1052">
        <f>S1051+0.01</f>
        <v/>
      </c>
      <c r="T1052">
        <f>T1051+0.7</f>
        <v/>
      </c>
      <c r="U1052">
        <f>U1051+1.1</f>
        <v/>
      </c>
      <c r="V1052">
        <f>V1051+0.25</f>
        <v/>
      </c>
      <c r="W1052">
        <f>W1051+0.5</f>
        <v/>
      </c>
    </row>
    <row r="1053">
      <c r="E1053">
        <f>O1053=ROUND(1042*0.1,10)</f>
        <v/>
      </c>
      <c r="F1053">
        <f>P1053=ROUND(1042*0.2,10)</f>
        <v/>
      </c>
      <c r="G1053">
        <f>Q1053=ROUND(1042*0.3,10)</f>
        <v/>
      </c>
      <c r="H1053">
        <f>R1053=ROUND(1042*0.05,10)</f>
        <v/>
      </c>
      <c r="I1053">
        <f>S1053=ROUND(1042*0.01,10)</f>
        <v/>
      </c>
      <c r="J1053">
        <f>T1053=ROUND(1042*0.7,10)</f>
        <v/>
      </c>
      <c r="K1053">
        <f>U1053=ROUND(1042*1.1,10)</f>
        <v/>
      </c>
      <c r="L1053">
        <f>V1053=ROUND(1042*0.25,10)</f>
        <v/>
      </c>
      <c r="M1053">
        <f>W1053=ROUND(1042*0.5,10)</f>
        <v/>
      </c>
      <c r="O1053">
        <f>O1052+0.1</f>
        <v/>
      </c>
      <c r="P1053">
        <f>P1052+0.2</f>
        <v/>
      </c>
      <c r="Q1053">
        <f>Q1052+0.3</f>
        <v/>
      </c>
      <c r="R1053">
        <f>R1052+0.05</f>
        <v/>
      </c>
      <c r="S1053">
        <f>S1052+0.01</f>
        <v/>
      </c>
      <c r="T1053">
        <f>T1052+0.7</f>
        <v/>
      </c>
      <c r="U1053">
        <f>U1052+1.1</f>
        <v/>
      </c>
      <c r="V1053">
        <f>V1052+0.25</f>
        <v/>
      </c>
      <c r="W1053">
        <f>W1052+0.5</f>
        <v/>
      </c>
    </row>
    <row r="1054">
      <c r="E1054">
        <f>O1054=ROUND(1043*0.1,10)</f>
        <v/>
      </c>
      <c r="F1054">
        <f>P1054=ROUND(1043*0.2,10)</f>
        <v/>
      </c>
      <c r="G1054">
        <f>Q1054=ROUND(1043*0.3,10)</f>
        <v/>
      </c>
      <c r="H1054">
        <f>R1054=ROUND(1043*0.05,10)</f>
        <v/>
      </c>
      <c r="I1054">
        <f>S1054=ROUND(1043*0.01,10)</f>
        <v/>
      </c>
      <c r="J1054">
        <f>T1054=ROUND(1043*0.7,10)</f>
        <v/>
      </c>
      <c r="K1054">
        <f>U1054=ROUND(1043*1.1,10)</f>
        <v/>
      </c>
      <c r="L1054">
        <f>V1054=ROUND(1043*0.25,10)</f>
        <v/>
      </c>
      <c r="M1054">
        <f>W1054=ROUND(1043*0.5,10)</f>
        <v/>
      </c>
      <c r="O1054">
        <f>O1053+0.1</f>
        <v/>
      </c>
      <c r="P1054">
        <f>P1053+0.2</f>
        <v/>
      </c>
      <c r="Q1054">
        <f>Q1053+0.3</f>
        <v/>
      </c>
      <c r="R1054">
        <f>R1053+0.05</f>
        <v/>
      </c>
      <c r="S1054">
        <f>S1053+0.01</f>
        <v/>
      </c>
      <c r="T1054">
        <f>T1053+0.7</f>
        <v/>
      </c>
      <c r="U1054">
        <f>U1053+1.1</f>
        <v/>
      </c>
      <c r="V1054">
        <f>V1053+0.25</f>
        <v/>
      </c>
      <c r="W1054">
        <f>W1053+0.5</f>
        <v/>
      </c>
    </row>
    <row r="1055">
      <c r="E1055">
        <f>O1055=ROUND(1044*0.1,10)</f>
        <v/>
      </c>
      <c r="F1055">
        <f>P1055=ROUND(1044*0.2,10)</f>
        <v/>
      </c>
      <c r="G1055">
        <f>Q1055=ROUND(1044*0.3,10)</f>
        <v/>
      </c>
      <c r="H1055">
        <f>R1055=ROUND(1044*0.05,10)</f>
        <v/>
      </c>
      <c r="I1055">
        <f>S1055=ROUND(1044*0.01,10)</f>
        <v/>
      </c>
      <c r="J1055">
        <f>T1055=ROUND(1044*0.7,10)</f>
        <v/>
      </c>
      <c r="K1055">
        <f>U1055=ROUND(1044*1.1,10)</f>
        <v/>
      </c>
      <c r="L1055">
        <f>V1055=ROUND(1044*0.25,10)</f>
        <v/>
      </c>
      <c r="M1055">
        <f>W1055=ROUND(1044*0.5,10)</f>
        <v/>
      </c>
      <c r="O1055">
        <f>O1054+0.1</f>
        <v/>
      </c>
      <c r="P1055">
        <f>P1054+0.2</f>
        <v/>
      </c>
      <c r="Q1055">
        <f>Q1054+0.3</f>
        <v/>
      </c>
      <c r="R1055">
        <f>R1054+0.05</f>
        <v/>
      </c>
      <c r="S1055">
        <f>S1054+0.01</f>
        <v/>
      </c>
      <c r="T1055">
        <f>T1054+0.7</f>
        <v/>
      </c>
      <c r="U1055">
        <f>U1054+1.1</f>
        <v/>
      </c>
      <c r="V1055">
        <f>V1054+0.25</f>
        <v/>
      </c>
      <c r="W1055">
        <f>W1054+0.5</f>
        <v/>
      </c>
    </row>
    <row r="1056">
      <c r="E1056">
        <f>O1056=ROUND(1045*0.1,10)</f>
        <v/>
      </c>
      <c r="F1056">
        <f>P1056=ROUND(1045*0.2,10)</f>
        <v/>
      </c>
      <c r="G1056">
        <f>Q1056=ROUND(1045*0.3,10)</f>
        <v/>
      </c>
      <c r="H1056">
        <f>R1056=ROUND(1045*0.05,10)</f>
        <v/>
      </c>
      <c r="I1056">
        <f>S1056=ROUND(1045*0.01,10)</f>
        <v/>
      </c>
      <c r="J1056">
        <f>T1056=ROUND(1045*0.7,10)</f>
        <v/>
      </c>
      <c r="K1056">
        <f>U1056=ROUND(1045*1.1,10)</f>
        <v/>
      </c>
      <c r="L1056">
        <f>V1056=ROUND(1045*0.25,10)</f>
        <v/>
      </c>
      <c r="M1056">
        <f>W1056=ROUND(1045*0.5,10)</f>
        <v/>
      </c>
      <c r="O1056">
        <f>O1055+0.1</f>
        <v/>
      </c>
      <c r="P1056">
        <f>P1055+0.2</f>
        <v/>
      </c>
      <c r="Q1056">
        <f>Q1055+0.3</f>
        <v/>
      </c>
      <c r="R1056">
        <f>R1055+0.05</f>
        <v/>
      </c>
      <c r="S1056">
        <f>S1055+0.01</f>
        <v/>
      </c>
      <c r="T1056">
        <f>T1055+0.7</f>
        <v/>
      </c>
      <c r="U1056">
        <f>U1055+1.1</f>
        <v/>
      </c>
      <c r="V1056">
        <f>V1055+0.25</f>
        <v/>
      </c>
      <c r="W1056">
        <f>W1055+0.5</f>
        <v/>
      </c>
    </row>
    <row r="1057">
      <c r="E1057">
        <f>O1057=ROUND(1046*0.1,10)</f>
        <v/>
      </c>
      <c r="F1057">
        <f>P1057=ROUND(1046*0.2,10)</f>
        <v/>
      </c>
      <c r="G1057">
        <f>Q1057=ROUND(1046*0.3,10)</f>
        <v/>
      </c>
      <c r="H1057">
        <f>R1057=ROUND(1046*0.05,10)</f>
        <v/>
      </c>
      <c r="I1057">
        <f>S1057=ROUND(1046*0.01,10)</f>
        <v/>
      </c>
      <c r="J1057">
        <f>T1057=ROUND(1046*0.7,10)</f>
        <v/>
      </c>
      <c r="K1057">
        <f>U1057=ROUND(1046*1.1,10)</f>
        <v/>
      </c>
      <c r="L1057">
        <f>V1057=ROUND(1046*0.25,10)</f>
        <v/>
      </c>
      <c r="M1057">
        <f>W1057=ROUND(1046*0.5,10)</f>
        <v/>
      </c>
      <c r="O1057">
        <f>O1056+0.1</f>
        <v/>
      </c>
      <c r="P1057">
        <f>P1056+0.2</f>
        <v/>
      </c>
      <c r="Q1057">
        <f>Q1056+0.3</f>
        <v/>
      </c>
      <c r="R1057">
        <f>R1056+0.05</f>
        <v/>
      </c>
      <c r="S1057">
        <f>S1056+0.01</f>
        <v/>
      </c>
      <c r="T1057">
        <f>T1056+0.7</f>
        <v/>
      </c>
      <c r="U1057">
        <f>U1056+1.1</f>
        <v/>
      </c>
      <c r="V1057">
        <f>V1056+0.25</f>
        <v/>
      </c>
      <c r="W1057">
        <f>W1056+0.5</f>
        <v/>
      </c>
    </row>
    <row r="1058">
      <c r="E1058">
        <f>O1058=ROUND(1047*0.1,10)</f>
        <v/>
      </c>
      <c r="F1058">
        <f>P1058=ROUND(1047*0.2,10)</f>
        <v/>
      </c>
      <c r="G1058">
        <f>Q1058=ROUND(1047*0.3,10)</f>
        <v/>
      </c>
      <c r="H1058">
        <f>R1058=ROUND(1047*0.05,10)</f>
        <v/>
      </c>
      <c r="I1058">
        <f>S1058=ROUND(1047*0.01,10)</f>
        <v/>
      </c>
      <c r="J1058">
        <f>T1058=ROUND(1047*0.7,10)</f>
        <v/>
      </c>
      <c r="K1058">
        <f>U1058=ROUND(1047*1.1,10)</f>
        <v/>
      </c>
      <c r="L1058">
        <f>V1058=ROUND(1047*0.25,10)</f>
        <v/>
      </c>
      <c r="M1058">
        <f>W1058=ROUND(1047*0.5,10)</f>
        <v/>
      </c>
      <c r="O1058">
        <f>O1057+0.1</f>
        <v/>
      </c>
      <c r="P1058">
        <f>P1057+0.2</f>
        <v/>
      </c>
      <c r="Q1058">
        <f>Q1057+0.3</f>
        <v/>
      </c>
      <c r="R1058">
        <f>R1057+0.05</f>
        <v/>
      </c>
      <c r="S1058">
        <f>S1057+0.01</f>
        <v/>
      </c>
      <c r="T1058">
        <f>T1057+0.7</f>
        <v/>
      </c>
      <c r="U1058">
        <f>U1057+1.1</f>
        <v/>
      </c>
      <c r="V1058">
        <f>V1057+0.25</f>
        <v/>
      </c>
      <c r="W1058">
        <f>W1057+0.5</f>
        <v/>
      </c>
    </row>
    <row r="1059">
      <c r="E1059">
        <f>O1059=ROUND(1048*0.1,10)</f>
        <v/>
      </c>
      <c r="F1059">
        <f>P1059=ROUND(1048*0.2,10)</f>
        <v/>
      </c>
      <c r="G1059">
        <f>Q1059=ROUND(1048*0.3,10)</f>
        <v/>
      </c>
      <c r="H1059">
        <f>R1059=ROUND(1048*0.05,10)</f>
        <v/>
      </c>
      <c r="I1059">
        <f>S1059=ROUND(1048*0.01,10)</f>
        <v/>
      </c>
      <c r="J1059">
        <f>T1059=ROUND(1048*0.7,10)</f>
        <v/>
      </c>
      <c r="K1059">
        <f>U1059=ROUND(1048*1.1,10)</f>
        <v/>
      </c>
      <c r="L1059">
        <f>V1059=ROUND(1048*0.25,10)</f>
        <v/>
      </c>
      <c r="M1059">
        <f>W1059=ROUND(1048*0.5,10)</f>
        <v/>
      </c>
      <c r="O1059">
        <f>O1058+0.1</f>
        <v/>
      </c>
      <c r="P1059">
        <f>P1058+0.2</f>
        <v/>
      </c>
      <c r="Q1059">
        <f>Q1058+0.3</f>
        <v/>
      </c>
      <c r="R1059">
        <f>R1058+0.05</f>
        <v/>
      </c>
      <c r="S1059">
        <f>S1058+0.01</f>
        <v/>
      </c>
      <c r="T1059">
        <f>T1058+0.7</f>
        <v/>
      </c>
      <c r="U1059">
        <f>U1058+1.1</f>
        <v/>
      </c>
      <c r="V1059">
        <f>V1058+0.25</f>
        <v/>
      </c>
      <c r="W1059">
        <f>W1058+0.5</f>
        <v/>
      </c>
    </row>
    <row r="1060">
      <c r="E1060">
        <f>O1060=ROUND(1049*0.1,10)</f>
        <v/>
      </c>
      <c r="F1060">
        <f>P1060=ROUND(1049*0.2,10)</f>
        <v/>
      </c>
      <c r="G1060">
        <f>Q1060=ROUND(1049*0.3,10)</f>
        <v/>
      </c>
      <c r="H1060">
        <f>R1060=ROUND(1049*0.05,10)</f>
        <v/>
      </c>
      <c r="I1060">
        <f>S1060=ROUND(1049*0.01,10)</f>
        <v/>
      </c>
      <c r="J1060">
        <f>T1060=ROUND(1049*0.7,10)</f>
        <v/>
      </c>
      <c r="K1060">
        <f>U1060=ROUND(1049*1.1,10)</f>
        <v/>
      </c>
      <c r="L1060">
        <f>V1060=ROUND(1049*0.25,10)</f>
        <v/>
      </c>
      <c r="M1060">
        <f>W1060=ROUND(1049*0.5,10)</f>
        <v/>
      </c>
      <c r="O1060">
        <f>O1059+0.1</f>
        <v/>
      </c>
      <c r="P1060">
        <f>P1059+0.2</f>
        <v/>
      </c>
      <c r="Q1060">
        <f>Q1059+0.3</f>
        <v/>
      </c>
      <c r="R1060">
        <f>R1059+0.05</f>
        <v/>
      </c>
      <c r="S1060">
        <f>S1059+0.01</f>
        <v/>
      </c>
      <c r="T1060">
        <f>T1059+0.7</f>
        <v/>
      </c>
      <c r="U1060">
        <f>U1059+1.1</f>
        <v/>
      </c>
      <c r="V1060">
        <f>V1059+0.25</f>
        <v/>
      </c>
      <c r="W1060">
        <f>W1059+0.5</f>
        <v/>
      </c>
    </row>
    <row r="1061">
      <c r="E1061">
        <f>O1061=ROUND(1050*0.1,10)</f>
        <v/>
      </c>
      <c r="F1061">
        <f>P1061=ROUND(1050*0.2,10)</f>
        <v/>
      </c>
      <c r="G1061">
        <f>Q1061=ROUND(1050*0.3,10)</f>
        <v/>
      </c>
      <c r="H1061">
        <f>R1061=ROUND(1050*0.05,10)</f>
        <v/>
      </c>
      <c r="I1061">
        <f>S1061=ROUND(1050*0.01,10)</f>
        <v/>
      </c>
      <c r="J1061">
        <f>T1061=ROUND(1050*0.7,10)</f>
        <v/>
      </c>
      <c r="K1061">
        <f>U1061=ROUND(1050*1.1,10)</f>
        <v/>
      </c>
      <c r="L1061">
        <f>V1061=ROUND(1050*0.25,10)</f>
        <v/>
      </c>
      <c r="M1061">
        <f>W1061=ROUND(1050*0.5,10)</f>
        <v/>
      </c>
      <c r="O1061">
        <f>O1060+0.1</f>
        <v/>
      </c>
      <c r="P1061">
        <f>P1060+0.2</f>
        <v/>
      </c>
      <c r="Q1061">
        <f>Q1060+0.3</f>
        <v/>
      </c>
      <c r="R1061">
        <f>R1060+0.05</f>
        <v/>
      </c>
      <c r="S1061">
        <f>S1060+0.01</f>
        <v/>
      </c>
      <c r="T1061">
        <f>T1060+0.7</f>
        <v/>
      </c>
      <c r="U1061">
        <f>U1060+1.1</f>
        <v/>
      </c>
      <c r="V1061">
        <f>V1060+0.25</f>
        <v/>
      </c>
      <c r="W1061">
        <f>W1060+0.5</f>
        <v/>
      </c>
    </row>
    <row r="1062">
      <c r="E1062">
        <f>O1062=ROUND(1051*0.1,10)</f>
        <v/>
      </c>
      <c r="F1062">
        <f>P1062=ROUND(1051*0.2,10)</f>
        <v/>
      </c>
      <c r="G1062">
        <f>Q1062=ROUND(1051*0.3,10)</f>
        <v/>
      </c>
      <c r="H1062">
        <f>R1062=ROUND(1051*0.05,10)</f>
        <v/>
      </c>
      <c r="I1062">
        <f>S1062=ROUND(1051*0.01,10)</f>
        <v/>
      </c>
      <c r="J1062">
        <f>T1062=ROUND(1051*0.7,10)</f>
        <v/>
      </c>
      <c r="K1062">
        <f>U1062=ROUND(1051*1.1,10)</f>
        <v/>
      </c>
      <c r="L1062">
        <f>V1062=ROUND(1051*0.25,10)</f>
        <v/>
      </c>
      <c r="M1062">
        <f>W1062=ROUND(1051*0.5,10)</f>
        <v/>
      </c>
      <c r="O1062">
        <f>O1061+0.1</f>
        <v/>
      </c>
      <c r="P1062">
        <f>P1061+0.2</f>
        <v/>
      </c>
      <c r="Q1062">
        <f>Q1061+0.3</f>
        <v/>
      </c>
      <c r="R1062">
        <f>R1061+0.05</f>
        <v/>
      </c>
      <c r="S1062">
        <f>S1061+0.01</f>
        <v/>
      </c>
      <c r="T1062">
        <f>T1061+0.7</f>
        <v/>
      </c>
      <c r="U1062">
        <f>U1061+1.1</f>
        <v/>
      </c>
      <c r="V1062">
        <f>V1061+0.25</f>
        <v/>
      </c>
      <c r="W1062">
        <f>W1061+0.5</f>
        <v/>
      </c>
    </row>
    <row r="1063">
      <c r="E1063">
        <f>O1063=ROUND(1052*0.1,10)</f>
        <v/>
      </c>
      <c r="F1063">
        <f>P1063=ROUND(1052*0.2,10)</f>
        <v/>
      </c>
      <c r="G1063">
        <f>Q1063=ROUND(1052*0.3,10)</f>
        <v/>
      </c>
      <c r="H1063">
        <f>R1063=ROUND(1052*0.05,10)</f>
        <v/>
      </c>
      <c r="I1063">
        <f>S1063=ROUND(1052*0.01,10)</f>
        <v/>
      </c>
      <c r="J1063">
        <f>T1063=ROUND(1052*0.7,10)</f>
        <v/>
      </c>
      <c r="K1063">
        <f>U1063=ROUND(1052*1.1,10)</f>
        <v/>
      </c>
      <c r="L1063">
        <f>V1063=ROUND(1052*0.25,10)</f>
        <v/>
      </c>
      <c r="M1063">
        <f>W1063=ROUND(1052*0.5,10)</f>
        <v/>
      </c>
      <c r="O1063">
        <f>O1062+0.1</f>
        <v/>
      </c>
      <c r="P1063">
        <f>P1062+0.2</f>
        <v/>
      </c>
      <c r="Q1063">
        <f>Q1062+0.3</f>
        <v/>
      </c>
      <c r="R1063">
        <f>R1062+0.05</f>
        <v/>
      </c>
      <c r="S1063">
        <f>S1062+0.01</f>
        <v/>
      </c>
      <c r="T1063">
        <f>T1062+0.7</f>
        <v/>
      </c>
      <c r="U1063">
        <f>U1062+1.1</f>
        <v/>
      </c>
      <c r="V1063">
        <f>V1062+0.25</f>
        <v/>
      </c>
      <c r="W1063">
        <f>W1062+0.5</f>
        <v/>
      </c>
    </row>
    <row r="1064">
      <c r="E1064">
        <f>O1064=ROUND(1053*0.1,10)</f>
        <v/>
      </c>
      <c r="F1064">
        <f>P1064=ROUND(1053*0.2,10)</f>
        <v/>
      </c>
      <c r="G1064">
        <f>Q1064=ROUND(1053*0.3,10)</f>
        <v/>
      </c>
      <c r="H1064">
        <f>R1064=ROUND(1053*0.05,10)</f>
        <v/>
      </c>
      <c r="I1064">
        <f>S1064=ROUND(1053*0.01,10)</f>
        <v/>
      </c>
      <c r="J1064">
        <f>T1064=ROUND(1053*0.7,10)</f>
        <v/>
      </c>
      <c r="K1064">
        <f>U1064=ROUND(1053*1.1,10)</f>
        <v/>
      </c>
      <c r="L1064">
        <f>V1064=ROUND(1053*0.25,10)</f>
        <v/>
      </c>
      <c r="M1064">
        <f>W1064=ROUND(1053*0.5,10)</f>
        <v/>
      </c>
      <c r="O1064">
        <f>O1063+0.1</f>
        <v/>
      </c>
      <c r="P1064">
        <f>P1063+0.2</f>
        <v/>
      </c>
      <c r="Q1064">
        <f>Q1063+0.3</f>
        <v/>
      </c>
      <c r="R1064">
        <f>R1063+0.05</f>
        <v/>
      </c>
      <c r="S1064">
        <f>S1063+0.01</f>
        <v/>
      </c>
      <c r="T1064">
        <f>T1063+0.7</f>
        <v/>
      </c>
      <c r="U1064">
        <f>U1063+1.1</f>
        <v/>
      </c>
      <c r="V1064">
        <f>V1063+0.25</f>
        <v/>
      </c>
      <c r="W1064">
        <f>W1063+0.5</f>
        <v/>
      </c>
    </row>
    <row r="1065">
      <c r="E1065">
        <f>O1065=ROUND(1054*0.1,10)</f>
        <v/>
      </c>
      <c r="F1065">
        <f>P1065=ROUND(1054*0.2,10)</f>
        <v/>
      </c>
      <c r="G1065">
        <f>Q1065=ROUND(1054*0.3,10)</f>
        <v/>
      </c>
      <c r="H1065">
        <f>R1065=ROUND(1054*0.05,10)</f>
        <v/>
      </c>
      <c r="I1065">
        <f>S1065=ROUND(1054*0.01,10)</f>
        <v/>
      </c>
      <c r="J1065">
        <f>T1065=ROUND(1054*0.7,10)</f>
        <v/>
      </c>
      <c r="K1065">
        <f>U1065=ROUND(1054*1.1,10)</f>
        <v/>
      </c>
      <c r="L1065">
        <f>V1065=ROUND(1054*0.25,10)</f>
        <v/>
      </c>
      <c r="M1065">
        <f>W1065=ROUND(1054*0.5,10)</f>
        <v/>
      </c>
      <c r="O1065">
        <f>O1064+0.1</f>
        <v/>
      </c>
      <c r="P1065">
        <f>P1064+0.2</f>
        <v/>
      </c>
      <c r="Q1065">
        <f>Q1064+0.3</f>
        <v/>
      </c>
      <c r="R1065">
        <f>R1064+0.05</f>
        <v/>
      </c>
      <c r="S1065">
        <f>S1064+0.01</f>
        <v/>
      </c>
      <c r="T1065">
        <f>T1064+0.7</f>
        <v/>
      </c>
      <c r="U1065">
        <f>U1064+1.1</f>
        <v/>
      </c>
      <c r="V1065">
        <f>V1064+0.25</f>
        <v/>
      </c>
      <c r="W1065">
        <f>W1064+0.5</f>
        <v/>
      </c>
    </row>
    <row r="1066">
      <c r="E1066">
        <f>O1066=ROUND(1055*0.1,10)</f>
        <v/>
      </c>
      <c r="F1066">
        <f>P1066=ROUND(1055*0.2,10)</f>
        <v/>
      </c>
      <c r="G1066">
        <f>Q1066=ROUND(1055*0.3,10)</f>
        <v/>
      </c>
      <c r="H1066">
        <f>R1066=ROUND(1055*0.05,10)</f>
        <v/>
      </c>
      <c r="I1066">
        <f>S1066=ROUND(1055*0.01,10)</f>
        <v/>
      </c>
      <c r="J1066">
        <f>T1066=ROUND(1055*0.7,10)</f>
        <v/>
      </c>
      <c r="K1066">
        <f>U1066=ROUND(1055*1.1,10)</f>
        <v/>
      </c>
      <c r="L1066">
        <f>V1066=ROUND(1055*0.25,10)</f>
        <v/>
      </c>
      <c r="M1066">
        <f>W1066=ROUND(1055*0.5,10)</f>
        <v/>
      </c>
      <c r="O1066">
        <f>O1065+0.1</f>
        <v/>
      </c>
      <c r="P1066">
        <f>P1065+0.2</f>
        <v/>
      </c>
      <c r="Q1066">
        <f>Q1065+0.3</f>
        <v/>
      </c>
      <c r="R1066">
        <f>R1065+0.05</f>
        <v/>
      </c>
      <c r="S1066">
        <f>S1065+0.01</f>
        <v/>
      </c>
      <c r="T1066">
        <f>T1065+0.7</f>
        <v/>
      </c>
      <c r="U1066">
        <f>U1065+1.1</f>
        <v/>
      </c>
      <c r="V1066">
        <f>V1065+0.25</f>
        <v/>
      </c>
      <c r="W1066">
        <f>W1065+0.5</f>
        <v/>
      </c>
    </row>
    <row r="1067">
      <c r="E1067">
        <f>O1067=ROUND(1056*0.1,10)</f>
        <v/>
      </c>
      <c r="F1067">
        <f>P1067=ROUND(1056*0.2,10)</f>
        <v/>
      </c>
      <c r="G1067">
        <f>Q1067=ROUND(1056*0.3,10)</f>
        <v/>
      </c>
      <c r="H1067">
        <f>R1067=ROUND(1056*0.05,10)</f>
        <v/>
      </c>
      <c r="I1067">
        <f>S1067=ROUND(1056*0.01,10)</f>
        <v/>
      </c>
      <c r="J1067">
        <f>T1067=ROUND(1056*0.7,10)</f>
        <v/>
      </c>
      <c r="K1067">
        <f>U1067=ROUND(1056*1.1,10)</f>
        <v/>
      </c>
      <c r="L1067">
        <f>V1067=ROUND(1056*0.25,10)</f>
        <v/>
      </c>
      <c r="M1067">
        <f>W1067=ROUND(1056*0.5,10)</f>
        <v/>
      </c>
      <c r="O1067">
        <f>O1066+0.1</f>
        <v/>
      </c>
      <c r="P1067">
        <f>P1066+0.2</f>
        <v/>
      </c>
      <c r="Q1067">
        <f>Q1066+0.3</f>
        <v/>
      </c>
      <c r="R1067">
        <f>R1066+0.05</f>
        <v/>
      </c>
      <c r="S1067">
        <f>S1066+0.01</f>
        <v/>
      </c>
      <c r="T1067">
        <f>T1066+0.7</f>
        <v/>
      </c>
      <c r="U1067">
        <f>U1066+1.1</f>
        <v/>
      </c>
      <c r="V1067">
        <f>V1066+0.25</f>
        <v/>
      </c>
      <c r="W1067">
        <f>W1066+0.5</f>
        <v/>
      </c>
    </row>
    <row r="1068">
      <c r="E1068">
        <f>O1068=ROUND(1057*0.1,10)</f>
        <v/>
      </c>
      <c r="F1068">
        <f>P1068=ROUND(1057*0.2,10)</f>
        <v/>
      </c>
      <c r="G1068">
        <f>Q1068=ROUND(1057*0.3,10)</f>
        <v/>
      </c>
      <c r="H1068">
        <f>R1068=ROUND(1057*0.05,10)</f>
        <v/>
      </c>
      <c r="I1068">
        <f>S1068=ROUND(1057*0.01,10)</f>
        <v/>
      </c>
      <c r="J1068">
        <f>T1068=ROUND(1057*0.7,10)</f>
        <v/>
      </c>
      <c r="K1068">
        <f>U1068=ROUND(1057*1.1,10)</f>
        <v/>
      </c>
      <c r="L1068">
        <f>V1068=ROUND(1057*0.25,10)</f>
        <v/>
      </c>
      <c r="M1068">
        <f>W1068=ROUND(1057*0.5,10)</f>
        <v/>
      </c>
      <c r="O1068">
        <f>O1067+0.1</f>
        <v/>
      </c>
      <c r="P1068">
        <f>P1067+0.2</f>
        <v/>
      </c>
      <c r="Q1068">
        <f>Q1067+0.3</f>
        <v/>
      </c>
      <c r="R1068">
        <f>R1067+0.05</f>
        <v/>
      </c>
      <c r="S1068">
        <f>S1067+0.01</f>
        <v/>
      </c>
      <c r="T1068">
        <f>T1067+0.7</f>
        <v/>
      </c>
      <c r="U1068">
        <f>U1067+1.1</f>
        <v/>
      </c>
      <c r="V1068">
        <f>V1067+0.25</f>
        <v/>
      </c>
      <c r="W1068">
        <f>W1067+0.5</f>
        <v/>
      </c>
    </row>
    <row r="1069">
      <c r="E1069">
        <f>O1069=ROUND(1058*0.1,10)</f>
        <v/>
      </c>
      <c r="F1069">
        <f>P1069=ROUND(1058*0.2,10)</f>
        <v/>
      </c>
      <c r="G1069">
        <f>Q1069=ROUND(1058*0.3,10)</f>
        <v/>
      </c>
      <c r="H1069">
        <f>R1069=ROUND(1058*0.05,10)</f>
        <v/>
      </c>
      <c r="I1069">
        <f>S1069=ROUND(1058*0.01,10)</f>
        <v/>
      </c>
      <c r="J1069">
        <f>T1069=ROUND(1058*0.7,10)</f>
        <v/>
      </c>
      <c r="K1069">
        <f>U1069=ROUND(1058*1.1,10)</f>
        <v/>
      </c>
      <c r="L1069">
        <f>V1069=ROUND(1058*0.25,10)</f>
        <v/>
      </c>
      <c r="M1069">
        <f>W1069=ROUND(1058*0.5,10)</f>
        <v/>
      </c>
      <c r="O1069">
        <f>O1068+0.1</f>
        <v/>
      </c>
      <c r="P1069">
        <f>P1068+0.2</f>
        <v/>
      </c>
      <c r="Q1069">
        <f>Q1068+0.3</f>
        <v/>
      </c>
      <c r="R1069">
        <f>R1068+0.05</f>
        <v/>
      </c>
      <c r="S1069">
        <f>S1068+0.01</f>
        <v/>
      </c>
      <c r="T1069">
        <f>T1068+0.7</f>
        <v/>
      </c>
      <c r="U1069">
        <f>U1068+1.1</f>
        <v/>
      </c>
      <c r="V1069">
        <f>V1068+0.25</f>
        <v/>
      </c>
      <c r="W1069">
        <f>W1068+0.5</f>
        <v/>
      </c>
    </row>
    <row r="1070">
      <c r="E1070">
        <f>O1070=ROUND(1059*0.1,10)</f>
        <v/>
      </c>
      <c r="F1070">
        <f>P1070=ROUND(1059*0.2,10)</f>
        <v/>
      </c>
      <c r="G1070">
        <f>Q1070=ROUND(1059*0.3,10)</f>
        <v/>
      </c>
      <c r="H1070">
        <f>R1070=ROUND(1059*0.05,10)</f>
        <v/>
      </c>
      <c r="I1070">
        <f>S1070=ROUND(1059*0.01,10)</f>
        <v/>
      </c>
      <c r="J1070">
        <f>T1070=ROUND(1059*0.7,10)</f>
        <v/>
      </c>
      <c r="K1070">
        <f>U1070=ROUND(1059*1.1,10)</f>
        <v/>
      </c>
      <c r="L1070">
        <f>V1070=ROUND(1059*0.25,10)</f>
        <v/>
      </c>
      <c r="M1070">
        <f>W1070=ROUND(1059*0.5,10)</f>
        <v/>
      </c>
      <c r="O1070">
        <f>O1069+0.1</f>
        <v/>
      </c>
      <c r="P1070">
        <f>P1069+0.2</f>
        <v/>
      </c>
      <c r="Q1070">
        <f>Q1069+0.3</f>
        <v/>
      </c>
      <c r="R1070">
        <f>R1069+0.05</f>
        <v/>
      </c>
      <c r="S1070">
        <f>S1069+0.01</f>
        <v/>
      </c>
      <c r="T1070">
        <f>T1069+0.7</f>
        <v/>
      </c>
      <c r="U1070">
        <f>U1069+1.1</f>
        <v/>
      </c>
      <c r="V1070">
        <f>V1069+0.25</f>
        <v/>
      </c>
      <c r="W1070">
        <f>W1069+0.5</f>
        <v/>
      </c>
    </row>
    <row r="1071">
      <c r="E1071">
        <f>O1071=ROUND(1060*0.1,10)</f>
        <v/>
      </c>
      <c r="F1071">
        <f>P1071=ROUND(1060*0.2,10)</f>
        <v/>
      </c>
      <c r="G1071">
        <f>Q1071=ROUND(1060*0.3,10)</f>
        <v/>
      </c>
      <c r="H1071">
        <f>R1071=ROUND(1060*0.05,10)</f>
        <v/>
      </c>
      <c r="I1071">
        <f>S1071=ROUND(1060*0.01,10)</f>
        <v/>
      </c>
      <c r="J1071">
        <f>T1071=ROUND(1060*0.7,10)</f>
        <v/>
      </c>
      <c r="K1071">
        <f>U1071=ROUND(1060*1.1,10)</f>
        <v/>
      </c>
      <c r="L1071">
        <f>V1071=ROUND(1060*0.25,10)</f>
        <v/>
      </c>
      <c r="M1071">
        <f>W1071=ROUND(1060*0.5,10)</f>
        <v/>
      </c>
      <c r="O1071">
        <f>O1070+0.1</f>
        <v/>
      </c>
      <c r="P1071">
        <f>P1070+0.2</f>
        <v/>
      </c>
      <c r="Q1071">
        <f>Q1070+0.3</f>
        <v/>
      </c>
      <c r="R1071">
        <f>R1070+0.05</f>
        <v/>
      </c>
      <c r="S1071">
        <f>S1070+0.01</f>
        <v/>
      </c>
      <c r="T1071">
        <f>T1070+0.7</f>
        <v/>
      </c>
      <c r="U1071">
        <f>U1070+1.1</f>
        <v/>
      </c>
      <c r="V1071">
        <f>V1070+0.25</f>
        <v/>
      </c>
      <c r="W1071">
        <f>W1070+0.5</f>
        <v/>
      </c>
    </row>
    <row r="1072">
      <c r="E1072">
        <f>O1072=ROUND(1061*0.1,10)</f>
        <v/>
      </c>
      <c r="F1072">
        <f>P1072=ROUND(1061*0.2,10)</f>
        <v/>
      </c>
      <c r="G1072">
        <f>Q1072=ROUND(1061*0.3,10)</f>
        <v/>
      </c>
      <c r="H1072">
        <f>R1072=ROUND(1061*0.05,10)</f>
        <v/>
      </c>
      <c r="I1072">
        <f>S1072=ROUND(1061*0.01,10)</f>
        <v/>
      </c>
      <c r="J1072">
        <f>T1072=ROUND(1061*0.7,10)</f>
        <v/>
      </c>
      <c r="K1072">
        <f>U1072=ROUND(1061*1.1,10)</f>
        <v/>
      </c>
      <c r="L1072">
        <f>V1072=ROUND(1061*0.25,10)</f>
        <v/>
      </c>
      <c r="M1072">
        <f>W1072=ROUND(1061*0.5,10)</f>
        <v/>
      </c>
      <c r="O1072">
        <f>O1071+0.1</f>
        <v/>
      </c>
      <c r="P1072">
        <f>P1071+0.2</f>
        <v/>
      </c>
      <c r="Q1072">
        <f>Q1071+0.3</f>
        <v/>
      </c>
      <c r="R1072">
        <f>R1071+0.05</f>
        <v/>
      </c>
      <c r="S1072">
        <f>S1071+0.01</f>
        <v/>
      </c>
      <c r="T1072">
        <f>T1071+0.7</f>
        <v/>
      </c>
      <c r="U1072">
        <f>U1071+1.1</f>
        <v/>
      </c>
      <c r="V1072">
        <f>V1071+0.25</f>
        <v/>
      </c>
      <c r="W1072">
        <f>W1071+0.5</f>
        <v/>
      </c>
    </row>
    <row r="1073">
      <c r="E1073">
        <f>O1073=ROUND(1062*0.1,10)</f>
        <v/>
      </c>
      <c r="F1073">
        <f>P1073=ROUND(1062*0.2,10)</f>
        <v/>
      </c>
      <c r="G1073">
        <f>Q1073=ROUND(1062*0.3,10)</f>
        <v/>
      </c>
      <c r="H1073">
        <f>R1073=ROUND(1062*0.05,10)</f>
        <v/>
      </c>
      <c r="I1073">
        <f>S1073=ROUND(1062*0.01,10)</f>
        <v/>
      </c>
      <c r="J1073">
        <f>T1073=ROUND(1062*0.7,10)</f>
        <v/>
      </c>
      <c r="K1073">
        <f>U1073=ROUND(1062*1.1,10)</f>
        <v/>
      </c>
      <c r="L1073">
        <f>V1073=ROUND(1062*0.25,10)</f>
        <v/>
      </c>
      <c r="M1073">
        <f>W1073=ROUND(1062*0.5,10)</f>
        <v/>
      </c>
      <c r="O1073">
        <f>O1072+0.1</f>
        <v/>
      </c>
      <c r="P1073">
        <f>P1072+0.2</f>
        <v/>
      </c>
      <c r="Q1073">
        <f>Q1072+0.3</f>
        <v/>
      </c>
      <c r="R1073">
        <f>R1072+0.05</f>
        <v/>
      </c>
      <c r="S1073">
        <f>S1072+0.01</f>
        <v/>
      </c>
      <c r="T1073">
        <f>T1072+0.7</f>
        <v/>
      </c>
      <c r="U1073">
        <f>U1072+1.1</f>
        <v/>
      </c>
      <c r="V1073">
        <f>V1072+0.25</f>
        <v/>
      </c>
      <c r="W1073">
        <f>W1072+0.5</f>
        <v/>
      </c>
    </row>
    <row r="1074">
      <c r="E1074">
        <f>O1074=ROUND(1063*0.1,10)</f>
        <v/>
      </c>
      <c r="F1074">
        <f>P1074=ROUND(1063*0.2,10)</f>
        <v/>
      </c>
      <c r="G1074">
        <f>Q1074=ROUND(1063*0.3,10)</f>
        <v/>
      </c>
      <c r="H1074">
        <f>R1074=ROUND(1063*0.05,10)</f>
        <v/>
      </c>
      <c r="I1074">
        <f>S1074=ROUND(1063*0.01,10)</f>
        <v/>
      </c>
      <c r="J1074">
        <f>T1074=ROUND(1063*0.7,10)</f>
        <v/>
      </c>
      <c r="K1074">
        <f>U1074=ROUND(1063*1.1,10)</f>
        <v/>
      </c>
      <c r="L1074">
        <f>V1074=ROUND(1063*0.25,10)</f>
        <v/>
      </c>
      <c r="M1074">
        <f>W1074=ROUND(1063*0.5,10)</f>
        <v/>
      </c>
      <c r="O1074">
        <f>O1073+0.1</f>
        <v/>
      </c>
      <c r="P1074">
        <f>P1073+0.2</f>
        <v/>
      </c>
      <c r="Q1074">
        <f>Q1073+0.3</f>
        <v/>
      </c>
      <c r="R1074">
        <f>R1073+0.05</f>
        <v/>
      </c>
      <c r="S1074">
        <f>S1073+0.01</f>
        <v/>
      </c>
      <c r="T1074">
        <f>T1073+0.7</f>
        <v/>
      </c>
      <c r="U1074">
        <f>U1073+1.1</f>
        <v/>
      </c>
      <c r="V1074">
        <f>V1073+0.25</f>
        <v/>
      </c>
      <c r="W1074">
        <f>W1073+0.5</f>
        <v/>
      </c>
    </row>
    <row r="1075">
      <c r="E1075">
        <f>O1075=ROUND(1064*0.1,10)</f>
        <v/>
      </c>
      <c r="F1075">
        <f>P1075=ROUND(1064*0.2,10)</f>
        <v/>
      </c>
      <c r="G1075">
        <f>Q1075=ROUND(1064*0.3,10)</f>
        <v/>
      </c>
      <c r="H1075">
        <f>R1075=ROUND(1064*0.05,10)</f>
        <v/>
      </c>
      <c r="I1075">
        <f>S1075=ROUND(1064*0.01,10)</f>
        <v/>
      </c>
      <c r="J1075">
        <f>T1075=ROUND(1064*0.7,10)</f>
        <v/>
      </c>
      <c r="K1075">
        <f>U1075=ROUND(1064*1.1,10)</f>
        <v/>
      </c>
      <c r="L1075">
        <f>V1075=ROUND(1064*0.25,10)</f>
        <v/>
      </c>
      <c r="M1075">
        <f>W1075=ROUND(1064*0.5,10)</f>
        <v/>
      </c>
      <c r="O1075">
        <f>O1074+0.1</f>
        <v/>
      </c>
      <c r="P1075">
        <f>P1074+0.2</f>
        <v/>
      </c>
      <c r="Q1075">
        <f>Q1074+0.3</f>
        <v/>
      </c>
      <c r="R1075">
        <f>R1074+0.05</f>
        <v/>
      </c>
      <c r="S1075">
        <f>S1074+0.01</f>
        <v/>
      </c>
      <c r="T1075">
        <f>T1074+0.7</f>
        <v/>
      </c>
      <c r="U1075">
        <f>U1074+1.1</f>
        <v/>
      </c>
      <c r="V1075">
        <f>V1074+0.25</f>
        <v/>
      </c>
      <c r="W1075">
        <f>W1074+0.5</f>
        <v/>
      </c>
    </row>
    <row r="1076">
      <c r="E1076">
        <f>O1076=ROUND(1065*0.1,10)</f>
        <v/>
      </c>
      <c r="F1076">
        <f>P1076=ROUND(1065*0.2,10)</f>
        <v/>
      </c>
      <c r="G1076">
        <f>Q1076=ROUND(1065*0.3,10)</f>
        <v/>
      </c>
      <c r="H1076">
        <f>R1076=ROUND(1065*0.05,10)</f>
        <v/>
      </c>
      <c r="I1076">
        <f>S1076=ROUND(1065*0.01,10)</f>
        <v/>
      </c>
      <c r="J1076">
        <f>T1076=ROUND(1065*0.7,10)</f>
        <v/>
      </c>
      <c r="K1076">
        <f>U1076=ROUND(1065*1.1,10)</f>
        <v/>
      </c>
      <c r="L1076">
        <f>V1076=ROUND(1065*0.25,10)</f>
        <v/>
      </c>
      <c r="M1076">
        <f>W1076=ROUND(1065*0.5,10)</f>
        <v/>
      </c>
      <c r="O1076">
        <f>O1075+0.1</f>
        <v/>
      </c>
      <c r="P1076">
        <f>P1075+0.2</f>
        <v/>
      </c>
      <c r="Q1076">
        <f>Q1075+0.3</f>
        <v/>
      </c>
      <c r="R1076">
        <f>R1075+0.05</f>
        <v/>
      </c>
      <c r="S1076">
        <f>S1075+0.01</f>
        <v/>
      </c>
      <c r="T1076">
        <f>T1075+0.7</f>
        <v/>
      </c>
      <c r="U1076">
        <f>U1075+1.1</f>
        <v/>
      </c>
      <c r="V1076">
        <f>V1075+0.25</f>
        <v/>
      </c>
      <c r="W1076">
        <f>W1075+0.5</f>
        <v/>
      </c>
    </row>
    <row r="1077">
      <c r="E1077">
        <f>O1077=ROUND(1066*0.1,10)</f>
        <v/>
      </c>
      <c r="F1077">
        <f>P1077=ROUND(1066*0.2,10)</f>
        <v/>
      </c>
      <c r="G1077">
        <f>Q1077=ROUND(1066*0.3,10)</f>
        <v/>
      </c>
      <c r="H1077">
        <f>R1077=ROUND(1066*0.05,10)</f>
        <v/>
      </c>
      <c r="I1077">
        <f>S1077=ROUND(1066*0.01,10)</f>
        <v/>
      </c>
      <c r="J1077">
        <f>T1077=ROUND(1066*0.7,10)</f>
        <v/>
      </c>
      <c r="K1077">
        <f>U1077=ROUND(1066*1.1,10)</f>
        <v/>
      </c>
      <c r="L1077">
        <f>V1077=ROUND(1066*0.25,10)</f>
        <v/>
      </c>
      <c r="M1077">
        <f>W1077=ROUND(1066*0.5,10)</f>
        <v/>
      </c>
      <c r="O1077">
        <f>O1076+0.1</f>
        <v/>
      </c>
      <c r="P1077">
        <f>P1076+0.2</f>
        <v/>
      </c>
      <c r="Q1077">
        <f>Q1076+0.3</f>
        <v/>
      </c>
      <c r="R1077">
        <f>R1076+0.05</f>
        <v/>
      </c>
      <c r="S1077">
        <f>S1076+0.01</f>
        <v/>
      </c>
      <c r="T1077">
        <f>T1076+0.7</f>
        <v/>
      </c>
      <c r="U1077">
        <f>U1076+1.1</f>
        <v/>
      </c>
      <c r="V1077">
        <f>V1076+0.25</f>
        <v/>
      </c>
      <c r="W1077">
        <f>W1076+0.5</f>
        <v/>
      </c>
    </row>
    <row r="1078">
      <c r="E1078">
        <f>O1078=ROUND(1067*0.1,10)</f>
        <v/>
      </c>
      <c r="F1078">
        <f>P1078=ROUND(1067*0.2,10)</f>
        <v/>
      </c>
      <c r="G1078">
        <f>Q1078=ROUND(1067*0.3,10)</f>
        <v/>
      </c>
      <c r="H1078">
        <f>R1078=ROUND(1067*0.05,10)</f>
        <v/>
      </c>
      <c r="I1078">
        <f>S1078=ROUND(1067*0.01,10)</f>
        <v/>
      </c>
      <c r="J1078">
        <f>T1078=ROUND(1067*0.7,10)</f>
        <v/>
      </c>
      <c r="K1078">
        <f>U1078=ROUND(1067*1.1,10)</f>
        <v/>
      </c>
      <c r="L1078">
        <f>V1078=ROUND(1067*0.25,10)</f>
        <v/>
      </c>
      <c r="M1078">
        <f>W1078=ROUND(1067*0.5,10)</f>
        <v/>
      </c>
      <c r="O1078">
        <f>O1077+0.1</f>
        <v/>
      </c>
      <c r="P1078">
        <f>P1077+0.2</f>
        <v/>
      </c>
      <c r="Q1078">
        <f>Q1077+0.3</f>
        <v/>
      </c>
      <c r="R1078">
        <f>R1077+0.05</f>
        <v/>
      </c>
      <c r="S1078">
        <f>S1077+0.01</f>
        <v/>
      </c>
      <c r="T1078">
        <f>T1077+0.7</f>
        <v/>
      </c>
      <c r="U1078">
        <f>U1077+1.1</f>
        <v/>
      </c>
      <c r="V1078">
        <f>V1077+0.25</f>
        <v/>
      </c>
      <c r="W1078">
        <f>W1077+0.5</f>
        <v/>
      </c>
    </row>
    <row r="1079">
      <c r="E1079">
        <f>O1079=ROUND(1068*0.1,10)</f>
        <v/>
      </c>
      <c r="F1079">
        <f>P1079=ROUND(1068*0.2,10)</f>
        <v/>
      </c>
      <c r="G1079">
        <f>Q1079=ROUND(1068*0.3,10)</f>
        <v/>
      </c>
      <c r="H1079">
        <f>R1079=ROUND(1068*0.05,10)</f>
        <v/>
      </c>
      <c r="I1079">
        <f>S1079=ROUND(1068*0.01,10)</f>
        <v/>
      </c>
      <c r="J1079">
        <f>T1079=ROUND(1068*0.7,10)</f>
        <v/>
      </c>
      <c r="K1079">
        <f>U1079=ROUND(1068*1.1,10)</f>
        <v/>
      </c>
      <c r="L1079">
        <f>V1079=ROUND(1068*0.25,10)</f>
        <v/>
      </c>
      <c r="M1079">
        <f>W1079=ROUND(1068*0.5,10)</f>
        <v/>
      </c>
      <c r="O1079">
        <f>O1078+0.1</f>
        <v/>
      </c>
      <c r="P1079">
        <f>P1078+0.2</f>
        <v/>
      </c>
      <c r="Q1079">
        <f>Q1078+0.3</f>
        <v/>
      </c>
      <c r="R1079">
        <f>R1078+0.05</f>
        <v/>
      </c>
      <c r="S1079">
        <f>S1078+0.01</f>
        <v/>
      </c>
      <c r="T1079">
        <f>T1078+0.7</f>
        <v/>
      </c>
      <c r="U1079">
        <f>U1078+1.1</f>
        <v/>
      </c>
      <c r="V1079">
        <f>V1078+0.25</f>
        <v/>
      </c>
      <c r="W1079">
        <f>W1078+0.5</f>
        <v/>
      </c>
    </row>
    <row r="1080">
      <c r="E1080">
        <f>O1080=ROUND(1069*0.1,10)</f>
        <v/>
      </c>
      <c r="F1080">
        <f>P1080=ROUND(1069*0.2,10)</f>
        <v/>
      </c>
      <c r="G1080">
        <f>Q1080=ROUND(1069*0.3,10)</f>
        <v/>
      </c>
      <c r="H1080">
        <f>R1080=ROUND(1069*0.05,10)</f>
        <v/>
      </c>
      <c r="I1080">
        <f>S1080=ROUND(1069*0.01,10)</f>
        <v/>
      </c>
      <c r="J1080">
        <f>T1080=ROUND(1069*0.7,10)</f>
        <v/>
      </c>
      <c r="K1080">
        <f>U1080=ROUND(1069*1.1,10)</f>
        <v/>
      </c>
      <c r="L1080">
        <f>V1080=ROUND(1069*0.25,10)</f>
        <v/>
      </c>
      <c r="M1080">
        <f>W1080=ROUND(1069*0.5,10)</f>
        <v/>
      </c>
      <c r="O1080">
        <f>O1079+0.1</f>
        <v/>
      </c>
      <c r="P1080">
        <f>P1079+0.2</f>
        <v/>
      </c>
      <c r="Q1080">
        <f>Q1079+0.3</f>
        <v/>
      </c>
      <c r="R1080">
        <f>R1079+0.05</f>
        <v/>
      </c>
      <c r="S1080">
        <f>S1079+0.01</f>
        <v/>
      </c>
      <c r="T1080">
        <f>T1079+0.7</f>
        <v/>
      </c>
      <c r="U1080">
        <f>U1079+1.1</f>
        <v/>
      </c>
      <c r="V1080">
        <f>V1079+0.25</f>
        <v/>
      </c>
      <c r="W1080">
        <f>W1079+0.5</f>
        <v/>
      </c>
    </row>
    <row r="1081">
      <c r="E1081">
        <f>O1081=ROUND(1070*0.1,10)</f>
        <v/>
      </c>
      <c r="F1081">
        <f>P1081=ROUND(1070*0.2,10)</f>
        <v/>
      </c>
      <c r="G1081">
        <f>Q1081=ROUND(1070*0.3,10)</f>
        <v/>
      </c>
      <c r="H1081">
        <f>R1081=ROUND(1070*0.05,10)</f>
        <v/>
      </c>
      <c r="I1081">
        <f>S1081=ROUND(1070*0.01,10)</f>
        <v/>
      </c>
      <c r="J1081">
        <f>T1081=ROUND(1070*0.7,10)</f>
        <v/>
      </c>
      <c r="K1081">
        <f>U1081=ROUND(1070*1.1,10)</f>
        <v/>
      </c>
      <c r="L1081">
        <f>V1081=ROUND(1070*0.25,10)</f>
        <v/>
      </c>
      <c r="M1081">
        <f>W1081=ROUND(1070*0.5,10)</f>
        <v/>
      </c>
      <c r="O1081">
        <f>O1080+0.1</f>
        <v/>
      </c>
      <c r="P1081">
        <f>P1080+0.2</f>
        <v/>
      </c>
      <c r="Q1081">
        <f>Q1080+0.3</f>
        <v/>
      </c>
      <c r="R1081">
        <f>R1080+0.05</f>
        <v/>
      </c>
      <c r="S1081">
        <f>S1080+0.01</f>
        <v/>
      </c>
      <c r="T1081">
        <f>T1080+0.7</f>
        <v/>
      </c>
      <c r="U1081">
        <f>U1080+1.1</f>
        <v/>
      </c>
      <c r="V1081">
        <f>V1080+0.25</f>
        <v/>
      </c>
      <c r="W1081">
        <f>W1080+0.5</f>
        <v/>
      </c>
    </row>
    <row r="1082">
      <c r="E1082">
        <f>O1082=ROUND(1071*0.1,10)</f>
        <v/>
      </c>
      <c r="F1082">
        <f>P1082=ROUND(1071*0.2,10)</f>
        <v/>
      </c>
      <c r="G1082">
        <f>Q1082=ROUND(1071*0.3,10)</f>
        <v/>
      </c>
      <c r="H1082">
        <f>R1082=ROUND(1071*0.05,10)</f>
        <v/>
      </c>
      <c r="I1082">
        <f>S1082=ROUND(1071*0.01,10)</f>
        <v/>
      </c>
      <c r="J1082">
        <f>T1082=ROUND(1071*0.7,10)</f>
        <v/>
      </c>
      <c r="K1082">
        <f>U1082=ROUND(1071*1.1,10)</f>
        <v/>
      </c>
      <c r="L1082">
        <f>V1082=ROUND(1071*0.25,10)</f>
        <v/>
      </c>
      <c r="M1082">
        <f>W1082=ROUND(1071*0.5,10)</f>
        <v/>
      </c>
      <c r="O1082">
        <f>O1081+0.1</f>
        <v/>
      </c>
      <c r="P1082">
        <f>P1081+0.2</f>
        <v/>
      </c>
      <c r="Q1082">
        <f>Q1081+0.3</f>
        <v/>
      </c>
      <c r="R1082">
        <f>R1081+0.05</f>
        <v/>
      </c>
      <c r="S1082">
        <f>S1081+0.01</f>
        <v/>
      </c>
      <c r="T1082">
        <f>T1081+0.7</f>
        <v/>
      </c>
      <c r="U1082">
        <f>U1081+1.1</f>
        <v/>
      </c>
      <c r="V1082">
        <f>V1081+0.25</f>
        <v/>
      </c>
      <c r="W1082">
        <f>W1081+0.5</f>
        <v/>
      </c>
    </row>
    <row r="1083">
      <c r="E1083">
        <f>O1083=ROUND(1072*0.1,10)</f>
        <v/>
      </c>
      <c r="F1083">
        <f>P1083=ROUND(1072*0.2,10)</f>
        <v/>
      </c>
      <c r="G1083">
        <f>Q1083=ROUND(1072*0.3,10)</f>
        <v/>
      </c>
      <c r="H1083">
        <f>R1083=ROUND(1072*0.05,10)</f>
        <v/>
      </c>
      <c r="I1083">
        <f>S1083=ROUND(1072*0.01,10)</f>
        <v/>
      </c>
      <c r="J1083">
        <f>T1083=ROUND(1072*0.7,10)</f>
        <v/>
      </c>
      <c r="K1083">
        <f>U1083=ROUND(1072*1.1,10)</f>
        <v/>
      </c>
      <c r="L1083">
        <f>V1083=ROUND(1072*0.25,10)</f>
        <v/>
      </c>
      <c r="M1083">
        <f>W1083=ROUND(1072*0.5,10)</f>
        <v/>
      </c>
      <c r="O1083">
        <f>O1082+0.1</f>
        <v/>
      </c>
      <c r="P1083">
        <f>P1082+0.2</f>
        <v/>
      </c>
      <c r="Q1083">
        <f>Q1082+0.3</f>
        <v/>
      </c>
      <c r="R1083">
        <f>R1082+0.05</f>
        <v/>
      </c>
      <c r="S1083">
        <f>S1082+0.01</f>
        <v/>
      </c>
      <c r="T1083">
        <f>T1082+0.7</f>
        <v/>
      </c>
      <c r="U1083">
        <f>U1082+1.1</f>
        <v/>
      </c>
      <c r="V1083">
        <f>V1082+0.25</f>
        <v/>
      </c>
      <c r="W1083">
        <f>W1082+0.5</f>
        <v/>
      </c>
    </row>
    <row r="1084">
      <c r="E1084">
        <f>O1084=ROUND(1073*0.1,10)</f>
        <v/>
      </c>
      <c r="F1084">
        <f>P1084=ROUND(1073*0.2,10)</f>
        <v/>
      </c>
      <c r="G1084">
        <f>Q1084=ROUND(1073*0.3,10)</f>
        <v/>
      </c>
      <c r="H1084">
        <f>R1084=ROUND(1073*0.05,10)</f>
        <v/>
      </c>
      <c r="I1084">
        <f>S1084=ROUND(1073*0.01,10)</f>
        <v/>
      </c>
      <c r="J1084">
        <f>T1084=ROUND(1073*0.7,10)</f>
        <v/>
      </c>
      <c r="K1084">
        <f>U1084=ROUND(1073*1.1,10)</f>
        <v/>
      </c>
      <c r="L1084">
        <f>V1084=ROUND(1073*0.25,10)</f>
        <v/>
      </c>
      <c r="M1084">
        <f>W1084=ROUND(1073*0.5,10)</f>
        <v/>
      </c>
      <c r="O1084">
        <f>O1083+0.1</f>
        <v/>
      </c>
      <c r="P1084">
        <f>P1083+0.2</f>
        <v/>
      </c>
      <c r="Q1084">
        <f>Q1083+0.3</f>
        <v/>
      </c>
      <c r="R1084">
        <f>R1083+0.05</f>
        <v/>
      </c>
      <c r="S1084">
        <f>S1083+0.01</f>
        <v/>
      </c>
      <c r="T1084">
        <f>T1083+0.7</f>
        <v/>
      </c>
      <c r="U1084">
        <f>U1083+1.1</f>
        <v/>
      </c>
      <c r="V1084">
        <f>V1083+0.25</f>
        <v/>
      </c>
      <c r="W1084">
        <f>W1083+0.5</f>
        <v/>
      </c>
    </row>
    <row r="1085">
      <c r="E1085">
        <f>O1085=ROUND(1074*0.1,10)</f>
        <v/>
      </c>
      <c r="F1085">
        <f>P1085=ROUND(1074*0.2,10)</f>
        <v/>
      </c>
      <c r="G1085">
        <f>Q1085=ROUND(1074*0.3,10)</f>
        <v/>
      </c>
      <c r="H1085">
        <f>R1085=ROUND(1074*0.05,10)</f>
        <v/>
      </c>
      <c r="I1085">
        <f>S1085=ROUND(1074*0.01,10)</f>
        <v/>
      </c>
      <c r="J1085">
        <f>T1085=ROUND(1074*0.7,10)</f>
        <v/>
      </c>
      <c r="K1085">
        <f>U1085=ROUND(1074*1.1,10)</f>
        <v/>
      </c>
      <c r="L1085">
        <f>V1085=ROUND(1074*0.25,10)</f>
        <v/>
      </c>
      <c r="M1085">
        <f>W1085=ROUND(1074*0.5,10)</f>
        <v/>
      </c>
      <c r="O1085">
        <f>O1084+0.1</f>
        <v/>
      </c>
      <c r="P1085">
        <f>P1084+0.2</f>
        <v/>
      </c>
      <c r="Q1085">
        <f>Q1084+0.3</f>
        <v/>
      </c>
      <c r="R1085">
        <f>R1084+0.05</f>
        <v/>
      </c>
      <c r="S1085">
        <f>S1084+0.01</f>
        <v/>
      </c>
      <c r="T1085">
        <f>T1084+0.7</f>
        <v/>
      </c>
      <c r="U1085">
        <f>U1084+1.1</f>
        <v/>
      </c>
      <c r="V1085">
        <f>V1084+0.25</f>
        <v/>
      </c>
      <c r="W1085">
        <f>W1084+0.5</f>
        <v/>
      </c>
    </row>
    <row r="1086">
      <c r="E1086">
        <f>O1086=ROUND(1075*0.1,10)</f>
        <v/>
      </c>
      <c r="F1086">
        <f>P1086=ROUND(1075*0.2,10)</f>
        <v/>
      </c>
      <c r="G1086">
        <f>Q1086=ROUND(1075*0.3,10)</f>
        <v/>
      </c>
      <c r="H1086">
        <f>R1086=ROUND(1075*0.05,10)</f>
        <v/>
      </c>
      <c r="I1086">
        <f>S1086=ROUND(1075*0.01,10)</f>
        <v/>
      </c>
      <c r="J1086">
        <f>T1086=ROUND(1075*0.7,10)</f>
        <v/>
      </c>
      <c r="K1086">
        <f>U1086=ROUND(1075*1.1,10)</f>
        <v/>
      </c>
      <c r="L1086">
        <f>V1086=ROUND(1075*0.25,10)</f>
        <v/>
      </c>
      <c r="M1086">
        <f>W1086=ROUND(1075*0.5,10)</f>
        <v/>
      </c>
      <c r="O1086">
        <f>O1085+0.1</f>
        <v/>
      </c>
      <c r="P1086">
        <f>P1085+0.2</f>
        <v/>
      </c>
      <c r="Q1086">
        <f>Q1085+0.3</f>
        <v/>
      </c>
      <c r="R1086">
        <f>R1085+0.05</f>
        <v/>
      </c>
      <c r="S1086">
        <f>S1085+0.01</f>
        <v/>
      </c>
      <c r="T1086">
        <f>T1085+0.7</f>
        <v/>
      </c>
      <c r="U1086">
        <f>U1085+1.1</f>
        <v/>
      </c>
      <c r="V1086">
        <f>V1085+0.25</f>
        <v/>
      </c>
      <c r="W1086">
        <f>W1085+0.5</f>
        <v/>
      </c>
    </row>
    <row r="1087">
      <c r="E1087">
        <f>O1087=ROUND(1076*0.1,10)</f>
        <v/>
      </c>
      <c r="F1087">
        <f>P1087=ROUND(1076*0.2,10)</f>
        <v/>
      </c>
      <c r="G1087">
        <f>Q1087=ROUND(1076*0.3,10)</f>
        <v/>
      </c>
      <c r="H1087">
        <f>R1087=ROUND(1076*0.05,10)</f>
        <v/>
      </c>
      <c r="I1087">
        <f>S1087=ROUND(1076*0.01,10)</f>
        <v/>
      </c>
      <c r="J1087">
        <f>T1087=ROUND(1076*0.7,10)</f>
        <v/>
      </c>
      <c r="K1087">
        <f>U1087=ROUND(1076*1.1,10)</f>
        <v/>
      </c>
      <c r="L1087">
        <f>V1087=ROUND(1076*0.25,10)</f>
        <v/>
      </c>
      <c r="M1087">
        <f>W1087=ROUND(1076*0.5,10)</f>
        <v/>
      </c>
      <c r="O1087">
        <f>O1086+0.1</f>
        <v/>
      </c>
      <c r="P1087">
        <f>P1086+0.2</f>
        <v/>
      </c>
      <c r="Q1087">
        <f>Q1086+0.3</f>
        <v/>
      </c>
      <c r="R1087">
        <f>R1086+0.05</f>
        <v/>
      </c>
      <c r="S1087">
        <f>S1086+0.01</f>
        <v/>
      </c>
      <c r="T1087">
        <f>T1086+0.7</f>
        <v/>
      </c>
      <c r="U1087">
        <f>U1086+1.1</f>
        <v/>
      </c>
      <c r="V1087">
        <f>V1086+0.25</f>
        <v/>
      </c>
      <c r="W1087">
        <f>W1086+0.5</f>
        <v/>
      </c>
    </row>
    <row r="1088">
      <c r="E1088">
        <f>O1088=ROUND(1077*0.1,10)</f>
        <v/>
      </c>
      <c r="F1088">
        <f>P1088=ROUND(1077*0.2,10)</f>
        <v/>
      </c>
      <c r="G1088">
        <f>Q1088=ROUND(1077*0.3,10)</f>
        <v/>
      </c>
      <c r="H1088">
        <f>R1088=ROUND(1077*0.05,10)</f>
        <v/>
      </c>
      <c r="I1088">
        <f>S1088=ROUND(1077*0.01,10)</f>
        <v/>
      </c>
      <c r="J1088">
        <f>T1088=ROUND(1077*0.7,10)</f>
        <v/>
      </c>
      <c r="K1088">
        <f>U1088=ROUND(1077*1.1,10)</f>
        <v/>
      </c>
      <c r="L1088">
        <f>V1088=ROUND(1077*0.25,10)</f>
        <v/>
      </c>
      <c r="M1088">
        <f>W1088=ROUND(1077*0.5,10)</f>
        <v/>
      </c>
      <c r="O1088">
        <f>O1087+0.1</f>
        <v/>
      </c>
      <c r="P1088">
        <f>P1087+0.2</f>
        <v/>
      </c>
      <c r="Q1088">
        <f>Q1087+0.3</f>
        <v/>
      </c>
      <c r="R1088">
        <f>R1087+0.05</f>
        <v/>
      </c>
      <c r="S1088">
        <f>S1087+0.01</f>
        <v/>
      </c>
      <c r="T1088">
        <f>T1087+0.7</f>
        <v/>
      </c>
      <c r="U1088">
        <f>U1087+1.1</f>
        <v/>
      </c>
      <c r="V1088">
        <f>V1087+0.25</f>
        <v/>
      </c>
      <c r="W1088">
        <f>W1087+0.5</f>
        <v/>
      </c>
    </row>
    <row r="1089">
      <c r="E1089">
        <f>O1089=ROUND(1078*0.1,10)</f>
        <v/>
      </c>
      <c r="F1089">
        <f>P1089=ROUND(1078*0.2,10)</f>
        <v/>
      </c>
      <c r="G1089">
        <f>Q1089=ROUND(1078*0.3,10)</f>
        <v/>
      </c>
      <c r="H1089">
        <f>R1089=ROUND(1078*0.05,10)</f>
        <v/>
      </c>
      <c r="I1089">
        <f>S1089=ROUND(1078*0.01,10)</f>
        <v/>
      </c>
      <c r="J1089">
        <f>T1089=ROUND(1078*0.7,10)</f>
        <v/>
      </c>
      <c r="K1089">
        <f>U1089=ROUND(1078*1.1,10)</f>
        <v/>
      </c>
      <c r="L1089">
        <f>V1089=ROUND(1078*0.25,10)</f>
        <v/>
      </c>
      <c r="M1089">
        <f>W1089=ROUND(1078*0.5,10)</f>
        <v/>
      </c>
      <c r="O1089">
        <f>O1088+0.1</f>
        <v/>
      </c>
      <c r="P1089">
        <f>P1088+0.2</f>
        <v/>
      </c>
      <c r="Q1089">
        <f>Q1088+0.3</f>
        <v/>
      </c>
      <c r="R1089">
        <f>R1088+0.05</f>
        <v/>
      </c>
      <c r="S1089">
        <f>S1088+0.01</f>
        <v/>
      </c>
      <c r="T1089">
        <f>T1088+0.7</f>
        <v/>
      </c>
      <c r="U1089">
        <f>U1088+1.1</f>
        <v/>
      </c>
      <c r="V1089">
        <f>V1088+0.25</f>
        <v/>
      </c>
      <c r="W1089">
        <f>W1088+0.5</f>
        <v/>
      </c>
    </row>
    <row r="1090">
      <c r="E1090">
        <f>O1090=ROUND(1079*0.1,10)</f>
        <v/>
      </c>
      <c r="F1090">
        <f>P1090=ROUND(1079*0.2,10)</f>
        <v/>
      </c>
      <c r="G1090">
        <f>Q1090=ROUND(1079*0.3,10)</f>
        <v/>
      </c>
      <c r="H1090">
        <f>R1090=ROUND(1079*0.05,10)</f>
        <v/>
      </c>
      <c r="I1090">
        <f>S1090=ROUND(1079*0.01,10)</f>
        <v/>
      </c>
      <c r="J1090">
        <f>T1090=ROUND(1079*0.7,10)</f>
        <v/>
      </c>
      <c r="K1090">
        <f>U1090=ROUND(1079*1.1,10)</f>
        <v/>
      </c>
      <c r="L1090">
        <f>V1090=ROUND(1079*0.25,10)</f>
        <v/>
      </c>
      <c r="M1090">
        <f>W1090=ROUND(1079*0.5,10)</f>
        <v/>
      </c>
      <c r="O1090">
        <f>O1089+0.1</f>
        <v/>
      </c>
      <c r="P1090">
        <f>P1089+0.2</f>
        <v/>
      </c>
      <c r="Q1090">
        <f>Q1089+0.3</f>
        <v/>
      </c>
      <c r="R1090">
        <f>R1089+0.05</f>
        <v/>
      </c>
      <c r="S1090">
        <f>S1089+0.01</f>
        <v/>
      </c>
      <c r="T1090">
        <f>T1089+0.7</f>
        <v/>
      </c>
      <c r="U1090">
        <f>U1089+1.1</f>
        <v/>
      </c>
      <c r="V1090">
        <f>V1089+0.25</f>
        <v/>
      </c>
      <c r="W1090">
        <f>W1089+0.5</f>
        <v/>
      </c>
    </row>
    <row r="1091">
      <c r="E1091">
        <f>O1091=ROUND(1080*0.1,10)</f>
        <v/>
      </c>
      <c r="F1091">
        <f>P1091=ROUND(1080*0.2,10)</f>
        <v/>
      </c>
      <c r="G1091">
        <f>Q1091=ROUND(1080*0.3,10)</f>
        <v/>
      </c>
      <c r="H1091">
        <f>R1091=ROUND(1080*0.05,10)</f>
        <v/>
      </c>
      <c r="I1091">
        <f>S1091=ROUND(1080*0.01,10)</f>
        <v/>
      </c>
      <c r="J1091">
        <f>T1091=ROUND(1080*0.7,10)</f>
        <v/>
      </c>
      <c r="K1091">
        <f>U1091=ROUND(1080*1.1,10)</f>
        <v/>
      </c>
      <c r="L1091">
        <f>V1091=ROUND(1080*0.25,10)</f>
        <v/>
      </c>
      <c r="M1091">
        <f>W1091=ROUND(1080*0.5,10)</f>
        <v/>
      </c>
      <c r="O1091">
        <f>O1090+0.1</f>
        <v/>
      </c>
      <c r="P1091">
        <f>P1090+0.2</f>
        <v/>
      </c>
      <c r="Q1091">
        <f>Q1090+0.3</f>
        <v/>
      </c>
      <c r="R1091">
        <f>R1090+0.05</f>
        <v/>
      </c>
      <c r="S1091">
        <f>S1090+0.01</f>
        <v/>
      </c>
      <c r="T1091">
        <f>T1090+0.7</f>
        <v/>
      </c>
      <c r="U1091">
        <f>U1090+1.1</f>
        <v/>
      </c>
      <c r="V1091">
        <f>V1090+0.25</f>
        <v/>
      </c>
      <c r="W1091">
        <f>W1090+0.5</f>
        <v/>
      </c>
    </row>
    <row r="1092">
      <c r="E1092">
        <f>O1092=ROUND(1081*0.1,10)</f>
        <v/>
      </c>
      <c r="F1092">
        <f>P1092=ROUND(1081*0.2,10)</f>
        <v/>
      </c>
      <c r="G1092">
        <f>Q1092=ROUND(1081*0.3,10)</f>
        <v/>
      </c>
      <c r="H1092">
        <f>R1092=ROUND(1081*0.05,10)</f>
        <v/>
      </c>
      <c r="I1092">
        <f>S1092=ROUND(1081*0.01,10)</f>
        <v/>
      </c>
      <c r="J1092">
        <f>T1092=ROUND(1081*0.7,10)</f>
        <v/>
      </c>
      <c r="K1092">
        <f>U1092=ROUND(1081*1.1,10)</f>
        <v/>
      </c>
      <c r="L1092">
        <f>V1092=ROUND(1081*0.25,10)</f>
        <v/>
      </c>
      <c r="M1092">
        <f>W1092=ROUND(1081*0.5,10)</f>
        <v/>
      </c>
      <c r="O1092">
        <f>O1091+0.1</f>
        <v/>
      </c>
      <c r="P1092">
        <f>P1091+0.2</f>
        <v/>
      </c>
      <c r="Q1092">
        <f>Q1091+0.3</f>
        <v/>
      </c>
      <c r="R1092">
        <f>R1091+0.05</f>
        <v/>
      </c>
      <c r="S1092">
        <f>S1091+0.01</f>
        <v/>
      </c>
      <c r="T1092">
        <f>T1091+0.7</f>
        <v/>
      </c>
      <c r="U1092">
        <f>U1091+1.1</f>
        <v/>
      </c>
      <c r="V1092">
        <f>V1091+0.25</f>
        <v/>
      </c>
      <c r="W1092">
        <f>W1091+0.5</f>
        <v/>
      </c>
    </row>
    <row r="1093">
      <c r="E1093">
        <f>O1093=ROUND(1082*0.1,10)</f>
        <v/>
      </c>
      <c r="F1093">
        <f>P1093=ROUND(1082*0.2,10)</f>
        <v/>
      </c>
      <c r="G1093">
        <f>Q1093=ROUND(1082*0.3,10)</f>
        <v/>
      </c>
      <c r="H1093">
        <f>R1093=ROUND(1082*0.05,10)</f>
        <v/>
      </c>
      <c r="I1093">
        <f>S1093=ROUND(1082*0.01,10)</f>
        <v/>
      </c>
      <c r="J1093">
        <f>T1093=ROUND(1082*0.7,10)</f>
        <v/>
      </c>
      <c r="K1093">
        <f>U1093=ROUND(1082*1.1,10)</f>
        <v/>
      </c>
      <c r="L1093">
        <f>V1093=ROUND(1082*0.25,10)</f>
        <v/>
      </c>
      <c r="M1093">
        <f>W1093=ROUND(1082*0.5,10)</f>
        <v/>
      </c>
      <c r="O1093">
        <f>O1092+0.1</f>
        <v/>
      </c>
      <c r="P1093">
        <f>P1092+0.2</f>
        <v/>
      </c>
      <c r="Q1093">
        <f>Q1092+0.3</f>
        <v/>
      </c>
      <c r="R1093">
        <f>R1092+0.05</f>
        <v/>
      </c>
      <c r="S1093">
        <f>S1092+0.01</f>
        <v/>
      </c>
      <c r="T1093">
        <f>T1092+0.7</f>
        <v/>
      </c>
      <c r="U1093">
        <f>U1092+1.1</f>
        <v/>
      </c>
      <c r="V1093">
        <f>V1092+0.25</f>
        <v/>
      </c>
      <c r="W1093">
        <f>W1092+0.5</f>
        <v/>
      </c>
    </row>
    <row r="1094">
      <c r="E1094">
        <f>O1094=ROUND(1083*0.1,10)</f>
        <v/>
      </c>
      <c r="F1094">
        <f>P1094=ROUND(1083*0.2,10)</f>
        <v/>
      </c>
      <c r="G1094">
        <f>Q1094=ROUND(1083*0.3,10)</f>
        <v/>
      </c>
      <c r="H1094">
        <f>R1094=ROUND(1083*0.05,10)</f>
        <v/>
      </c>
      <c r="I1094">
        <f>S1094=ROUND(1083*0.01,10)</f>
        <v/>
      </c>
      <c r="J1094">
        <f>T1094=ROUND(1083*0.7,10)</f>
        <v/>
      </c>
      <c r="K1094">
        <f>U1094=ROUND(1083*1.1,10)</f>
        <v/>
      </c>
      <c r="L1094">
        <f>V1094=ROUND(1083*0.25,10)</f>
        <v/>
      </c>
      <c r="M1094">
        <f>W1094=ROUND(1083*0.5,10)</f>
        <v/>
      </c>
      <c r="O1094">
        <f>O1093+0.1</f>
        <v/>
      </c>
      <c r="P1094">
        <f>P1093+0.2</f>
        <v/>
      </c>
      <c r="Q1094">
        <f>Q1093+0.3</f>
        <v/>
      </c>
      <c r="R1094">
        <f>R1093+0.05</f>
        <v/>
      </c>
      <c r="S1094">
        <f>S1093+0.01</f>
        <v/>
      </c>
      <c r="T1094">
        <f>T1093+0.7</f>
        <v/>
      </c>
      <c r="U1094">
        <f>U1093+1.1</f>
        <v/>
      </c>
      <c r="V1094">
        <f>V1093+0.25</f>
        <v/>
      </c>
      <c r="W1094">
        <f>W1093+0.5</f>
        <v/>
      </c>
    </row>
    <row r="1095">
      <c r="E1095">
        <f>O1095=ROUND(1084*0.1,10)</f>
        <v/>
      </c>
      <c r="F1095">
        <f>P1095=ROUND(1084*0.2,10)</f>
        <v/>
      </c>
      <c r="G1095">
        <f>Q1095=ROUND(1084*0.3,10)</f>
        <v/>
      </c>
      <c r="H1095">
        <f>R1095=ROUND(1084*0.05,10)</f>
        <v/>
      </c>
      <c r="I1095">
        <f>S1095=ROUND(1084*0.01,10)</f>
        <v/>
      </c>
      <c r="J1095">
        <f>T1095=ROUND(1084*0.7,10)</f>
        <v/>
      </c>
      <c r="K1095">
        <f>U1095=ROUND(1084*1.1,10)</f>
        <v/>
      </c>
      <c r="L1095">
        <f>V1095=ROUND(1084*0.25,10)</f>
        <v/>
      </c>
      <c r="M1095">
        <f>W1095=ROUND(1084*0.5,10)</f>
        <v/>
      </c>
      <c r="O1095">
        <f>O1094+0.1</f>
        <v/>
      </c>
      <c r="P1095">
        <f>P1094+0.2</f>
        <v/>
      </c>
      <c r="Q1095">
        <f>Q1094+0.3</f>
        <v/>
      </c>
      <c r="R1095">
        <f>R1094+0.05</f>
        <v/>
      </c>
      <c r="S1095">
        <f>S1094+0.01</f>
        <v/>
      </c>
      <c r="T1095">
        <f>T1094+0.7</f>
        <v/>
      </c>
      <c r="U1095">
        <f>U1094+1.1</f>
        <v/>
      </c>
      <c r="V1095">
        <f>V1094+0.25</f>
        <v/>
      </c>
      <c r="W1095">
        <f>W1094+0.5</f>
        <v/>
      </c>
    </row>
    <row r="1096">
      <c r="E1096">
        <f>O1096=ROUND(1085*0.1,10)</f>
        <v/>
      </c>
      <c r="F1096">
        <f>P1096=ROUND(1085*0.2,10)</f>
        <v/>
      </c>
      <c r="G1096">
        <f>Q1096=ROUND(1085*0.3,10)</f>
        <v/>
      </c>
      <c r="H1096">
        <f>R1096=ROUND(1085*0.05,10)</f>
        <v/>
      </c>
      <c r="I1096">
        <f>S1096=ROUND(1085*0.01,10)</f>
        <v/>
      </c>
      <c r="J1096">
        <f>T1096=ROUND(1085*0.7,10)</f>
        <v/>
      </c>
      <c r="K1096">
        <f>U1096=ROUND(1085*1.1,10)</f>
        <v/>
      </c>
      <c r="L1096">
        <f>V1096=ROUND(1085*0.25,10)</f>
        <v/>
      </c>
      <c r="M1096">
        <f>W1096=ROUND(1085*0.5,10)</f>
        <v/>
      </c>
      <c r="O1096">
        <f>O1095+0.1</f>
        <v/>
      </c>
      <c r="P1096">
        <f>P1095+0.2</f>
        <v/>
      </c>
      <c r="Q1096">
        <f>Q1095+0.3</f>
        <v/>
      </c>
      <c r="R1096">
        <f>R1095+0.05</f>
        <v/>
      </c>
      <c r="S1096">
        <f>S1095+0.01</f>
        <v/>
      </c>
      <c r="T1096">
        <f>T1095+0.7</f>
        <v/>
      </c>
      <c r="U1096">
        <f>U1095+1.1</f>
        <v/>
      </c>
      <c r="V1096">
        <f>V1095+0.25</f>
        <v/>
      </c>
      <c r="W1096">
        <f>W1095+0.5</f>
        <v/>
      </c>
    </row>
    <row r="1097">
      <c r="E1097">
        <f>O1097=ROUND(1086*0.1,10)</f>
        <v/>
      </c>
      <c r="F1097">
        <f>P1097=ROUND(1086*0.2,10)</f>
        <v/>
      </c>
      <c r="G1097">
        <f>Q1097=ROUND(1086*0.3,10)</f>
        <v/>
      </c>
      <c r="H1097">
        <f>R1097=ROUND(1086*0.05,10)</f>
        <v/>
      </c>
      <c r="I1097">
        <f>S1097=ROUND(1086*0.01,10)</f>
        <v/>
      </c>
      <c r="J1097">
        <f>T1097=ROUND(1086*0.7,10)</f>
        <v/>
      </c>
      <c r="K1097">
        <f>U1097=ROUND(1086*1.1,10)</f>
        <v/>
      </c>
      <c r="L1097">
        <f>V1097=ROUND(1086*0.25,10)</f>
        <v/>
      </c>
      <c r="M1097">
        <f>W1097=ROUND(1086*0.5,10)</f>
        <v/>
      </c>
      <c r="O1097">
        <f>O1096+0.1</f>
        <v/>
      </c>
      <c r="P1097">
        <f>P1096+0.2</f>
        <v/>
      </c>
      <c r="Q1097">
        <f>Q1096+0.3</f>
        <v/>
      </c>
      <c r="R1097">
        <f>R1096+0.05</f>
        <v/>
      </c>
      <c r="S1097">
        <f>S1096+0.01</f>
        <v/>
      </c>
      <c r="T1097">
        <f>T1096+0.7</f>
        <v/>
      </c>
      <c r="U1097">
        <f>U1096+1.1</f>
        <v/>
      </c>
      <c r="V1097">
        <f>V1096+0.25</f>
        <v/>
      </c>
      <c r="W1097">
        <f>W1096+0.5</f>
        <v/>
      </c>
    </row>
    <row r="1098">
      <c r="E1098">
        <f>O1098=ROUND(1087*0.1,10)</f>
        <v/>
      </c>
      <c r="F1098">
        <f>P1098=ROUND(1087*0.2,10)</f>
        <v/>
      </c>
      <c r="G1098">
        <f>Q1098=ROUND(1087*0.3,10)</f>
        <v/>
      </c>
      <c r="H1098">
        <f>R1098=ROUND(1087*0.05,10)</f>
        <v/>
      </c>
      <c r="I1098">
        <f>S1098=ROUND(1087*0.01,10)</f>
        <v/>
      </c>
      <c r="J1098">
        <f>T1098=ROUND(1087*0.7,10)</f>
        <v/>
      </c>
      <c r="K1098">
        <f>U1098=ROUND(1087*1.1,10)</f>
        <v/>
      </c>
      <c r="L1098">
        <f>V1098=ROUND(1087*0.25,10)</f>
        <v/>
      </c>
      <c r="M1098">
        <f>W1098=ROUND(1087*0.5,10)</f>
        <v/>
      </c>
      <c r="O1098">
        <f>O1097+0.1</f>
        <v/>
      </c>
      <c r="P1098">
        <f>P1097+0.2</f>
        <v/>
      </c>
      <c r="Q1098">
        <f>Q1097+0.3</f>
        <v/>
      </c>
      <c r="R1098">
        <f>R1097+0.05</f>
        <v/>
      </c>
      <c r="S1098">
        <f>S1097+0.01</f>
        <v/>
      </c>
      <c r="T1098">
        <f>T1097+0.7</f>
        <v/>
      </c>
      <c r="U1098">
        <f>U1097+1.1</f>
        <v/>
      </c>
      <c r="V1098">
        <f>V1097+0.25</f>
        <v/>
      </c>
      <c r="W1098">
        <f>W1097+0.5</f>
        <v/>
      </c>
    </row>
    <row r="1099">
      <c r="E1099">
        <f>O1099=ROUND(1088*0.1,10)</f>
        <v/>
      </c>
      <c r="F1099">
        <f>P1099=ROUND(1088*0.2,10)</f>
        <v/>
      </c>
      <c r="G1099">
        <f>Q1099=ROUND(1088*0.3,10)</f>
        <v/>
      </c>
      <c r="H1099">
        <f>R1099=ROUND(1088*0.05,10)</f>
        <v/>
      </c>
      <c r="I1099">
        <f>S1099=ROUND(1088*0.01,10)</f>
        <v/>
      </c>
      <c r="J1099">
        <f>T1099=ROUND(1088*0.7,10)</f>
        <v/>
      </c>
      <c r="K1099">
        <f>U1099=ROUND(1088*1.1,10)</f>
        <v/>
      </c>
      <c r="L1099">
        <f>V1099=ROUND(1088*0.25,10)</f>
        <v/>
      </c>
      <c r="M1099">
        <f>W1099=ROUND(1088*0.5,10)</f>
        <v/>
      </c>
      <c r="O1099">
        <f>O1098+0.1</f>
        <v/>
      </c>
      <c r="P1099">
        <f>P1098+0.2</f>
        <v/>
      </c>
      <c r="Q1099">
        <f>Q1098+0.3</f>
        <v/>
      </c>
      <c r="R1099">
        <f>R1098+0.05</f>
        <v/>
      </c>
      <c r="S1099">
        <f>S1098+0.01</f>
        <v/>
      </c>
      <c r="T1099">
        <f>T1098+0.7</f>
        <v/>
      </c>
      <c r="U1099">
        <f>U1098+1.1</f>
        <v/>
      </c>
      <c r="V1099">
        <f>V1098+0.25</f>
        <v/>
      </c>
      <c r="W1099">
        <f>W1098+0.5</f>
        <v/>
      </c>
    </row>
    <row r="1100">
      <c r="E1100">
        <f>O1100=ROUND(1089*0.1,10)</f>
        <v/>
      </c>
      <c r="F1100">
        <f>P1100=ROUND(1089*0.2,10)</f>
        <v/>
      </c>
      <c r="G1100">
        <f>Q1100=ROUND(1089*0.3,10)</f>
        <v/>
      </c>
      <c r="H1100">
        <f>R1100=ROUND(1089*0.05,10)</f>
        <v/>
      </c>
      <c r="I1100">
        <f>S1100=ROUND(1089*0.01,10)</f>
        <v/>
      </c>
      <c r="J1100">
        <f>T1100=ROUND(1089*0.7,10)</f>
        <v/>
      </c>
      <c r="K1100">
        <f>U1100=ROUND(1089*1.1,10)</f>
        <v/>
      </c>
      <c r="L1100">
        <f>V1100=ROUND(1089*0.25,10)</f>
        <v/>
      </c>
      <c r="M1100">
        <f>W1100=ROUND(1089*0.5,10)</f>
        <v/>
      </c>
      <c r="O1100">
        <f>O1099+0.1</f>
        <v/>
      </c>
      <c r="P1100">
        <f>P1099+0.2</f>
        <v/>
      </c>
      <c r="Q1100">
        <f>Q1099+0.3</f>
        <v/>
      </c>
      <c r="R1100">
        <f>R1099+0.05</f>
        <v/>
      </c>
      <c r="S1100">
        <f>S1099+0.01</f>
        <v/>
      </c>
      <c r="T1100">
        <f>T1099+0.7</f>
        <v/>
      </c>
      <c r="U1100">
        <f>U1099+1.1</f>
        <v/>
      </c>
      <c r="V1100">
        <f>V1099+0.25</f>
        <v/>
      </c>
      <c r="W1100">
        <f>W1099+0.5</f>
        <v/>
      </c>
    </row>
    <row r="1101">
      <c r="E1101">
        <f>O1101=ROUND(1090*0.1,10)</f>
        <v/>
      </c>
      <c r="F1101">
        <f>P1101=ROUND(1090*0.2,10)</f>
        <v/>
      </c>
      <c r="G1101">
        <f>Q1101=ROUND(1090*0.3,10)</f>
        <v/>
      </c>
      <c r="H1101">
        <f>R1101=ROUND(1090*0.05,10)</f>
        <v/>
      </c>
      <c r="I1101">
        <f>S1101=ROUND(1090*0.01,10)</f>
        <v/>
      </c>
      <c r="J1101">
        <f>T1101=ROUND(1090*0.7,10)</f>
        <v/>
      </c>
      <c r="K1101">
        <f>U1101=ROUND(1090*1.1,10)</f>
        <v/>
      </c>
      <c r="L1101">
        <f>V1101=ROUND(1090*0.25,10)</f>
        <v/>
      </c>
      <c r="M1101">
        <f>W1101=ROUND(1090*0.5,10)</f>
        <v/>
      </c>
      <c r="O1101">
        <f>O1100+0.1</f>
        <v/>
      </c>
      <c r="P1101">
        <f>P1100+0.2</f>
        <v/>
      </c>
      <c r="Q1101">
        <f>Q1100+0.3</f>
        <v/>
      </c>
      <c r="R1101">
        <f>R1100+0.05</f>
        <v/>
      </c>
      <c r="S1101">
        <f>S1100+0.01</f>
        <v/>
      </c>
      <c r="T1101">
        <f>T1100+0.7</f>
        <v/>
      </c>
      <c r="U1101">
        <f>U1100+1.1</f>
        <v/>
      </c>
      <c r="V1101">
        <f>V1100+0.25</f>
        <v/>
      </c>
      <c r="W1101">
        <f>W1100+0.5</f>
        <v/>
      </c>
    </row>
    <row r="1102">
      <c r="E1102">
        <f>O1102=ROUND(1091*0.1,10)</f>
        <v/>
      </c>
      <c r="F1102">
        <f>P1102=ROUND(1091*0.2,10)</f>
        <v/>
      </c>
      <c r="G1102">
        <f>Q1102=ROUND(1091*0.3,10)</f>
        <v/>
      </c>
      <c r="H1102">
        <f>R1102=ROUND(1091*0.05,10)</f>
        <v/>
      </c>
      <c r="I1102">
        <f>S1102=ROUND(1091*0.01,10)</f>
        <v/>
      </c>
      <c r="J1102">
        <f>T1102=ROUND(1091*0.7,10)</f>
        <v/>
      </c>
      <c r="K1102">
        <f>U1102=ROUND(1091*1.1,10)</f>
        <v/>
      </c>
      <c r="L1102">
        <f>V1102=ROUND(1091*0.25,10)</f>
        <v/>
      </c>
      <c r="M1102">
        <f>W1102=ROUND(1091*0.5,10)</f>
        <v/>
      </c>
      <c r="O1102">
        <f>O1101+0.1</f>
        <v/>
      </c>
      <c r="P1102">
        <f>P1101+0.2</f>
        <v/>
      </c>
      <c r="Q1102">
        <f>Q1101+0.3</f>
        <v/>
      </c>
      <c r="R1102">
        <f>R1101+0.05</f>
        <v/>
      </c>
      <c r="S1102">
        <f>S1101+0.01</f>
        <v/>
      </c>
      <c r="T1102">
        <f>T1101+0.7</f>
        <v/>
      </c>
      <c r="U1102">
        <f>U1101+1.1</f>
        <v/>
      </c>
      <c r="V1102">
        <f>V1101+0.25</f>
        <v/>
      </c>
      <c r="W1102">
        <f>W1101+0.5</f>
        <v/>
      </c>
    </row>
    <row r="1103">
      <c r="E1103">
        <f>O1103=ROUND(1092*0.1,10)</f>
        <v/>
      </c>
      <c r="F1103">
        <f>P1103=ROUND(1092*0.2,10)</f>
        <v/>
      </c>
      <c r="G1103">
        <f>Q1103=ROUND(1092*0.3,10)</f>
        <v/>
      </c>
      <c r="H1103">
        <f>R1103=ROUND(1092*0.05,10)</f>
        <v/>
      </c>
      <c r="I1103">
        <f>S1103=ROUND(1092*0.01,10)</f>
        <v/>
      </c>
      <c r="J1103">
        <f>T1103=ROUND(1092*0.7,10)</f>
        <v/>
      </c>
      <c r="K1103">
        <f>U1103=ROUND(1092*1.1,10)</f>
        <v/>
      </c>
      <c r="L1103">
        <f>V1103=ROUND(1092*0.25,10)</f>
        <v/>
      </c>
      <c r="M1103">
        <f>W1103=ROUND(1092*0.5,10)</f>
        <v/>
      </c>
      <c r="O1103">
        <f>O1102+0.1</f>
        <v/>
      </c>
      <c r="P1103">
        <f>P1102+0.2</f>
        <v/>
      </c>
      <c r="Q1103">
        <f>Q1102+0.3</f>
        <v/>
      </c>
      <c r="R1103">
        <f>R1102+0.05</f>
        <v/>
      </c>
      <c r="S1103">
        <f>S1102+0.01</f>
        <v/>
      </c>
      <c r="T1103">
        <f>T1102+0.7</f>
        <v/>
      </c>
      <c r="U1103">
        <f>U1102+1.1</f>
        <v/>
      </c>
      <c r="V1103">
        <f>V1102+0.25</f>
        <v/>
      </c>
      <c r="W1103">
        <f>W1102+0.5</f>
        <v/>
      </c>
    </row>
    <row r="1104">
      <c r="E1104">
        <f>O1104=ROUND(1093*0.1,10)</f>
        <v/>
      </c>
      <c r="F1104">
        <f>P1104=ROUND(1093*0.2,10)</f>
        <v/>
      </c>
      <c r="G1104">
        <f>Q1104=ROUND(1093*0.3,10)</f>
        <v/>
      </c>
      <c r="H1104">
        <f>R1104=ROUND(1093*0.05,10)</f>
        <v/>
      </c>
      <c r="I1104">
        <f>S1104=ROUND(1093*0.01,10)</f>
        <v/>
      </c>
      <c r="J1104">
        <f>T1104=ROUND(1093*0.7,10)</f>
        <v/>
      </c>
      <c r="K1104">
        <f>U1104=ROUND(1093*1.1,10)</f>
        <v/>
      </c>
      <c r="L1104">
        <f>V1104=ROUND(1093*0.25,10)</f>
        <v/>
      </c>
      <c r="M1104">
        <f>W1104=ROUND(1093*0.5,10)</f>
        <v/>
      </c>
      <c r="O1104">
        <f>O1103+0.1</f>
        <v/>
      </c>
      <c r="P1104">
        <f>P1103+0.2</f>
        <v/>
      </c>
      <c r="Q1104">
        <f>Q1103+0.3</f>
        <v/>
      </c>
      <c r="R1104">
        <f>R1103+0.05</f>
        <v/>
      </c>
      <c r="S1104">
        <f>S1103+0.01</f>
        <v/>
      </c>
      <c r="T1104">
        <f>T1103+0.7</f>
        <v/>
      </c>
      <c r="U1104">
        <f>U1103+1.1</f>
        <v/>
      </c>
      <c r="V1104">
        <f>V1103+0.25</f>
        <v/>
      </c>
      <c r="W1104">
        <f>W1103+0.5</f>
        <v/>
      </c>
    </row>
    <row r="1105">
      <c r="E1105">
        <f>O1105=ROUND(1094*0.1,10)</f>
        <v/>
      </c>
      <c r="F1105">
        <f>P1105=ROUND(1094*0.2,10)</f>
        <v/>
      </c>
      <c r="G1105">
        <f>Q1105=ROUND(1094*0.3,10)</f>
        <v/>
      </c>
      <c r="H1105">
        <f>R1105=ROUND(1094*0.05,10)</f>
        <v/>
      </c>
      <c r="I1105">
        <f>S1105=ROUND(1094*0.01,10)</f>
        <v/>
      </c>
      <c r="J1105">
        <f>T1105=ROUND(1094*0.7,10)</f>
        <v/>
      </c>
      <c r="K1105">
        <f>U1105=ROUND(1094*1.1,10)</f>
        <v/>
      </c>
      <c r="L1105">
        <f>V1105=ROUND(1094*0.25,10)</f>
        <v/>
      </c>
      <c r="M1105">
        <f>W1105=ROUND(1094*0.5,10)</f>
        <v/>
      </c>
      <c r="O1105">
        <f>O1104+0.1</f>
        <v/>
      </c>
      <c r="P1105">
        <f>P1104+0.2</f>
        <v/>
      </c>
      <c r="Q1105">
        <f>Q1104+0.3</f>
        <v/>
      </c>
      <c r="R1105">
        <f>R1104+0.05</f>
        <v/>
      </c>
      <c r="S1105">
        <f>S1104+0.01</f>
        <v/>
      </c>
      <c r="T1105">
        <f>T1104+0.7</f>
        <v/>
      </c>
      <c r="U1105">
        <f>U1104+1.1</f>
        <v/>
      </c>
      <c r="V1105">
        <f>V1104+0.25</f>
        <v/>
      </c>
      <c r="W1105">
        <f>W1104+0.5</f>
        <v/>
      </c>
    </row>
    <row r="1106">
      <c r="E1106">
        <f>O1106=ROUND(1095*0.1,10)</f>
        <v/>
      </c>
      <c r="F1106">
        <f>P1106=ROUND(1095*0.2,10)</f>
        <v/>
      </c>
      <c r="G1106">
        <f>Q1106=ROUND(1095*0.3,10)</f>
        <v/>
      </c>
      <c r="H1106">
        <f>R1106=ROUND(1095*0.05,10)</f>
        <v/>
      </c>
      <c r="I1106">
        <f>S1106=ROUND(1095*0.01,10)</f>
        <v/>
      </c>
      <c r="J1106">
        <f>T1106=ROUND(1095*0.7,10)</f>
        <v/>
      </c>
      <c r="K1106">
        <f>U1106=ROUND(1095*1.1,10)</f>
        <v/>
      </c>
      <c r="L1106">
        <f>V1106=ROUND(1095*0.25,10)</f>
        <v/>
      </c>
      <c r="M1106">
        <f>W1106=ROUND(1095*0.5,10)</f>
        <v/>
      </c>
      <c r="O1106">
        <f>O1105+0.1</f>
        <v/>
      </c>
      <c r="P1106">
        <f>P1105+0.2</f>
        <v/>
      </c>
      <c r="Q1106">
        <f>Q1105+0.3</f>
        <v/>
      </c>
      <c r="R1106">
        <f>R1105+0.05</f>
        <v/>
      </c>
      <c r="S1106">
        <f>S1105+0.01</f>
        <v/>
      </c>
      <c r="T1106">
        <f>T1105+0.7</f>
        <v/>
      </c>
      <c r="U1106">
        <f>U1105+1.1</f>
        <v/>
      </c>
      <c r="V1106">
        <f>V1105+0.25</f>
        <v/>
      </c>
      <c r="W1106">
        <f>W1105+0.5</f>
        <v/>
      </c>
    </row>
    <row r="1107">
      <c r="E1107">
        <f>O1107=ROUND(1096*0.1,10)</f>
        <v/>
      </c>
      <c r="F1107">
        <f>P1107=ROUND(1096*0.2,10)</f>
        <v/>
      </c>
      <c r="G1107">
        <f>Q1107=ROUND(1096*0.3,10)</f>
        <v/>
      </c>
      <c r="H1107">
        <f>R1107=ROUND(1096*0.05,10)</f>
        <v/>
      </c>
      <c r="I1107">
        <f>S1107=ROUND(1096*0.01,10)</f>
        <v/>
      </c>
      <c r="J1107">
        <f>T1107=ROUND(1096*0.7,10)</f>
        <v/>
      </c>
      <c r="K1107">
        <f>U1107=ROUND(1096*1.1,10)</f>
        <v/>
      </c>
      <c r="L1107">
        <f>V1107=ROUND(1096*0.25,10)</f>
        <v/>
      </c>
      <c r="M1107">
        <f>W1107=ROUND(1096*0.5,10)</f>
        <v/>
      </c>
      <c r="O1107">
        <f>O1106+0.1</f>
        <v/>
      </c>
      <c r="P1107">
        <f>P1106+0.2</f>
        <v/>
      </c>
      <c r="Q1107">
        <f>Q1106+0.3</f>
        <v/>
      </c>
      <c r="R1107">
        <f>R1106+0.05</f>
        <v/>
      </c>
      <c r="S1107">
        <f>S1106+0.01</f>
        <v/>
      </c>
      <c r="T1107">
        <f>T1106+0.7</f>
        <v/>
      </c>
      <c r="U1107">
        <f>U1106+1.1</f>
        <v/>
      </c>
      <c r="V1107">
        <f>V1106+0.25</f>
        <v/>
      </c>
      <c r="W1107">
        <f>W1106+0.5</f>
        <v/>
      </c>
    </row>
    <row r="1108">
      <c r="E1108">
        <f>O1108=ROUND(1097*0.1,10)</f>
        <v/>
      </c>
      <c r="F1108">
        <f>P1108=ROUND(1097*0.2,10)</f>
        <v/>
      </c>
      <c r="G1108">
        <f>Q1108=ROUND(1097*0.3,10)</f>
        <v/>
      </c>
      <c r="H1108">
        <f>R1108=ROUND(1097*0.05,10)</f>
        <v/>
      </c>
      <c r="I1108">
        <f>S1108=ROUND(1097*0.01,10)</f>
        <v/>
      </c>
      <c r="J1108">
        <f>T1108=ROUND(1097*0.7,10)</f>
        <v/>
      </c>
      <c r="K1108">
        <f>U1108=ROUND(1097*1.1,10)</f>
        <v/>
      </c>
      <c r="L1108">
        <f>V1108=ROUND(1097*0.25,10)</f>
        <v/>
      </c>
      <c r="M1108">
        <f>W1108=ROUND(1097*0.5,10)</f>
        <v/>
      </c>
      <c r="O1108">
        <f>O1107+0.1</f>
        <v/>
      </c>
      <c r="P1108">
        <f>P1107+0.2</f>
        <v/>
      </c>
      <c r="Q1108">
        <f>Q1107+0.3</f>
        <v/>
      </c>
      <c r="R1108">
        <f>R1107+0.05</f>
        <v/>
      </c>
      <c r="S1108">
        <f>S1107+0.01</f>
        <v/>
      </c>
      <c r="T1108">
        <f>T1107+0.7</f>
        <v/>
      </c>
      <c r="U1108">
        <f>U1107+1.1</f>
        <v/>
      </c>
      <c r="V1108">
        <f>V1107+0.25</f>
        <v/>
      </c>
      <c r="W1108">
        <f>W1107+0.5</f>
        <v/>
      </c>
    </row>
    <row r="1109">
      <c r="E1109">
        <f>O1109=ROUND(1098*0.1,10)</f>
        <v/>
      </c>
      <c r="F1109">
        <f>P1109=ROUND(1098*0.2,10)</f>
        <v/>
      </c>
      <c r="G1109">
        <f>Q1109=ROUND(1098*0.3,10)</f>
        <v/>
      </c>
      <c r="H1109">
        <f>R1109=ROUND(1098*0.05,10)</f>
        <v/>
      </c>
      <c r="I1109">
        <f>S1109=ROUND(1098*0.01,10)</f>
        <v/>
      </c>
      <c r="J1109">
        <f>T1109=ROUND(1098*0.7,10)</f>
        <v/>
      </c>
      <c r="K1109">
        <f>U1109=ROUND(1098*1.1,10)</f>
        <v/>
      </c>
      <c r="L1109">
        <f>V1109=ROUND(1098*0.25,10)</f>
        <v/>
      </c>
      <c r="M1109">
        <f>W1109=ROUND(1098*0.5,10)</f>
        <v/>
      </c>
      <c r="O1109">
        <f>O1108+0.1</f>
        <v/>
      </c>
      <c r="P1109">
        <f>P1108+0.2</f>
        <v/>
      </c>
      <c r="Q1109">
        <f>Q1108+0.3</f>
        <v/>
      </c>
      <c r="R1109">
        <f>R1108+0.05</f>
        <v/>
      </c>
      <c r="S1109">
        <f>S1108+0.01</f>
        <v/>
      </c>
      <c r="T1109">
        <f>T1108+0.7</f>
        <v/>
      </c>
      <c r="U1109">
        <f>U1108+1.1</f>
        <v/>
      </c>
      <c r="V1109">
        <f>V1108+0.25</f>
        <v/>
      </c>
      <c r="W1109">
        <f>W1108+0.5</f>
        <v/>
      </c>
    </row>
    <row r="1110">
      <c r="E1110">
        <f>O1110=ROUND(1099*0.1,10)</f>
        <v/>
      </c>
      <c r="F1110">
        <f>P1110=ROUND(1099*0.2,10)</f>
        <v/>
      </c>
      <c r="G1110">
        <f>Q1110=ROUND(1099*0.3,10)</f>
        <v/>
      </c>
      <c r="H1110">
        <f>R1110=ROUND(1099*0.05,10)</f>
        <v/>
      </c>
      <c r="I1110">
        <f>S1110=ROUND(1099*0.01,10)</f>
        <v/>
      </c>
      <c r="J1110">
        <f>T1110=ROUND(1099*0.7,10)</f>
        <v/>
      </c>
      <c r="K1110">
        <f>U1110=ROUND(1099*1.1,10)</f>
        <v/>
      </c>
      <c r="L1110">
        <f>V1110=ROUND(1099*0.25,10)</f>
        <v/>
      </c>
      <c r="M1110">
        <f>W1110=ROUND(1099*0.5,10)</f>
        <v/>
      </c>
      <c r="O1110">
        <f>O1109+0.1</f>
        <v/>
      </c>
      <c r="P1110">
        <f>P1109+0.2</f>
        <v/>
      </c>
      <c r="Q1110">
        <f>Q1109+0.3</f>
        <v/>
      </c>
      <c r="R1110">
        <f>R1109+0.05</f>
        <v/>
      </c>
      <c r="S1110">
        <f>S1109+0.01</f>
        <v/>
      </c>
      <c r="T1110">
        <f>T1109+0.7</f>
        <v/>
      </c>
      <c r="U1110">
        <f>U1109+1.1</f>
        <v/>
      </c>
      <c r="V1110">
        <f>V1109+0.25</f>
        <v/>
      </c>
      <c r="W1110">
        <f>W1109+0.5</f>
        <v/>
      </c>
    </row>
    <row r="1111">
      <c r="E1111">
        <f>O1111=ROUND(1100*0.1,10)</f>
        <v/>
      </c>
      <c r="F1111">
        <f>P1111=ROUND(1100*0.2,10)</f>
        <v/>
      </c>
      <c r="G1111">
        <f>Q1111=ROUND(1100*0.3,10)</f>
        <v/>
      </c>
      <c r="H1111">
        <f>R1111=ROUND(1100*0.05,10)</f>
        <v/>
      </c>
      <c r="I1111">
        <f>S1111=ROUND(1100*0.01,10)</f>
        <v/>
      </c>
      <c r="J1111">
        <f>T1111=ROUND(1100*0.7,10)</f>
        <v/>
      </c>
      <c r="K1111">
        <f>U1111=ROUND(1100*1.1,10)</f>
        <v/>
      </c>
      <c r="L1111">
        <f>V1111=ROUND(1100*0.25,10)</f>
        <v/>
      </c>
      <c r="M1111">
        <f>W1111=ROUND(1100*0.5,10)</f>
        <v/>
      </c>
      <c r="O1111">
        <f>O1110+0.1</f>
        <v/>
      </c>
      <c r="P1111">
        <f>P1110+0.2</f>
        <v/>
      </c>
      <c r="Q1111">
        <f>Q1110+0.3</f>
        <v/>
      </c>
      <c r="R1111">
        <f>R1110+0.05</f>
        <v/>
      </c>
      <c r="S1111">
        <f>S1110+0.01</f>
        <v/>
      </c>
      <c r="T1111">
        <f>T1110+0.7</f>
        <v/>
      </c>
      <c r="U1111">
        <f>U1110+1.1</f>
        <v/>
      </c>
      <c r="V1111">
        <f>V1110+0.25</f>
        <v/>
      </c>
      <c r="W1111">
        <f>W1110+0.5</f>
        <v/>
      </c>
    </row>
    <row r="1112">
      <c r="E1112">
        <f>O1112=ROUND(1101*0.1,10)</f>
        <v/>
      </c>
      <c r="F1112">
        <f>P1112=ROUND(1101*0.2,10)</f>
        <v/>
      </c>
      <c r="G1112">
        <f>Q1112=ROUND(1101*0.3,10)</f>
        <v/>
      </c>
      <c r="H1112">
        <f>R1112=ROUND(1101*0.05,10)</f>
        <v/>
      </c>
      <c r="I1112">
        <f>S1112=ROUND(1101*0.01,10)</f>
        <v/>
      </c>
      <c r="J1112">
        <f>T1112=ROUND(1101*0.7,10)</f>
        <v/>
      </c>
      <c r="K1112">
        <f>U1112=ROUND(1101*1.1,10)</f>
        <v/>
      </c>
      <c r="L1112">
        <f>V1112=ROUND(1101*0.25,10)</f>
        <v/>
      </c>
      <c r="M1112">
        <f>W1112=ROUND(1101*0.5,10)</f>
        <v/>
      </c>
      <c r="O1112">
        <f>O1111+0.1</f>
        <v/>
      </c>
      <c r="P1112">
        <f>P1111+0.2</f>
        <v/>
      </c>
      <c r="Q1112">
        <f>Q1111+0.3</f>
        <v/>
      </c>
      <c r="R1112">
        <f>R1111+0.05</f>
        <v/>
      </c>
      <c r="S1112">
        <f>S1111+0.01</f>
        <v/>
      </c>
      <c r="T1112">
        <f>T1111+0.7</f>
        <v/>
      </c>
      <c r="U1112">
        <f>U1111+1.1</f>
        <v/>
      </c>
      <c r="V1112">
        <f>V1111+0.25</f>
        <v/>
      </c>
      <c r="W1112">
        <f>W1111+0.5</f>
        <v/>
      </c>
    </row>
    <row r="1113">
      <c r="E1113">
        <f>O1113=ROUND(1102*0.1,10)</f>
        <v/>
      </c>
      <c r="F1113">
        <f>P1113=ROUND(1102*0.2,10)</f>
        <v/>
      </c>
      <c r="G1113">
        <f>Q1113=ROUND(1102*0.3,10)</f>
        <v/>
      </c>
      <c r="H1113">
        <f>R1113=ROUND(1102*0.05,10)</f>
        <v/>
      </c>
      <c r="I1113">
        <f>S1113=ROUND(1102*0.01,10)</f>
        <v/>
      </c>
      <c r="J1113">
        <f>T1113=ROUND(1102*0.7,10)</f>
        <v/>
      </c>
      <c r="K1113">
        <f>U1113=ROUND(1102*1.1,10)</f>
        <v/>
      </c>
      <c r="L1113">
        <f>V1113=ROUND(1102*0.25,10)</f>
        <v/>
      </c>
      <c r="M1113">
        <f>W1113=ROUND(1102*0.5,10)</f>
        <v/>
      </c>
      <c r="O1113">
        <f>O1112+0.1</f>
        <v/>
      </c>
      <c r="P1113">
        <f>P1112+0.2</f>
        <v/>
      </c>
      <c r="Q1113">
        <f>Q1112+0.3</f>
        <v/>
      </c>
      <c r="R1113">
        <f>R1112+0.05</f>
        <v/>
      </c>
      <c r="S1113">
        <f>S1112+0.01</f>
        <v/>
      </c>
      <c r="T1113">
        <f>T1112+0.7</f>
        <v/>
      </c>
      <c r="U1113">
        <f>U1112+1.1</f>
        <v/>
      </c>
      <c r="V1113">
        <f>V1112+0.25</f>
        <v/>
      </c>
      <c r="W1113">
        <f>W1112+0.5</f>
        <v/>
      </c>
    </row>
    <row r="1114">
      <c r="E1114">
        <f>O1114=ROUND(1103*0.1,10)</f>
        <v/>
      </c>
      <c r="F1114">
        <f>P1114=ROUND(1103*0.2,10)</f>
        <v/>
      </c>
      <c r="G1114">
        <f>Q1114=ROUND(1103*0.3,10)</f>
        <v/>
      </c>
      <c r="H1114">
        <f>R1114=ROUND(1103*0.05,10)</f>
        <v/>
      </c>
      <c r="I1114">
        <f>S1114=ROUND(1103*0.01,10)</f>
        <v/>
      </c>
      <c r="J1114">
        <f>T1114=ROUND(1103*0.7,10)</f>
        <v/>
      </c>
      <c r="K1114">
        <f>U1114=ROUND(1103*1.1,10)</f>
        <v/>
      </c>
      <c r="L1114">
        <f>V1114=ROUND(1103*0.25,10)</f>
        <v/>
      </c>
      <c r="M1114">
        <f>W1114=ROUND(1103*0.5,10)</f>
        <v/>
      </c>
      <c r="O1114">
        <f>O1113+0.1</f>
        <v/>
      </c>
      <c r="P1114">
        <f>P1113+0.2</f>
        <v/>
      </c>
      <c r="Q1114">
        <f>Q1113+0.3</f>
        <v/>
      </c>
      <c r="R1114">
        <f>R1113+0.05</f>
        <v/>
      </c>
      <c r="S1114">
        <f>S1113+0.01</f>
        <v/>
      </c>
      <c r="T1114">
        <f>T1113+0.7</f>
        <v/>
      </c>
      <c r="U1114">
        <f>U1113+1.1</f>
        <v/>
      </c>
      <c r="V1114">
        <f>V1113+0.25</f>
        <v/>
      </c>
      <c r="W1114">
        <f>W1113+0.5</f>
        <v/>
      </c>
    </row>
    <row r="1115">
      <c r="E1115">
        <f>O1115=ROUND(1104*0.1,10)</f>
        <v/>
      </c>
      <c r="F1115">
        <f>P1115=ROUND(1104*0.2,10)</f>
        <v/>
      </c>
      <c r="G1115">
        <f>Q1115=ROUND(1104*0.3,10)</f>
        <v/>
      </c>
      <c r="H1115">
        <f>R1115=ROUND(1104*0.05,10)</f>
        <v/>
      </c>
      <c r="I1115">
        <f>S1115=ROUND(1104*0.01,10)</f>
        <v/>
      </c>
      <c r="J1115">
        <f>T1115=ROUND(1104*0.7,10)</f>
        <v/>
      </c>
      <c r="K1115">
        <f>U1115=ROUND(1104*1.1,10)</f>
        <v/>
      </c>
      <c r="L1115">
        <f>V1115=ROUND(1104*0.25,10)</f>
        <v/>
      </c>
      <c r="M1115">
        <f>W1115=ROUND(1104*0.5,10)</f>
        <v/>
      </c>
      <c r="O1115">
        <f>O1114+0.1</f>
        <v/>
      </c>
      <c r="P1115">
        <f>P1114+0.2</f>
        <v/>
      </c>
      <c r="Q1115">
        <f>Q1114+0.3</f>
        <v/>
      </c>
      <c r="R1115">
        <f>R1114+0.05</f>
        <v/>
      </c>
      <c r="S1115">
        <f>S1114+0.01</f>
        <v/>
      </c>
      <c r="T1115">
        <f>T1114+0.7</f>
        <v/>
      </c>
      <c r="U1115">
        <f>U1114+1.1</f>
        <v/>
      </c>
      <c r="V1115">
        <f>V1114+0.25</f>
        <v/>
      </c>
      <c r="W1115">
        <f>W1114+0.5</f>
        <v/>
      </c>
    </row>
    <row r="1116">
      <c r="E1116">
        <f>O1116=ROUND(1105*0.1,10)</f>
        <v/>
      </c>
      <c r="F1116">
        <f>P1116=ROUND(1105*0.2,10)</f>
        <v/>
      </c>
      <c r="G1116">
        <f>Q1116=ROUND(1105*0.3,10)</f>
        <v/>
      </c>
      <c r="H1116">
        <f>R1116=ROUND(1105*0.05,10)</f>
        <v/>
      </c>
      <c r="I1116">
        <f>S1116=ROUND(1105*0.01,10)</f>
        <v/>
      </c>
      <c r="J1116">
        <f>T1116=ROUND(1105*0.7,10)</f>
        <v/>
      </c>
      <c r="K1116">
        <f>U1116=ROUND(1105*1.1,10)</f>
        <v/>
      </c>
      <c r="L1116">
        <f>V1116=ROUND(1105*0.25,10)</f>
        <v/>
      </c>
      <c r="M1116">
        <f>W1116=ROUND(1105*0.5,10)</f>
        <v/>
      </c>
      <c r="O1116">
        <f>O1115+0.1</f>
        <v/>
      </c>
      <c r="P1116">
        <f>P1115+0.2</f>
        <v/>
      </c>
      <c r="Q1116">
        <f>Q1115+0.3</f>
        <v/>
      </c>
      <c r="R1116">
        <f>R1115+0.05</f>
        <v/>
      </c>
      <c r="S1116">
        <f>S1115+0.01</f>
        <v/>
      </c>
      <c r="T1116">
        <f>T1115+0.7</f>
        <v/>
      </c>
      <c r="U1116">
        <f>U1115+1.1</f>
        <v/>
      </c>
      <c r="V1116">
        <f>V1115+0.25</f>
        <v/>
      </c>
      <c r="W1116">
        <f>W1115+0.5</f>
        <v/>
      </c>
    </row>
    <row r="1117">
      <c r="E1117">
        <f>O1117=ROUND(1106*0.1,10)</f>
        <v/>
      </c>
      <c r="F1117">
        <f>P1117=ROUND(1106*0.2,10)</f>
        <v/>
      </c>
      <c r="G1117">
        <f>Q1117=ROUND(1106*0.3,10)</f>
        <v/>
      </c>
      <c r="H1117">
        <f>R1117=ROUND(1106*0.05,10)</f>
        <v/>
      </c>
      <c r="I1117">
        <f>S1117=ROUND(1106*0.01,10)</f>
        <v/>
      </c>
      <c r="J1117">
        <f>T1117=ROUND(1106*0.7,10)</f>
        <v/>
      </c>
      <c r="K1117">
        <f>U1117=ROUND(1106*1.1,10)</f>
        <v/>
      </c>
      <c r="L1117">
        <f>V1117=ROUND(1106*0.25,10)</f>
        <v/>
      </c>
      <c r="M1117">
        <f>W1117=ROUND(1106*0.5,10)</f>
        <v/>
      </c>
      <c r="O1117">
        <f>O1116+0.1</f>
        <v/>
      </c>
      <c r="P1117">
        <f>P1116+0.2</f>
        <v/>
      </c>
      <c r="Q1117">
        <f>Q1116+0.3</f>
        <v/>
      </c>
      <c r="R1117">
        <f>R1116+0.05</f>
        <v/>
      </c>
      <c r="S1117">
        <f>S1116+0.01</f>
        <v/>
      </c>
      <c r="T1117">
        <f>T1116+0.7</f>
        <v/>
      </c>
      <c r="U1117">
        <f>U1116+1.1</f>
        <v/>
      </c>
      <c r="V1117">
        <f>V1116+0.25</f>
        <v/>
      </c>
      <c r="W1117">
        <f>W1116+0.5</f>
        <v/>
      </c>
    </row>
    <row r="1118">
      <c r="E1118">
        <f>O1118=ROUND(1107*0.1,10)</f>
        <v/>
      </c>
      <c r="F1118">
        <f>P1118=ROUND(1107*0.2,10)</f>
        <v/>
      </c>
      <c r="G1118">
        <f>Q1118=ROUND(1107*0.3,10)</f>
        <v/>
      </c>
      <c r="H1118">
        <f>R1118=ROUND(1107*0.05,10)</f>
        <v/>
      </c>
      <c r="I1118">
        <f>S1118=ROUND(1107*0.01,10)</f>
        <v/>
      </c>
      <c r="J1118">
        <f>T1118=ROUND(1107*0.7,10)</f>
        <v/>
      </c>
      <c r="K1118">
        <f>U1118=ROUND(1107*1.1,10)</f>
        <v/>
      </c>
      <c r="L1118">
        <f>V1118=ROUND(1107*0.25,10)</f>
        <v/>
      </c>
      <c r="M1118">
        <f>W1118=ROUND(1107*0.5,10)</f>
        <v/>
      </c>
      <c r="O1118">
        <f>O1117+0.1</f>
        <v/>
      </c>
      <c r="P1118">
        <f>P1117+0.2</f>
        <v/>
      </c>
      <c r="Q1118">
        <f>Q1117+0.3</f>
        <v/>
      </c>
      <c r="R1118">
        <f>R1117+0.05</f>
        <v/>
      </c>
      <c r="S1118">
        <f>S1117+0.01</f>
        <v/>
      </c>
      <c r="T1118">
        <f>T1117+0.7</f>
        <v/>
      </c>
      <c r="U1118">
        <f>U1117+1.1</f>
        <v/>
      </c>
      <c r="V1118">
        <f>V1117+0.25</f>
        <v/>
      </c>
      <c r="W1118">
        <f>W1117+0.5</f>
        <v/>
      </c>
    </row>
    <row r="1119">
      <c r="E1119">
        <f>O1119=ROUND(1108*0.1,10)</f>
        <v/>
      </c>
      <c r="F1119">
        <f>P1119=ROUND(1108*0.2,10)</f>
        <v/>
      </c>
      <c r="G1119">
        <f>Q1119=ROUND(1108*0.3,10)</f>
        <v/>
      </c>
      <c r="H1119">
        <f>R1119=ROUND(1108*0.05,10)</f>
        <v/>
      </c>
      <c r="I1119">
        <f>S1119=ROUND(1108*0.01,10)</f>
        <v/>
      </c>
      <c r="J1119">
        <f>T1119=ROUND(1108*0.7,10)</f>
        <v/>
      </c>
      <c r="K1119">
        <f>U1119=ROUND(1108*1.1,10)</f>
        <v/>
      </c>
      <c r="L1119">
        <f>V1119=ROUND(1108*0.25,10)</f>
        <v/>
      </c>
      <c r="M1119">
        <f>W1119=ROUND(1108*0.5,10)</f>
        <v/>
      </c>
      <c r="O1119">
        <f>O1118+0.1</f>
        <v/>
      </c>
      <c r="P1119">
        <f>P1118+0.2</f>
        <v/>
      </c>
      <c r="Q1119">
        <f>Q1118+0.3</f>
        <v/>
      </c>
      <c r="R1119">
        <f>R1118+0.05</f>
        <v/>
      </c>
      <c r="S1119">
        <f>S1118+0.01</f>
        <v/>
      </c>
      <c r="T1119">
        <f>T1118+0.7</f>
        <v/>
      </c>
      <c r="U1119">
        <f>U1118+1.1</f>
        <v/>
      </c>
      <c r="V1119">
        <f>V1118+0.25</f>
        <v/>
      </c>
      <c r="W1119">
        <f>W1118+0.5</f>
        <v/>
      </c>
    </row>
    <row r="1120">
      <c r="E1120">
        <f>O1120=ROUND(1109*0.1,10)</f>
        <v/>
      </c>
      <c r="F1120">
        <f>P1120=ROUND(1109*0.2,10)</f>
        <v/>
      </c>
      <c r="G1120">
        <f>Q1120=ROUND(1109*0.3,10)</f>
        <v/>
      </c>
      <c r="H1120">
        <f>R1120=ROUND(1109*0.05,10)</f>
        <v/>
      </c>
      <c r="I1120">
        <f>S1120=ROUND(1109*0.01,10)</f>
        <v/>
      </c>
      <c r="J1120">
        <f>T1120=ROUND(1109*0.7,10)</f>
        <v/>
      </c>
      <c r="K1120">
        <f>U1120=ROUND(1109*1.1,10)</f>
        <v/>
      </c>
      <c r="L1120">
        <f>V1120=ROUND(1109*0.25,10)</f>
        <v/>
      </c>
      <c r="M1120">
        <f>W1120=ROUND(1109*0.5,10)</f>
        <v/>
      </c>
      <c r="O1120">
        <f>O1119+0.1</f>
        <v/>
      </c>
      <c r="P1120">
        <f>P1119+0.2</f>
        <v/>
      </c>
      <c r="Q1120">
        <f>Q1119+0.3</f>
        <v/>
      </c>
      <c r="R1120">
        <f>R1119+0.05</f>
        <v/>
      </c>
      <c r="S1120">
        <f>S1119+0.01</f>
        <v/>
      </c>
      <c r="T1120">
        <f>T1119+0.7</f>
        <v/>
      </c>
      <c r="U1120">
        <f>U1119+1.1</f>
        <v/>
      </c>
      <c r="V1120">
        <f>V1119+0.25</f>
        <v/>
      </c>
      <c r="W1120">
        <f>W1119+0.5</f>
        <v/>
      </c>
    </row>
    <row r="1121">
      <c r="E1121">
        <f>O1121=ROUND(1110*0.1,10)</f>
        <v/>
      </c>
      <c r="F1121">
        <f>P1121=ROUND(1110*0.2,10)</f>
        <v/>
      </c>
      <c r="G1121">
        <f>Q1121=ROUND(1110*0.3,10)</f>
        <v/>
      </c>
      <c r="H1121">
        <f>R1121=ROUND(1110*0.05,10)</f>
        <v/>
      </c>
      <c r="I1121">
        <f>S1121=ROUND(1110*0.01,10)</f>
        <v/>
      </c>
      <c r="J1121">
        <f>T1121=ROUND(1110*0.7,10)</f>
        <v/>
      </c>
      <c r="K1121">
        <f>U1121=ROUND(1110*1.1,10)</f>
        <v/>
      </c>
      <c r="L1121">
        <f>V1121=ROUND(1110*0.25,10)</f>
        <v/>
      </c>
      <c r="M1121">
        <f>W1121=ROUND(1110*0.5,10)</f>
        <v/>
      </c>
      <c r="O1121">
        <f>O1120+0.1</f>
        <v/>
      </c>
      <c r="P1121">
        <f>P1120+0.2</f>
        <v/>
      </c>
      <c r="Q1121">
        <f>Q1120+0.3</f>
        <v/>
      </c>
      <c r="R1121">
        <f>R1120+0.05</f>
        <v/>
      </c>
      <c r="S1121">
        <f>S1120+0.01</f>
        <v/>
      </c>
      <c r="T1121">
        <f>T1120+0.7</f>
        <v/>
      </c>
      <c r="U1121">
        <f>U1120+1.1</f>
        <v/>
      </c>
      <c r="V1121">
        <f>V1120+0.25</f>
        <v/>
      </c>
      <c r="W1121">
        <f>W1120+0.5</f>
        <v/>
      </c>
    </row>
    <row r="1122">
      <c r="E1122">
        <f>O1122=ROUND(1111*0.1,10)</f>
        <v/>
      </c>
      <c r="F1122">
        <f>P1122=ROUND(1111*0.2,10)</f>
        <v/>
      </c>
      <c r="G1122">
        <f>Q1122=ROUND(1111*0.3,10)</f>
        <v/>
      </c>
      <c r="H1122">
        <f>R1122=ROUND(1111*0.05,10)</f>
        <v/>
      </c>
      <c r="I1122">
        <f>S1122=ROUND(1111*0.01,10)</f>
        <v/>
      </c>
      <c r="J1122">
        <f>T1122=ROUND(1111*0.7,10)</f>
        <v/>
      </c>
      <c r="K1122">
        <f>U1122=ROUND(1111*1.1,10)</f>
        <v/>
      </c>
      <c r="L1122">
        <f>V1122=ROUND(1111*0.25,10)</f>
        <v/>
      </c>
      <c r="M1122">
        <f>W1122=ROUND(1111*0.5,10)</f>
        <v/>
      </c>
      <c r="O1122">
        <f>O1121+0.1</f>
        <v/>
      </c>
      <c r="P1122">
        <f>P1121+0.2</f>
        <v/>
      </c>
      <c r="Q1122">
        <f>Q1121+0.3</f>
        <v/>
      </c>
      <c r="R1122">
        <f>R1121+0.05</f>
        <v/>
      </c>
      <c r="S1122">
        <f>S1121+0.01</f>
        <v/>
      </c>
      <c r="T1122">
        <f>T1121+0.7</f>
        <v/>
      </c>
      <c r="U1122">
        <f>U1121+1.1</f>
        <v/>
      </c>
      <c r="V1122">
        <f>V1121+0.25</f>
        <v/>
      </c>
      <c r="W1122">
        <f>W1121+0.5</f>
        <v/>
      </c>
    </row>
    <row r="1123">
      <c r="E1123">
        <f>O1123=ROUND(1112*0.1,10)</f>
        <v/>
      </c>
      <c r="F1123">
        <f>P1123=ROUND(1112*0.2,10)</f>
        <v/>
      </c>
      <c r="G1123">
        <f>Q1123=ROUND(1112*0.3,10)</f>
        <v/>
      </c>
      <c r="H1123">
        <f>R1123=ROUND(1112*0.05,10)</f>
        <v/>
      </c>
      <c r="I1123">
        <f>S1123=ROUND(1112*0.01,10)</f>
        <v/>
      </c>
      <c r="J1123">
        <f>T1123=ROUND(1112*0.7,10)</f>
        <v/>
      </c>
      <c r="K1123">
        <f>U1123=ROUND(1112*1.1,10)</f>
        <v/>
      </c>
      <c r="L1123">
        <f>V1123=ROUND(1112*0.25,10)</f>
        <v/>
      </c>
      <c r="M1123">
        <f>W1123=ROUND(1112*0.5,10)</f>
        <v/>
      </c>
      <c r="O1123">
        <f>O1122+0.1</f>
        <v/>
      </c>
      <c r="P1123">
        <f>P1122+0.2</f>
        <v/>
      </c>
      <c r="Q1123">
        <f>Q1122+0.3</f>
        <v/>
      </c>
      <c r="R1123">
        <f>R1122+0.05</f>
        <v/>
      </c>
      <c r="S1123">
        <f>S1122+0.01</f>
        <v/>
      </c>
      <c r="T1123">
        <f>T1122+0.7</f>
        <v/>
      </c>
      <c r="U1123">
        <f>U1122+1.1</f>
        <v/>
      </c>
      <c r="V1123">
        <f>V1122+0.25</f>
        <v/>
      </c>
      <c r="W1123">
        <f>W1122+0.5</f>
        <v/>
      </c>
    </row>
    <row r="1124">
      <c r="E1124">
        <f>O1124=ROUND(1113*0.1,10)</f>
        <v/>
      </c>
      <c r="F1124">
        <f>P1124=ROUND(1113*0.2,10)</f>
        <v/>
      </c>
      <c r="G1124">
        <f>Q1124=ROUND(1113*0.3,10)</f>
        <v/>
      </c>
      <c r="H1124">
        <f>R1124=ROUND(1113*0.05,10)</f>
        <v/>
      </c>
      <c r="I1124">
        <f>S1124=ROUND(1113*0.01,10)</f>
        <v/>
      </c>
      <c r="J1124">
        <f>T1124=ROUND(1113*0.7,10)</f>
        <v/>
      </c>
      <c r="K1124">
        <f>U1124=ROUND(1113*1.1,10)</f>
        <v/>
      </c>
      <c r="L1124">
        <f>V1124=ROUND(1113*0.25,10)</f>
        <v/>
      </c>
      <c r="M1124">
        <f>W1124=ROUND(1113*0.5,10)</f>
        <v/>
      </c>
      <c r="O1124">
        <f>O1123+0.1</f>
        <v/>
      </c>
      <c r="P1124">
        <f>P1123+0.2</f>
        <v/>
      </c>
      <c r="Q1124">
        <f>Q1123+0.3</f>
        <v/>
      </c>
      <c r="R1124">
        <f>R1123+0.05</f>
        <v/>
      </c>
      <c r="S1124">
        <f>S1123+0.01</f>
        <v/>
      </c>
      <c r="T1124">
        <f>T1123+0.7</f>
        <v/>
      </c>
      <c r="U1124">
        <f>U1123+1.1</f>
        <v/>
      </c>
      <c r="V1124">
        <f>V1123+0.25</f>
        <v/>
      </c>
      <c r="W1124">
        <f>W1123+0.5</f>
        <v/>
      </c>
    </row>
    <row r="1125">
      <c r="E1125">
        <f>O1125=ROUND(1114*0.1,10)</f>
        <v/>
      </c>
      <c r="F1125">
        <f>P1125=ROUND(1114*0.2,10)</f>
        <v/>
      </c>
      <c r="G1125">
        <f>Q1125=ROUND(1114*0.3,10)</f>
        <v/>
      </c>
      <c r="H1125">
        <f>R1125=ROUND(1114*0.05,10)</f>
        <v/>
      </c>
      <c r="I1125">
        <f>S1125=ROUND(1114*0.01,10)</f>
        <v/>
      </c>
      <c r="J1125">
        <f>T1125=ROUND(1114*0.7,10)</f>
        <v/>
      </c>
      <c r="K1125">
        <f>U1125=ROUND(1114*1.1,10)</f>
        <v/>
      </c>
      <c r="L1125">
        <f>V1125=ROUND(1114*0.25,10)</f>
        <v/>
      </c>
      <c r="M1125">
        <f>W1125=ROUND(1114*0.5,10)</f>
        <v/>
      </c>
      <c r="O1125">
        <f>O1124+0.1</f>
        <v/>
      </c>
      <c r="P1125">
        <f>P1124+0.2</f>
        <v/>
      </c>
      <c r="Q1125">
        <f>Q1124+0.3</f>
        <v/>
      </c>
      <c r="R1125">
        <f>R1124+0.05</f>
        <v/>
      </c>
      <c r="S1125">
        <f>S1124+0.01</f>
        <v/>
      </c>
      <c r="T1125">
        <f>T1124+0.7</f>
        <v/>
      </c>
      <c r="U1125">
        <f>U1124+1.1</f>
        <v/>
      </c>
      <c r="V1125">
        <f>V1124+0.25</f>
        <v/>
      </c>
      <c r="W1125">
        <f>W1124+0.5</f>
        <v/>
      </c>
    </row>
    <row r="1126">
      <c r="E1126">
        <f>O1126=ROUND(1115*0.1,10)</f>
        <v/>
      </c>
      <c r="F1126">
        <f>P1126=ROUND(1115*0.2,10)</f>
        <v/>
      </c>
      <c r="G1126">
        <f>Q1126=ROUND(1115*0.3,10)</f>
        <v/>
      </c>
      <c r="H1126">
        <f>R1126=ROUND(1115*0.05,10)</f>
        <v/>
      </c>
      <c r="I1126">
        <f>S1126=ROUND(1115*0.01,10)</f>
        <v/>
      </c>
      <c r="J1126">
        <f>T1126=ROUND(1115*0.7,10)</f>
        <v/>
      </c>
      <c r="K1126">
        <f>U1126=ROUND(1115*1.1,10)</f>
        <v/>
      </c>
      <c r="L1126">
        <f>V1126=ROUND(1115*0.25,10)</f>
        <v/>
      </c>
      <c r="M1126">
        <f>W1126=ROUND(1115*0.5,10)</f>
        <v/>
      </c>
      <c r="O1126">
        <f>O1125+0.1</f>
        <v/>
      </c>
      <c r="P1126">
        <f>P1125+0.2</f>
        <v/>
      </c>
      <c r="Q1126">
        <f>Q1125+0.3</f>
        <v/>
      </c>
      <c r="R1126">
        <f>R1125+0.05</f>
        <v/>
      </c>
      <c r="S1126">
        <f>S1125+0.01</f>
        <v/>
      </c>
      <c r="T1126">
        <f>T1125+0.7</f>
        <v/>
      </c>
      <c r="U1126">
        <f>U1125+1.1</f>
        <v/>
      </c>
      <c r="V1126">
        <f>V1125+0.25</f>
        <v/>
      </c>
      <c r="W1126">
        <f>W1125+0.5</f>
        <v/>
      </c>
    </row>
    <row r="1127">
      <c r="E1127">
        <f>O1127=ROUND(1116*0.1,10)</f>
        <v/>
      </c>
      <c r="F1127">
        <f>P1127=ROUND(1116*0.2,10)</f>
        <v/>
      </c>
      <c r="G1127">
        <f>Q1127=ROUND(1116*0.3,10)</f>
        <v/>
      </c>
      <c r="H1127">
        <f>R1127=ROUND(1116*0.05,10)</f>
        <v/>
      </c>
      <c r="I1127">
        <f>S1127=ROUND(1116*0.01,10)</f>
        <v/>
      </c>
      <c r="J1127">
        <f>T1127=ROUND(1116*0.7,10)</f>
        <v/>
      </c>
      <c r="K1127">
        <f>U1127=ROUND(1116*1.1,10)</f>
        <v/>
      </c>
      <c r="L1127">
        <f>V1127=ROUND(1116*0.25,10)</f>
        <v/>
      </c>
      <c r="M1127">
        <f>W1127=ROUND(1116*0.5,10)</f>
        <v/>
      </c>
      <c r="O1127">
        <f>O1126+0.1</f>
        <v/>
      </c>
      <c r="P1127">
        <f>P1126+0.2</f>
        <v/>
      </c>
      <c r="Q1127">
        <f>Q1126+0.3</f>
        <v/>
      </c>
      <c r="R1127">
        <f>R1126+0.05</f>
        <v/>
      </c>
      <c r="S1127">
        <f>S1126+0.01</f>
        <v/>
      </c>
      <c r="T1127">
        <f>T1126+0.7</f>
        <v/>
      </c>
      <c r="U1127">
        <f>U1126+1.1</f>
        <v/>
      </c>
      <c r="V1127">
        <f>V1126+0.25</f>
        <v/>
      </c>
      <c r="W1127">
        <f>W1126+0.5</f>
        <v/>
      </c>
    </row>
    <row r="1128">
      <c r="E1128">
        <f>O1128=ROUND(1117*0.1,10)</f>
        <v/>
      </c>
      <c r="F1128">
        <f>P1128=ROUND(1117*0.2,10)</f>
        <v/>
      </c>
      <c r="G1128">
        <f>Q1128=ROUND(1117*0.3,10)</f>
        <v/>
      </c>
      <c r="H1128">
        <f>R1128=ROUND(1117*0.05,10)</f>
        <v/>
      </c>
      <c r="I1128">
        <f>S1128=ROUND(1117*0.01,10)</f>
        <v/>
      </c>
      <c r="J1128">
        <f>T1128=ROUND(1117*0.7,10)</f>
        <v/>
      </c>
      <c r="K1128">
        <f>U1128=ROUND(1117*1.1,10)</f>
        <v/>
      </c>
      <c r="L1128">
        <f>V1128=ROUND(1117*0.25,10)</f>
        <v/>
      </c>
      <c r="M1128">
        <f>W1128=ROUND(1117*0.5,10)</f>
        <v/>
      </c>
      <c r="O1128">
        <f>O1127+0.1</f>
        <v/>
      </c>
      <c r="P1128">
        <f>P1127+0.2</f>
        <v/>
      </c>
      <c r="Q1128">
        <f>Q1127+0.3</f>
        <v/>
      </c>
      <c r="R1128">
        <f>R1127+0.05</f>
        <v/>
      </c>
      <c r="S1128">
        <f>S1127+0.01</f>
        <v/>
      </c>
      <c r="T1128">
        <f>T1127+0.7</f>
        <v/>
      </c>
      <c r="U1128">
        <f>U1127+1.1</f>
        <v/>
      </c>
      <c r="V1128">
        <f>V1127+0.25</f>
        <v/>
      </c>
      <c r="W1128">
        <f>W1127+0.5</f>
        <v/>
      </c>
    </row>
    <row r="1129">
      <c r="E1129">
        <f>O1129=ROUND(1118*0.1,10)</f>
        <v/>
      </c>
      <c r="F1129">
        <f>P1129=ROUND(1118*0.2,10)</f>
        <v/>
      </c>
      <c r="G1129">
        <f>Q1129=ROUND(1118*0.3,10)</f>
        <v/>
      </c>
      <c r="H1129">
        <f>R1129=ROUND(1118*0.05,10)</f>
        <v/>
      </c>
      <c r="I1129">
        <f>S1129=ROUND(1118*0.01,10)</f>
        <v/>
      </c>
      <c r="J1129">
        <f>T1129=ROUND(1118*0.7,10)</f>
        <v/>
      </c>
      <c r="K1129">
        <f>U1129=ROUND(1118*1.1,10)</f>
        <v/>
      </c>
      <c r="L1129">
        <f>V1129=ROUND(1118*0.25,10)</f>
        <v/>
      </c>
      <c r="M1129">
        <f>W1129=ROUND(1118*0.5,10)</f>
        <v/>
      </c>
      <c r="O1129">
        <f>O1128+0.1</f>
        <v/>
      </c>
      <c r="P1129">
        <f>P1128+0.2</f>
        <v/>
      </c>
      <c r="Q1129">
        <f>Q1128+0.3</f>
        <v/>
      </c>
      <c r="R1129">
        <f>R1128+0.05</f>
        <v/>
      </c>
      <c r="S1129">
        <f>S1128+0.01</f>
        <v/>
      </c>
      <c r="T1129">
        <f>T1128+0.7</f>
        <v/>
      </c>
      <c r="U1129">
        <f>U1128+1.1</f>
        <v/>
      </c>
      <c r="V1129">
        <f>V1128+0.25</f>
        <v/>
      </c>
      <c r="W1129">
        <f>W1128+0.5</f>
        <v/>
      </c>
    </row>
    <row r="1130">
      <c r="E1130">
        <f>O1130=ROUND(1119*0.1,10)</f>
        <v/>
      </c>
      <c r="F1130">
        <f>P1130=ROUND(1119*0.2,10)</f>
        <v/>
      </c>
      <c r="G1130">
        <f>Q1130=ROUND(1119*0.3,10)</f>
        <v/>
      </c>
      <c r="H1130">
        <f>R1130=ROUND(1119*0.05,10)</f>
        <v/>
      </c>
      <c r="I1130">
        <f>S1130=ROUND(1119*0.01,10)</f>
        <v/>
      </c>
      <c r="J1130">
        <f>T1130=ROUND(1119*0.7,10)</f>
        <v/>
      </c>
      <c r="K1130">
        <f>U1130=ROUND(1119*1.1,10)</f>
        <v/>
      </c>
      <c r="L1130">
        <f>V1130=ROUND(1119*0.25,10)</f>
        <v/>
      </c>
      <c r="M1130">
        <f>W1130=ROUND(1119*0.5,10)</f>
        <v/>
      </c>
      <c r="O1130">
        <f>O1129+0.1</f>
        <v/>
      </c>
      <c r="P1130">
        <f>P1129+0.2</f>
        <v/>
      </c>
      <c r="Q1130">
        <f>Q1129+0.3</f>
        <v/>
      </c>
      <c r="R1130">
        <f>R1129+0.05</f>
        <v/>
      </c>
      <c r="S1130">
        <f>S1129+0.01</f>
        <v/>
      </c>
      <c r="T1130">
        <f>T1129+0.7</f>
        <v/>
      </c>
      <c r="U1130">
        <f>U1129+1.1</f>
        <v/>
      </c>
      <c r="V1130">
        <f>V1129+0.25</f>
        <v/>
      </c>
      <c r="W1130">
        <f>W1129+0.5</f>
        <v/>
      </c>
    </row>
    <row r="1131">
      <c r="E1131">
        <f>O1131=ROUND(1120*0.1,10)</f>
        <v/>
      </c>
      <c r="F1131">
        <f>P1131=ROUND(1120*0.2,10)</f>
        <v/>
      </c>
      <c r="G1131">
        <f>Q1131=ROUND(1120*0.3,10)</f>
        <v/>
      </c>
      <c r="H1131">
        <f>R1131=ROUND(1120*0.05,10)</f>
        <v/>
      </c>
      <c r="I1131">
        <f>S1131=ROUND(1120*0.01,10)</f>
        <v/>
      </c>
      <c r="J1131">
        <f>T1131=ROUND(1120*0.7,10)</f>
        <v/>
      </c>
      <c r="K1131">
        <f>U1131=ROUND(1120*1.1,10)</f>
        <v/>
      </c>
      <c r="L1131">
        <f>V1131=ROUND(1120*0.25,10)</f>
        <v/>
      </c>
      <c r="M1131">
        <f>W1131=ROUND(1120*0.5,10)</f>
        <v/>
      </c>
      <c r="O1131">
        <f>O1130+0.1</f>
        <v/>
      </c>
      <c r="P1131">
        <f>P1130+0.2</f>
        <v/>
      </c>
      <c r="Q1131">
        <f>Q1130+0.3</f>
        <v/>
      </c>
      <c r="R1131">
        <f>R1130+0.05</f>
        <v/>
      </c>
      <c r="S1131">
        <f>S1130+0.01</f>
        <v/>
      </c>
      <c r="T1131">
        <f>T1130+0.7</f>
        <v/>
      </c>
      <c r="U1131">
        <f>U1130+1.1</f>
        <v/>
      </c>
      <c r="V1131">
        <f>V1130+0.25</f>
        <v/>
      </c>
      <c r="W1131">
        <f>W1130+0.5</f>
        <v/>
      </c>
    </row>
    <row r="1132">
      <c r="E1132">
        <f>O1132=ROUND(1121*0.1,10)</f>
        <v/>
      </c>
      <c r="F1132">
        <f>P1132=ROUND(1121*0.2,10)</f>
        <v/>
      </c>
      <c r="G1132">
        <f>Q1132=ROUND(1121*0.3,10)</f>
        <v/>
      </c>
      <c r="H1132">
        <f>R1132=ROUND(1121*0.05,10)</f>
        <v/>
      </c>
      <c r="I1132">
        <f>S1132=ROUND(1121*0.01,10)</f>
        <v/>
      </c>
      <c r="J1132">
        <f>T1132=ROUND(1121*0.7,10)</f>
        <v/>
      </c>
      <c r="K1132">
        <f>U1132=ROUND(1121*1.1,10)</f>
        <v/>
      </c>
      <c r="L1132">
        <f>V1132=ROUND(1121*0.25,10)</f>
        <v/>
      </c>
      <c r="M1132">
        <f>W1132=ROUND(1121*0.5,10)</f>
        <v/>
      </c>
      <c r="O1132">
        <f>O1131+0.1</f>
        <v/>
      </c>
      <c r="P1132">
        <f>P1131+0.2</f>
        <v/>
      </c>
      <c r="Q1132">
        <f>Q1131+0.3</f>
        <v/>
      </c>
      <c r="R1132">
        <f>R1131+0.05</f>
        <v/>
      </c>
      <c r="S1132">
        <f>S1131+0.01</f>
        <v/>
      </c>
      <c r="T1132">
        <f>T1131+0.7</f>
        <v/>
      </c>
      <c r="U1132">
        <f>U1131+1.1</f>
        <v/>
      </c>
      <c r="V1132">
        <f>V1131+0.25</f>
        <v/>
      </c>
      <c r="W1132">
        <f>W1131+0.5</f>
        <v/>
      </c>
    </row>
    <row r="1133">
      <c r="E1133">
        <f>O1133=ROUND(1122*0.1,10)</f>
        <v/>
      </c>
      <c r="F1133">
        <f>P1133=ROUND(1122*0.2,10)</f>
        <v/>
      </c>
      <c r="G1133">
        <f>Q1133=ROUND(1122*0.3,10)</f>
        <v/>
      </c>
      <c r="H1133">
        <f>R1133=ROUND(1122*0.05,10)</f>
        <v/>
      </c>
      <c r="I1133">
        <f>S1133=ROUND(1122*0.01,10)</f>
        <v/>
      </c>
      <c r="J1133">
        <f>T1133=ROUND(1122*0.7,10)</f>
        <v/>
      </c>
      <c r="K1133">
        <f>U1133=ROUND(1122*1.1,10)</f>
        <v/>
      </c>
      <c r="L1133">
        <f>V1133=ROUND(1122*0.25,10)</f>
        <v/>
      </c>
      <c r="M1133">
        <f>W1133=ROUND(1122*0.5,10)</f>
        <v/>
      </c>
      <c r="O1133">
        <f>O1132+0.1</f>
        <v/>
      </c>
      <c r="P1133">
        <f>P1132+0.2</f>
        <v/>
      </c>
      <c r="Q1133">
        <f>Q1132+0.3</f>
        <v/>
      </c>
      <c r="R1133">
        <f>R1132+0.05</f>
        <v/>
      </c>
      <c r="S1133">
        <f>S1132+0.01</f>
        <v/>
      </c>
      <c r="T1133">
        <f>T1132+0.7</f>
        <v/>
      </c>
      <c r="U1133">
        <f>U1132+1.1</f>
        <v/>
      </c>
      <c r="V1133">
        <f>V1132+0.25</f>
        <v/>
      </c>
      <c r="W1133">
        <f>W1132+0.5</f>
        <v/>
      </c>
    </row>
    <row r="1134">
      <c r="E1134">
        <f>O1134=ROUND(1123*0.1,10)</f>
        <v/>
      </c>
      <c r="F1134">
        <f>P1134=ROUND(1123*0.2,10)</f>
        <v/>
      </c>
      <c r="G1134">
        <f>Q1134=ROUND(1123*0.3,10)</f>
        <v/>
      </c>
      <c r="H1134">
        <f>R1134=ROUND(1123*0.05,10)</f>
        <v/>
      </c>
      <c r="I1134">
        <f>S1134=ROUND(1123*0.01,10)</f>
        <v/>
      </c>
      <c r="J1134">
        <f>T1134=ROUND(1123*0.7,10)</f>
        <v/>
      </c>
      <c r="K1134">
        <f>U1134=ROUND(1123*1.1,10)</f>
        <v/>
      </c>
      <c r="L1134">
        <f>V1134=ROUND(1123*0.25,10)</f>
        <v/>
      </c>
      <c r="M1134">
        <f>W1134=ROUND(1123*0.5,10)</f>
        <v/>
      </c>
      <c r="O1134">
        <f>O1133+0.1</f>
        <v/>
      </c>
      <c r="P1134">
        <f>P1133+0.2</f>
        <v/>
      </c>
      <c r="Q1134">
        <f>Q1133+0.3</f>
        <v/>
      </c>
      <c r="R1134">
        <f>R1133+0.05</f>
        <v/>
      </c>
      <c r="S1134">
        <f>S1133+0.01</f>
        <v/>
      </c>
      <c r="T1134">
        <f>T1133+0.7</f>
        <v/>
      </c>
      <c r="U1134">
        <f>U1133+1.1</f>
        <v/>
      </c>
      <c r="V1134">
        <f>V1133+0.25</f>
        <v/>
      </c>
      <c r="W1134">
        <f>W1133+0.5</f>
        <v/>
      </c>
    </row>
    <row r="1135">
      <c r="E1135">
        <f>O1135=ROUND(1124*0.1,10)</f>
        <v/>
      </c>
      <c r="F1135">
        <f>P1135=ROUND(1124*0.2,10)</f>
        <v/>
      </c>
      <c r="G1135">
        <f>Q1135=ROUND(1124*0.3,10)</f>
        <v/>
      </c>
      <c r="H1135">
        <f>R1135=ROUND(1124*0.05,10)</f>
        <v/>
      </c>
      <c r="I1135">
        <f>S1135=ROUND(1124*0.01,10)</f>
        <v/>
      </c>
      <c r="J1135">
        <f>T1135=ROUND(1124*0.7,10)</f>
        <v/>
      </c>
      <c r="K1135">
        <f>U1135=ROUND(1124*1.1,10)</f>
        <v/>
      </c>
      <c r="L1135">
        <f>V1135=ROUND(1124*0.25,10)</f>
        <v/>
      </c>
      <c r="M1135">
        <f>W1135=ROUND(1124*0.5,10)</f>
        <v/>
      </c>
      <c r="O1135">
        <f>O1134+0.1</f>
        <v/>
      </c>
      <c r="P1135">
        <f>P1134+0.2</f>
        <v/>
      </c>
      <c r="Q1135">
        <f>Q1134+0.3</f>
        <v/>
      </c>
      <c r="R1135">
        <f>R1134+0.05</f>
        <v/>
      </c>
      <c r="S1135">
        <f>S1134+0.01</f>
        <v/>
      </c>
      <c r="T1135">
        <f>T1134+0.7</f>
        <v/>
      </c>
      <c r="U1135">
        <f>U1134+1.1</f>
        <v/>
      </c>
      <c r="V1135">
        <f>V1134+0.25</f>
        <v/>
      </c>
      <c r="W1135">
        <f>W1134+0.5</f>
        <v/>
      </c>
    </row>
    <row r="1136">
      <c r="E1136">
        <f>O1136=ROUND(1125*0.1,10)</f>
        <v/>
      </c>
      <c r="F1136">
        <f>P1136=ROUND(1125*0.2,10)</f>
        <v/>
      </c>
      <c r="G1136">
        <f>Q1136=ROUND(1125*0.3,10)</f>
        <v/>
      </c>
      <c r="H1136">
        <f>R1136=ROUND(1125*0.05,10)</f>
        <v/>
      </c>
      <c r="I1136">
        <f>S1136=ROUND(1125*0.01,10)</f>
        <v/>
      </c>
      <c r="J1136">
        <f>T1136=ROUND(1125*0.7,10)</f>
        <v/>
      </c>
      <c r="K1136">
        <f>U1136=ROUND(1125*1.1,10)</f>
        <v/>
      </c>
      <c r="L1136">
        <f>V1136=ROUND(1125*0.25,10)</f>
        <v/>
      </c>
      <c r="M1136">
        <f>W1136=ROUND(1125*0.5,10)</f>
        <v/>
      </c>
      <c r="O1136">
        <f>O1135+0.1</f>
        <v/>
      </c>
      <c r="P1136">
        <f>P1135+0.2</f>
        <v/>
      </c>
      <c r="Q1136">
        <f>Q1135+0.3</f>
        <v/>
      </c>
      <c r="R1136">
        <f>R1135+0.05</f>
        <v/>
      </c>
      <c r="S1136">
        <f>S1135+0.01</f>
        <v/>
      </c>
      <c r="T1136">
        <f>T1135+0.7</f>
        <v/>
      </c>
      <c r="U1136">
        <f>U1135+1.1</f>
        <v/>
      </c>
      <c r="V1136">
        <f>V1135+0.25</f>
        <v/>
      </c>
      <c r="W1136">
        <f>W1135+0.5</f>
        <v/>
      </c>
    </row>
    <row r="1137">
      <c r="E1137">
        <f>O1137=ROUND(1126*0.1,10)</f>
        <v/>
      </c>
      <c r="F1137">
        <f>P1137=ROUND(1126*0.2,10)</f>
        <v/>
      </c>
      <c r="G1137">
        <f>Q1137=ROUND(1126*0.3,10)</f>
        <v/>
      </c>
      <c r="H1137">
        <f>R1137=ROUND(1126*0.05,10)</f>
        <v/>
      </c>
      <c r="I1137">
        <f>S1137=ROUND(1126*0.01,10)</f>
        <v/>
      </c>
      <c r="J1137">
        <f>T1137=ROUND(1126*0.7,10)</f>
        <v/>
      </c>
      <c r="K1137">
        <f>U1137=ROUND(1126*1.1,10)</f>
        <v/>
      </c>
      <c r="L1137">
        <f>V1137=ROUND(1126*0.25,10)</f>
        <v/>
      </c>
      <c r="M1137">
        <f>W1137=ROUND(1126*0.5,10)</f>
        <v/>
      </c>
      <c r="O1137">
        <f>O1136+0.1</f>
        <v/>
      </c>
      <c r="P1137">
        <f>P1136+0.2</f>
        <v/>
      </c>
      <c r="Q1137">
        <f>Q1136+0.3</f>
        <v/>
      </c>
      <c r="R1137">
        <f>R1136+0.05</f>
        <v/>
      </c>
      <c r="S1137">
        <f>S1136+0.01</f>
        <v/>
      </c>
      <c r="T1137">
        <f>T1136+0.7</f>
        <v/>
      </c>
      <c r="U1137">
        <f>U1136+1.1</f>
        <v/>
      </c>
      <c r="V1137">
        <f>V1136+0.25</f>
        <v/>
      </c>
      <c r="W1137">
        <f>W1136+0.5</f>
        <v/>
      </c>
    </row>
    <row r="1138">
      <c r="E1138">
        <f>O1138=ROUND(1127*0.1,10)</f>
        <v/>
      </c>
      <c r="F1138">
        <f>P1138=ROUND(1127*0.2,10)</f>
        <v/>
      </c>
      <c r="G1138">
        <f>Q1138=ROUND(1127*0.3,10)</f>
        <v/>
      </c>
      <c r="H1138">
        <f>R1138=ROUND(1127*0.05,10)</f>
        <v/>
      </c>
      <c r="I1138">
        <f>S1138=ROUND(1127*0.01,10)</f>
        <v/>
      </c>
      <c r="J1138">
        <f>T1138=ROUND(1127*0.7,10)</f>
        <v/>
      </c>
      <c r="K1138">
        <f>U1138=ROUND(1127*1.1,10)</f>
        <v/>
      </c>
      <c r="L1138">
        <f>V1138=ROUND(1127*0.25,10)</f>
        <v/>
      </c>
      <c r="M1138">
        <f>W1138=ROUND(1127*0.5,10)</f>
        <v/>
      </c>
      <c r="O1138">
        <f>O1137+0.1</f>
        <v/>
      </c>
      <c r="P1138">
        <f>P1137+0.2</f>
        <v/>
      </c>
      <c r="Q1138">
        <f>Q1137+0.3</f>
        <v/>
      </c>
      <c r="R1138">
        <f>R1137+0.05</f>
        <v/>
      </c>
      <c r="S1138">
        <f>S1137+0.01</f>
        <v/>
      </c>
      <c r="T1138">
        <f>T1137+0.7</f>
        <v/>
      </c>
      <c r="U1138">
        <f>U1137+1.1</f>
        <v/>
      </c>
      <c r="V1138">
        <f>V1137+0.25</f>
        <v/>
      </c>
      <c r="W1138">
        <f>W1137+0.5</f>
        <v/>
      </c>
    </row>
    <row r="1139">
      <c r="E1139">
        <f>O1139=ROUND(1128*0.1,10)</f>
        <v/>
      </c>
      <c r="F1139">
        <f>P1139=ROUND(1128*0.2,10)</f>
        <v/>
      </c>
      <c r="G1139">
        <f>Q1139=ROUND(1128*0.3,10)</f>
        <v/>
      </c>
      <c r="H1139">
        <f>R1139=ROUND(1128*0.05,10)</f>
        <v/>
      </c>
      <c r="I1139">
        <f>S1139=ROUND(1128*0.01,10)</f>
        <v/>
      </c>
      <c r="J1139">
        <f>T1139=ROUND(1128*0.7,10)</f>
        <v/>
      </c>
      <c r="K1139">
        <f>U1139=ROUND(1128*1.1,10)</f>
        <v/>
      </c>
      <c r="L1139">
        <f>V1139=ROUND(1128*0.25,10)</f>
        <v/>
      </c>
      <c r="M1139">
        <f>W1139=ROUND(1128*0.5,10)</f>
        <v/>
      </c>
      <c r="O1139">
        <f>O1138+0.1</f>
        <v/>
      </c>
      <c r="P1139">
        <f>P1138+0.2</f>
        <v/>
      </c>
      <c r="Q1139">
        <f>Q1138+0.3</f>
        <v/>
      </c>
      <c r="R1139">
        <f>R1138+0.05</f>
        <v/>
      </c>
      <c r="S1139">
        <f>S1138+0.01</f>
        <v/>
      </c>
      <c r="T1139">
        <f>T1138+0.7</f>
        <v/>
      </c>
      <c r="U1139">
        <f>U1138+1.1</f>
        <v/>
      </c>
      <c r="V1139">
        <f>V1138+0.25</f>
        <v/>
      </c>
      <c r="W1139">
        <f>W1138+0.5</f>
        <v/>
      </c>
    </row>
    <row r="1140">
      <c r="E1140">
        <f>O1140=ROUND(1129*0.1,10)</f>
        <v/>
      </c>
      <c r="F1140">
        <f>P1140=ROUND(1129*0.2,10)</f>
        <v/>
      </c>
      <c r="G1140">
        <f>Q1140=ROUND(1129*0.3,10)</f>
        <v/>
      </c>
      <c r="H1140">
        <f>R1140=ROUND(1129*0.05,10)</f>
        <v/>
      </c>
      <c r="I1140">
        <f>S1140=ROUND(1129*0.01,10)</f>
        <v/>
      </c>
      <c r="J1140">
        <f>T1140=ROUND(1129*0.7,10)</f>
        <v/>
      </c>
      <c r="K1140">
        <f>U1140=ROUND(1129*1.1,10)</f>
        <v/>
      </c>
      <c r="L1140">
        <f>V1140=ROUND(1129*0.25,10)</f>
        <v/>
      </c>
      <c r="M1140">
        <f>W1140=ROUND(1129*0.5,10)</f>
        <v/>
      </c>
      <c r="O1140">
        <f>O1139+0.1</f>
        <v/>
      </c>
      <c r="P1140">
        <f>P1139+0.2</f>
        <v/>
      </c>
      <c r="Q1140">
        <f>Q1139+0.3</f>
        <v/>
      </c>
      <c r="R1140">
        <f>R1139+0.05</f>
        <v/>
      </c>
      <c r="S1140">
        <f>S1139+0.01</f>
        <v/>
      </c>
      <c r="T1140">
        <f>T1139+0.7</f>
        <v/>
      </c>
      <c r="U1140">
        <f>U1139+1.1</f>
        <v/>
      </c>
      <c r="V1140">
        <f>V1139+0.25</f>
        <v/>
      </c>
      <c r="W1140">
        <f>W1139+0.5</f>
        <v/>
      </c>
    </row>
    <row r="1141">
      <c r="E1141">
        <f>O1141=ROUND(1130*0.1,10)</f>
        <v/>
      </c>
      <c r="F1141">
        <f>P1141=ROUND(1130*0.2,10)</f>
        <v/>
      </c>
      <c r="G1141">
        <f>Q1141=ROUND(1130*0.3,10)</f>
        <v/>
      </c>
      <c r="H1141">
        <f>R1141=ROUND(1130*0.05,10)</f>
        <v/>
      </c>
      <c r="I1141">
        <f>S1141=ROUND(1130*0.01,10)</f>
        <v/>
      </c>
      <c r="J1141">
        <f>T1141=ROUND(1130*0.7,10)</f>
        <v/>
      </c>
      <c r="K1141">
        <f>U1141=ROUND(1130*1.1,10)</f>
        <v/>
      </c>
      <c r="L1141">
        <f>V1141=ROUND(1130*0.25,10)</f>
        <v/>
      </c>
      <c r="M1141">
        <f>W1141=ROUND(1130*0.5,10)</f>
        <v/>
      </c>
      <c r="O1141">
        <f>O1140+0.1</f>
        <v/>
      </c>
      <c r="P1141">
        <f>P1140+0.2</f>
        <v/>
      </c>
      <c r="Q1141">
        <f>Q1140+0.3</f>
        <v/>
      </c>
      <c r="R1141">
        <f>R1140+0.05</f>
        <v/>
      </c>
      <c r="S1141">
        <f>S1140+0.01</f>
        <v/>
      </c>
      <c r="T1141">
        <f>T1140+0.7</f>
        <v/>
      </c>
      <c r="U1141">
        <f>U1140+1.1</f>
        <v/>
      </c>
      <c r="V1141">
        <f>V1140+0.25</f>
        <v/>
      </c>
      <c r="W1141">
        <f>W1140+0.5</f>
        <v/>
      </c>
    </row>
    <row r="1142">
      <c r="E1142">
        <f>O1142=ROUND(1131*0.1,10)</f>
        <v/>
      </c>
      <c r="F1142">
        <f>P1142=ROUND(1131*0.2,10)</f>
        <v/>
      </c>
      <c r="G1142">
        <f>Q1142=ROUND(1131*0.3,10)</f>
        <v/>
      </c>
      <c r="H1142">
        <f>R1142=ROUND(1131*0.05,10)</f>
        <v/>
      </c>
      <c r="I1142">
        <f>S1142=ROUND(1131*0.01,10)</f>
        <v/>
      </c>
      <c r="J1142">
        <f>T1142=ROUND(1131*0.7,10)</f>
        <v/>
      </c>
      <c r="K1142">
        <f>U1142=ROUND(1131*1.1,10)</f>
        <v/>
      </c>
      <c r="L1142">
        <f>V1142=ROUND(1131*0.25,10)</f>
        <v/>
      </c>
      <c r="M1142">
        <f>W1142=ROUND(1131*0.5,10)</f>
        <v/>
      </c>
      <c r="O1142">
        <f>O1141+0.1</f>
        <v/>
      </c>
      <c r="P1142">
        <f>P1141+0.2</f>
        <v/>
      </c>
      <c r="Q1142">
        <f>Q1141+0.3</f>
        <v/>
      </c>
      <c r="R1142">
        <f>R1141+0.05</f>
        <v/>
      </c>
      <c r="S1142">
        <f>S1141+0.01</f>
        <v/>
      </c>
      <c r="T1142">
        <f>T1141+0.7</f>
        <v/>
      </c>
      <c r="U1142">
        <f>U1141+1.1</f>
        <v/>
      </c>
      <c r="V1142">
        <f>V1141+0.25</f>
        <v/>
      </c>
      <c r="W1142">
        <f>W1141+0.5</f>
        <v/>
      </c>
    </row>
    <row r="1143">
      <c r="E1143">
        <f>O1143=ROUND(1132*0.1,10)</f>
        <v/>
      </c>
      <c r="F1143">
        <f>P1143=ROUND(1132*0.2,10)</f>
        <v/>
      </c>
      <c r="G1143">
        <f>Q1143=ROUND(1132*0.3,10)</f>
        <v/>
      </c>
      <c r="H1143">
        <f>R1143=ROUND(1132*0.05,10)</f>
        <v/>
      </c>
      <c r="I1143">
        <f>S1143=ROUND(1132*0.01,10)</f>
        <v/>
      </c>
      <c r="J1143">
        <f>T1143=ROUND(1132*0.7,10)</f>
        <v/>
      </c>
      <c r="K1143">
        <f>U1143=ROUND(1132*1.1,10)</f>
        <v/>
      </c>
      <c r="L1143">
        <f>V1143=ROUND(1132*0.25,10)</f>
        <v/>
      </c>
      <c r="M1143">
        <f>W1143=ROUND(1132*0.5,10)</f>
        <v/>
      </c>
      <c r="O1143">
        <f>O1142+0.1</f>
        <v/>
      </c>
      <c r="P1143">
        <f>P1142+0.2</f>
        <v/>
      </c>
      <c r="Q1143">
        <f>Q1142+0.3</f>
        <v/>
      </c>
      <c r="R1143">
        <f>R1142+0.05</f>
        <v/>
      </c>
      <c r="S1143">
        <f>S1142+0.01</f>
        <v/>
      </c>
      <c r="T1143">
        <f>T1142+0.7</f>
        <v/>
      </c>
      <c r="U1143">
        <f>U1142+1.1</f>
        <v/>
      </c>
      <c r="V1143">
        <f>V1142+0.25</f>
        <v/>
      </c>
      <c r="W1143">
        <f>W1142+0.5</f>
        <v/>
      </c>
    </row>
    <row r="1144">
      <c r="E1144">
        <f>O1144=ROUND(1133*0.1,10)</f>
        <v/>
      </c>
      <c r="F1144">
        <f>P1144=ROUND(1133*0.2,10)</f>
        <v/>
      </c>
      <c r="G1144">
        <f>Q1144=ROUND(1133*0.3,10)</f>
        <v/>
      </c>
      <c r="H1144">
        <f>R1144=ROUND(1133*0.05,10)</f>
        <v/>
      </c>
      <c r="I1144">
        <f>S1144=ROUND(1133*0.01,10)</f>
        <v/>
      </c>
      <c r="J1144">
        <f>T1144=ROUND(1133*0.7,10)</f>
        <v/>
      </c>
      <c r="K1144">
        <f>U1144=ROUND(1133*1.1,10)</f>
        <v/>
      </c>
      <c r="L1144">
        <f>V1144=ROUND(1133*0.25,10)</f>
        <v/>
      </c>
      <c r="M1144">
        <f>W1144=ROUND(1133*0.5,10)</f>
        <v/>
      </c>
      <c r="O1144">
        <f>O1143+0.1</f>
        <v/>
      </c>
      <c r="P1144">
        <f>P1143+0.2</f>
        <v/>
      </c>
      <c r="Q1144">
        <f>Q1143+0.3</f>
        <v/>
      </c>
      <c r="R1144">
        <f>R1143+0.05</f>
        <v/>
      </c>
      <c r="S1144">
        <f>S1143+0.01</f>
        <v/>
      </c>
      <c r="T1144">
        <f>T1143+0.7</f>
        <v/>
      </c>
      <c r="U1144">
        <f>U1143+1.1</f>
        <v/>
      </c>
      <c r="V1144">
        <f>V1143+0.25</f>
        <v/>
      </c>
      <c r="W1144">
        <f>W1143+0.5</f>
        <v/>
      </c>
    </row>
    <row r="1145">
      <c r="E1145">
        <f>O1145=ROUND(1134*0.1,10)</f>
        <v/>
      </c>
      <c r="F1145">
        <f>P1145=ROUND(1134*0.2,10)</f>
        <v/>
      </c>
      <c r="G1145">
        <f>Q1145=ROUND(1134*0.3,10)</f>
        <v/>
      </c>
      <c r="H1145">
        <f>R1145=ROUND(1134*0.05,10)</f>
        <v/>
      </c>
      <c r="I1145">
        <f>S1145=ROUND(1134*0.01,10)</f>
        <v/>
      </c>
      <c r="J1145">
        <f>T1145=ROUND(1134*0.7,10)</f>
        <v/>
      </c>
      <c r="K1145">
        <f>U1145=ROUND(1134*1.1,10)</f>
        <v/>
      </c>
      <c r="L1145">
        <f>V1145=ROUND(1134*0.25,10)</f>
        <v/>
      </c>
      <c r="M1145">
        <f>W1145=ROUND(1134*0.5,10)</f>
        <v/>
      </c>
      <c r="O1145">
        <f>O1144+0.1</f>
        <v/>
      </c>
      <c r="P1145">
        <f>P1144+0.2</f>
        <v/>
      </c>
      <c r="Q1145">
        <f>Q1144+0.3</f>
        <v/>
      </c>
      <c r="R1145">
        <f>R1144+0.05</f>
        <v/>
      </c>
      <c r="S1145">
        <f>S1144+0.01</f>
        <v/>
      </c>
      <c r="T1145">
        <f>T1144+0.7</f>
        <v/>
      </c>
      <c r="U1145">
        <f>U1144+1.1</f>
        <v/>
      </c>
      <c r="V1145">
        <f>V1144+0.25</f>
        <v/>
      </c>
      <c r="W1145">
        <f>W1144+0.5</f>
        <v/>
      </c>
    </row>
    <row r="1146">
      <c r="E1146">
        <f>O1146=ROUND(1135*0.1,10)</f>
        <v/>
      </c>
      <c r="F1146">
        <f>P1146=ROUND(1135*0.2,10)</f>
        <v/>
      </c>
      <c r="G1146">
        <f>Q1146=ROUND(1135*0.3,10)</f>
        <v/>
      </c>
      <c r="H1146">
        <f>R1146=ROUND(1135*0.05,10)</f>
        <v/>
      </c>
      <c r="I1146">
        <f>S1146=ROUND(1135*0.01,10)</f>
        <v/>
      </c>
      <c r="J1146">
        <f>T1146=ROUND(1135*0.7,10)</f>
        <v/>
      </c>
      <c r="K1146">
        <f>U1146=ROUND(1135*1.1,10)</f>
        <v/>
      </c>
      <c r="L1146">
        <f>V1146=ROUND(1135*0.25,10)</f>
        <v/>
      </c>
      <c r="M1146">
        <f>W1146=ROUND(1135*0.5,10)</f>
        <v/>
      </c>
      <c r="O1146">
        <f>O1145+0.1</f>
        <v/>
      </c>
      <c r="P1146">
        <f>P1145+0.2</f>
        <v/>
      </c>
      <c r="Q1146">
        <f>Q1145+0.3</f>
        <v/>
      </c>
      <c r="R1146">
        <f>R1145+0.05</f>
        <v/>
      </c>
      <c r="S1146">
        <f>S1145+0.01</f>
        <v/>
      </c>
      <c r="T1146">
        <f>T1145+0.7</f>
        <v/>
      </c>
      <c r="U1146">
        <f>U1145+1.1</f>
        <v/>
      </c>
      <c r="V1146">
        <f>V1145+0.25</f>
        <v/>
      </c>
      <c r="W1146">
        <f>W1145+0.5</f>
        <v/>
      </c>
    </row>
    <row r="1147">
      <c r="E1147">
        <f>O1147=ROUND(1136*0.1,10)</f>
        <v/>
      </c>
      <c r="F1147">
        <f>P1147=ROUND(1136*0.2,10)</f>
        <v/>
      </c>
      <c r="G1147">
        <f>Q1147=ROUND(1136*0.3,10)</f>
        <v/>
      </c>
      <c r="H1147">
        <f>R1147=ROUND(1136*0.05,10)</f>
        <v/>
      </c>
      <c r="I1147">
        <f>S1147=ROUND(1136*0.01,10)</f>
        <v/>
      </c>
      <c r="J1147">
        <f>T1147=ROUND(1136*0.7,10)</f>
        <v/>
      </c>
      <c r="K1147">
        <f>U1147=ROUND(1136*1.1,10)</f>
        <v/>
      </c>
      <c r="L1147">
        <f>V1147=ROUND(1136*0.25,10)</f>
        <v/>
      </c>
      <c r="M1147">
        <f>W1147=ROUND(1136*0.5,10)</f>
        <v/>
      </c>
      <c r="O1147">
        <f>O1146+0.1</f>
        <v/>
      </c>
      <c r="P1147">
        <f>P1146+0.2</f>
        <v/>
      </c>
      <c r="Q1147">
        <f>Q1146+0.3</f>
        <v/>
      </c>
      <c r="R1147">
        <f>R1146+0.05</f>
        <v/>
      </c>
      <c r="S1147">
        <f>S1146+0.01</f>
        <v/>
      </c>
      <c r="T1147">
        <f>T1146+0.7</f>
        <v/>
      </c>
      <c r="U1147">
        <f>U1146+1.1</f>
        <v/>
      </c>
      <c r="V1147">
        <f>V1146+0.25</f>
        <v/>
      </c>
      <c r="W1147">
        <f>W1146+0.5</f>
        <v/>
      </c>
    </row>
    <row r="1148">
      <c r="E1148">
        <f>O1148=ROUND(1137*0.1,10)</f>
        <v/>
      </c>
      <c r="F1148">
        <f>P1148=ROUND(1137*0.2,10)</f>
        <v/>
      </c>
      <c r="G1148">
        <f>Q1148=ROUND(1137*0.3,10)</f>
        <v/>
      </c>
      <c r="H1148">
        <f>R1148=ROUND(1137*0.05,10)</f>
        <v/>
      </c>
      <c r="I1148">
        <f>S1148=ROUND(1137*0.01,10)</f>
        <v/>
      </c>
      <c r="J1148">
        <f>T1148=ROUND(1137*0.7,10)</f>
        <v/>
      </c>
      <c r="K1148">
        <f>U1148=ROUND(1137*1.1,10)</f>
        <v/>
      </c>
      <c r="L1148">
        <f>V1148=ROUND(1137*0.25,10)</f>
        <v/>
      </c>
      <c r="M1148">
        <f>W1148=ROUND(1137*0.5,10)</f>
        <v/>
      </c>
      <c r="O1148">
        <f>O1147+0.1</f>
        <v/>
      </c>
      <c r="P1148">
        <f>P1147+0.2</f>
        <v/>
      </c>
      <c r="Q1148">
        <f>Q1147+0.3</f>
        <v/>
      </c>
      <c r="R1148">
        <f>R1147+0.05</f>
        <v/>
      </c>
      <c r="S1148">
        <f>S1147+0.01</f>
        <v/>
      </c>
      <c r="T1148">
        <f>T1147+0.7</f>
        <v/>
      </c>
      <c r="U1148">
        <f>U1147+1.1</f>
        <v/>
      </c>
      <c r="V1148">
        <f>V1147+0.25</f>
        <v/>
      </c>
      <c r="W1148">
        <f>W1147+0.5</f>
        <v/>
      </c>
    </row>
    <row r="1149">
      <c r="E1149">
        <f>O1149=ROUND(1138*0.1,10)</f>
        <v/>
      </c>
      <c r="F1149">
        <f>P1149=ROUND(1138*0.2,10)</f>
        <v/>
      </c>
      <c r="G1149">
        <f>Q1149=ROUND(1138*0.3,10)</f>
        <v/>
      </c>
      <c r="H1149">
        <f>R1149=ROUND(1138*0.05,10)</f>
        <v/>
      </c>
      <c r="I1149">
        <f>S1149=ROUND(1138*0.01,10)</f>
        <v/>
      </c>
      <c r="J1149">
        <f>T1149=ROUND(1138*0.7,10)</f>
        <v/>
      </c>
      <c r="K1149">
        <f>U1149=ROUND(1138*1.1,10)</f>
        <v/>
      </c>
      <c r="L1149">
        <f>V1149=ROUND(1138*0.25,10)</f>
        <v/>
      </c>
      <c r="M1149">
        <f>W1149=ROUND(1138*0.5,10)</f>
        <v/>
      </c>
      <c r="O1149">
        <f>O1148+0.1</f>
        <v/>
      </c>
      <c r="P1149">
        <f>P1148+0.2</f>
        <v/>
      </c>
      <c r="Q1149">
        <f>Q1148+0.3</f>
        <v/>
      </c>
      <c r="R1149">
        <f>R1148+0.05</f>
        <v/>
      </c>
      <c r="S1149">
        <f>S1148+0.01</f>
        <v/>
      </c>
      <c r="T1149">
        <f>T1148+0.7</f>
        <v/>
      </c>
      <c r="U1149">
        <f>U1148+1.1</f>
        <v/>
      </c>
      <c r="V1149">
        <f>V1148+0.25</f>
        <v/>
      </c>
      <c r="W1149">
        <f>W1148+0.5</f>
        <v/>
      </c>
    </row>
    <row r="1150">
      <c r="E1150">
        <f>O1150=ROUND(1139*0.1,10)</f>
        <v/>
      </c>
      <c r="F1150">
        <f>P1150=ROUND(1139*0.2,10)</f>
        <v/>
      </c>
      <c r="G1150">
        <f>Q1150=ROUND(1139*0.3,10)</f>
        <v/>
      </c>
      <c r="H1150">
        <f>R1150=ROUND(1139*0.05,10)</f>
        <v/>
      </c>
      <c r="I1150">
        <f>S1150=ROUND(1139*0.01,10)</f>
        <v/>
      </c>
      <c r="J1150">
        <f>T1150=ROUND(1139*0.7,10)</f>
        <v/>
      </c>
      <c r="K1150">
        <f>U1150=ROUND(1139*1.1,10)</f>
        <v/>
      </c>
      <c r="L1150">
        <f>V1150=ROUND(1139*0.25,10)</f>
        <v/>
      </c>
      <c r="M1150">
        <f>W1150=ROUND(1139*0.5,10)</f>
        <v/>
      </c>
      <c r="O1150">
        <f>O1149+0.1</f>
        <v/>
      </c>
      <c r="P1150">
        <f>P1149+0.2</f>
        <v/>
      </c>
      <c r="Q1150">
        <f>Q1149+0.3</f>
        <v/>
      </c>
      <c r="R1150">
        <f>R1149+0.05</f>
        <v/>
      </c>
      <c r="S1150">
        <f>S1149+0.01</f>
        <v/>
      </c>
      <c r="T1150">
        <f>T1149+0.7</f>
        <v/>
      </c>
      <c r="U1150">
        <f>U1149+1.1</f>
        <v/>
      </c>
      <c r="V1150">
        <f>V1149+0.25</f>
        <v/>
      </c>
      <c r="W1150">
        <f>W1149+0.5</f>
        <v/>
      </c>
    </row>
    <row r="1151">
      <c r="E1151">
        <f>O1151=ROUND(1140*0.1,10)</f>
        <v/>
      </c>
      <c r="F1151">
        <f>P1151=ROUND(1140*0.2,10)</f>
        <v/>
      </c>
      <c r="G1151">
        <f>Q1151=ROUND(1140*0.3,10)</f>
        <v/>
      </c>
      <c r="H1151">
        <f>R1151=ROUND(1140*0.05,10)</f>
        <v/>
      </c>
      <c r="I1151">
        <f>S1151=ROUND(1140*0.01,10)</f>
        <v/>
      </c>
      <c r="J1151">
        <f>T1151=ROUND(1140*0.7,10)</f>
        <v/>
      </c>
      <c r="K1151">
        <f>U1151=ROUND(1140*1.1,10)</f>
        <v/>
      </c>
      <c r="L1151">
        <f>V1151=ROUND(1140*0.25,10)</f>
        <v/>
      </c>
      <c r="M1151">
        <f>W1151=ROUND(1140*0.5,10)</f>
        <v/>
      </c>
      <c r="O1151">
        <f>O1150+0.1</f>
        <v/>
      </c>
      <c r="P1151">
        <f>P1150+0.2</f>
        <v/>
      </c>
      <c r="Q1151">
        <f>Q1150+0.3</f>
        <v/>
      </c>
      <c r="R1151">
        <f>R1150+0.05</f>
        <v/>
      </c>
      <c r="S1151">
        <f>S1150+0.01</f>
        <v/>
      </c>
      <c r="T1151">
        <f>T1150+0.7</f>
        <v/>
      </c>
      <c r="U1151">
        <f>U1150+1.1</f>
        <v/>
      </c>
      <c r="V1151">
        <f>V1150+0.25</f>
        <v/>
      </c>
      <c r="W1151">
        <f>W1150+0.5</f>
        <v/>
      </c>
    </row>
    <row r="1152">
      <c r="E1152">
        <f>O1152=ROUND(1141*0.1,10)</f>
        <v/>
      </c>
      <c r="F1152">
        <f>P1152=ROUND(1141*0.2,10)</f>
        <v/>
      </c>
      <c r="G1152">
        <f>Q1152=ROUND(1141*0.3,10)</f>
        <v/>
      </c>
      <c r="H1152">
        <f>R1152=ROUND(1141*0.05,10)</f>
        <v/>
      </c>
      <c r="I1152">
        <f>S1152=ROUND(1141*0.01,10)</f>
        <v/>
      </c>
      <c r="J1152">
        <f>T1152=ROUND(1141*0.7,10)</f>
        <v/>
      </c>
      <c r="K1152">
        <f>U1152=ROUND(1141*1.1,10)</f>
        <v/>
      </c>
      <c r="L1152">
        <f>V1152=ROUND(1141*0.25,10)</f>
        <v/>
      </c>
      <c r="M1152">
        <f>W1152=ROUND(1141*0.5,10)</f>
        <v/>
      </c>
      <c r="O1152">
        <f>O1151+0.1</f>
        <v/>
      </c>
      <c r="P1152">
        <f>P1151+0.2</f>
        <v/>
      </c>
      <c r="Q1152">
        <f>Q1151+0.3</f>
        <v/>
      </c>
      <c r="R1152">
        <f>R1151+0.05</f>
        <v/>
      </c>
      <c r="S1152">
        <f>S1151+0.01</f>
        <v/>
      </c>
      <c r="T1152">
        <f>T1151+0.7</f>
        <v/>
      </c>
      <c r="U1152">
        <f>U1151+1.1</f>
        <v/>
      </c>
      <c r="V1152">
        <f>V1151+0.25</f>
        <v/>
      </c>
      <c r="W1152">
        <f>W1151+0.5</f>
        <v/>
      </c>
    </row>
    <row r="1153">
      <c r="E1153">
        <f>O1153=ROUND(1142*0.1,10)</f>
        <v/>
      </c>
      <c r="F1153">
        <f>P1153=ROUND(1142*0.2,10)</f>
        <v/>
      </c>
      <c r="G1153">
        <f>Q1153=ROUND(1142*0.3,10)</f>
        <v/>
      </c>
      <c r="H1153">
        <f>R1153=ROUND(1142*0.05,10)</f>
        <v/>
      </c>
      <c r="I1153">
        <f>S1153=ROUND(1142*0.01,10)</f>
        <v/>
      </c>
      <c r="J1153">
        <f>T1153=ROUND(1142*0.7,10)</f>
        <v/>
      </c>
      <c r="K1153">
        <f>U1153=ROUND(1142*1.1,10)</f>
        <v/>
      </c>
      <c r="L1153">
        <f>V1153=ROUND(1142*0.25,10)</f>
        <v/>
      </c>
      <c r="M1153">
        <f>W1153=ROUND(1142*0.5,10)</f>
        <v/>
      </c>
      <c r="O1153">
        <f>O1152+0.1</f>
        <v/>
      </c>
      <c r="P1153">
        <f>P1152+0.2</f>
        <v/>
      </c>
      <c r="Q1153">
        <f>Q1152+0.3</f>
        <v/>
      </c>
      <c r="R1153">
        <f>R1152+0.05</f>
        <v/>
      </c>
      <c r="S1153">
        <f>S1152+0.01</f>
        <v/>
      </c>
      <c r="T1153">
        <f>T1152+0.7</f>
        <v/>
      </c>
      <c r="U1153">
        <f>U1152+1.1</f>
        <v/>
      </c>
      <c r="V1153">
        <f>V1152+0.25</f>
        <v/>
      </c>
      <c r="W1153">
        <f>W1152+0.5</f>
        <v/>
      </c>
    </row>
    <row r="1154">
      <c r="E1154">
        <f>O1154=ROUND(1143*0.1,10)</f>
        <v/>
      </c>
      <c r="F1154">
        <f>P1154=ROUND(1143*0.2,10)</f>
        <v/>
      </c>
      <c r="G1154">
        <f>Q1154=ROUND(1143*0.3,10)</f>
        <v/>
      </c>
      <c r="H1154">
        <f>R1154=ROUND(1143*0.05,10)</f>
        <v/>
      </c>
      <c r="I1154">
        <f>S1154=ROUND(1143*0.01,10)</f>
        <v/>
      </c>
      <c r="J1154">
        <f>T1154=ROUND(1143*0.7,10)</f>
        <v/>
      </c>
      <c r="K1154">
        <f>U1154=ROUND(1143*1.1,10)</f>
        <v/>
      </c>
      <c r="L1154">
        <f>V1154=ROUND(1143*0.25,10)</f>
        <v/>
      </c>
      <c r="M1154">
        <f>W1154=ROUND(1143*0.5,10)</f>
        <v/>
      </c>
      <c r="O1154">
        <f>O1153+0.1</f>
        <v/>
      </c>
      <c r="P1154">
        <f>P1153+0.2</f>
        <v/>
      </c>
      <c r="Q1154">
        <f>Q1153+0.3</f>
        <v/>
      </c>
      <c r="R1154">
        <f>R1153+0.05</f>
        <v/>
      </c>
      <c r="S1154">
        <f>S1153+0.01</f>
        <v/>
      </c>
      <c r="T1154">
        <f>T1153+0.7</f>
        <v/>
      </c>
      <c r="U1154">
        <f>U1153+1.1</f>
        <v/>
      </c>
      <c r="V1154">
        <f>V1153+0.25</f>
        <v/>
      </c>
      <c r="W1154">
        <f>W1153+0.5</f>
        <v/>
      </c>
    </row>
    <row r="1155">
      <c r="E1155">
        <f>O1155=ROUND(1144*0.1,10)</f>
        <v/>
      </c>
      <c r="F1155">
        <f>P1155=ROUND(1144*0.2,10)</f>
        <v/>
      </c>
      <c r="G1155">
        <f>Q1155=ROUND(1144*0.3,10)</f>
        <v/>
      </c>
      <c r="H1155">
        <f>R1155=ROUND(1144*0.05,10)</f>
        <v/>
      </c>
      <c r="I1155">
        <f>S1155=ROUND(1144*0.01,10)</f>
        <v/>
      </c>
      <c r="J1155">
        <f>T1155=ROUND(1144*0.7,10)</f>
        <v/>
      </c>
      <c r="K1155">
        <f>U1155=ROUND(1144*1.1,10)</f>
        <v/>
      </c>
      <c r="L1155">
        <f>V1155=ROUND(1144*0.25,10)</f>
        <v/>
      </c>
      <c r="M1155">
        <f>W1155=ROUND(1144*0.5,10)</f>
        <v/>
      </c>
      <c r="O1155">
        <f>O1154+0.1</f>
        <v/>
      </c>
      <c r="P1155">
        <f>P1154+0.2</f>
        <v/>
      </c>
      <c r="Q1155">
        <f>Q1154+0.3</f>
        <v/>
      </c>
      <c r="R1155">
        <f>R1154+0.05</f>
        <v/>
      </c>
      <c r="S1155">
        <f>S1154+0.01</f>
        <v/>
      </c>
      <c r="T1155">
        <f>T1154+0.7</f>
        <v/>
      </c>
      <c r="U1155">
        <f>U1154+1.1</f>
        <v/>
      </c>
      <c r="V1155">
        <f>V1154+0.25</f>
        <v/>
      </c>
      <c r="W1155">
        <f>W1154+0.5</f>
        <v/>
      </c>
    </row>
    <row r="1156">
      <c r="E1156">
        <f>O1156=ROUND(1145*0.1,10)</f>
        <v/>
      </c>
      <c r="F1156">
        <f>P1156=ROUND(1145*0.2,10)</f>
        <v/>
      </c>
      <c r="G1156">
        <f>Q1156=ROUND(1145*0.3,10)</f>
        <v/>
      </c>
      <c r="H1156">
        <f>R1156=ROUND(1145*0.05,10)</f>
        <v/>
      </c>
      <c r="I1156">
        <f>S1156=ROUND(1145*0.01,10)</f>
        <v/>
      </c>
      <c r="J1156">
        <f>T1156=ROUND(1145*0.7,10)</f>
        <v/>
      </c>
      <c r="K1156">
        <f>U1156=ROUND(1145*1.1,10)</f>
        <v/>
      </c>
      <c r="L1156">
        <f>V1156=ROUND(1145*0.25,10)</f>
        <v/>
      </c>
      <c r="M1156">
        <f>W1156=ROUND(1145*0.5,10)</f>
        <v/>
      </c>
      <c r="O1156">
        <f>O1155+0.1</f>
        <v/>
      </c>
      <c r="P1156">
        <f>P1155+0.2</f>
        <v/>
      </c>
      <c r="Q1156">
        <f>Q1155+0.3</f>
        <v/>
      </c>
      <c r="R1156">
        <f>R1155+0.05</f>
        <v/>
      </c>
      <c r="S1156">
        <f>S1155+0.01</f>
        <v/>
      </c>
      <c r="T1156">
        <f>T1155+0.7</f>
        <v/>
      </c>
      <c r="U1156">
        <f>U1155+1.1</f>
        <v/>
      </c>
      <c r="V1156">
        <f>V1155+0.25</f>
        <v/>
      </c>
      <c r="W1156">
        <f>W1155+0.5</f>
        <v/>
      </c>
    </row>
    <row r="1157">
      <c r="E1157">
        <f>O1157=ROUND(1146*0.1,10)</f>
        <v/>
      </c>
      <c r="F1157">
        <f>P1157=ROUND(1146*0.2,10)</f>
        <v/>
      </c>
      <c r="G1157">
        <f>Q1157=ROUND(1146*0.3,10)</f>
        <v/>
      </c>
      <c r="H1157">
        <f>R1157=ROUND(1146*0.05,10)</f>
        <v/>
      </c>
      <c r="I1157">
        <f>S1157=ROUND(1146*0.01,10)</f>
        <v/>
      </c>
      <c r="J1157">
        <f>T1157=ROUND(1146*0.7,10)</f>
        <v/>
      </c>
      <c r="K1157">
        <f>U1157=ROUND(1146*1.1,10)</f>
        <v/>
      </c>
      <c r="L1157">
        <f>V1157=ROUND(1146*0.25,10)</f>
        <v/>
      </c>
      <c r="M1157">
        <f>W1157=ROUND(1146*0.5,10)</f>
        <v/>
      </c>
      <c r="O1157">
        <f>O1156+0.1</f>
        <v/>
      </c>
      <c r="P1157">
        <f>P1156+0.2</f>
        <v/>
      </c>
      <c r="Q1157">
        <f>Q1156+0.3</f>
        <v/>
      </c>
      <c r="R1157">
        <f>R1156+0.05</f>
        <v/>
      </c>
      <c r="S1157">
        <f>S1156+0.01</f>
        <v/>
      </c>
      <c r="T1157">
        <f>T1156+0.7</f>
        <v/>
      </c>
      <c r="U1157">
        <f>U1156+1.1</f>
        <v/>
      </c>
      <c r="V1157">
        <f>V1156+0.25</f>
        <v/>
      </c>
      <c r="W1157">
        <f>W1156+0.5</f>
        <v/>
      </c>
    </row>
    <row r="1158">
      <c r="E1158">
        <f>O1158=ROUND(1147*0.1,10)</f>
        <v/>
      </c>
      <c r="F1158">
        <f>P1158=ROUND(1147*0.2,10)</f>
        <v/>
      </c>
      <c r="G1158">
        <f>Q1158=ROUND(1147*0.3,10)</f>
        <v/>
      </c>
      <c r="H1158">
        <f>R1158=ROUND(1147*0.05,10)</f>
        <v/>
      </c>
      <c r="I1158">
        <f>S1158=ROUND(1147*0.01,10)</f>
        <v/>
      </c>
      <c r="J1158">
        <f>T1158=ROUND(1147*0.7,10)</f>
        <v/>
      </c>
      <c r="K1158">
        <f>U1158=ROUND(1147*1.1,10)</f>
        <v/>
      </c>
      <c r="L1158">
        <f>V1158=ROUND(1147*0.25,10)</f>
        <v/>
      </c>
      <c r="M1158">
        <f>W1158=ROUND(1147*0.5,10)</f>
        <v/>
      </c>
      <c r="O1158">
        <f>O1157+0.1</f>
        <v/>
      </c>
      <c r="P1158">
        <f>P1157+0.2</f>
        <v/>
      </c>
      <c r="Q1158">
        <f>Q1157+0.3</f>
        <v/>
      </c>
      <c r="R1158">
        <f>R1157+0.05</f>
        <v/>
      </c>
      <c r="S1158">
        <f>S1157+0.01</f>
        <v/>
      </c>
      <c r="T1158">
        <f>T1157+0.7</f>
        <v/>
      </c>
      <c r="U1158">
        <f>U1157+1.1</f>
        <v/>
      </c>
      <c r="V1158">
        <f>V1157+0.25</f>
        <v/>
      </c>
      <c r="W1158">
        <f>W1157+0.5</f>
        <v/>
      </c>
    </row>
    <row r="1159">
      <c r="E1159">
        <f>O1159=ROUND(1148*0.1,10)</f>
        <v/>
      </c>
      <c r="F1159">
        <f>P1159=ROUND(1148*0.2,10)</f>
        <v/>
      </c>
      <c r="G1159">
        <f>Q1159=ROUND(1148*0.3,10)</f>
        <v/>
      </c>
      <c r="H1159">
        <f>R1159=ROUND(1148*0.05,10)</f>
        <v/>
      </c>
      <c r="I1159">
        <f>S1159=ROUND(1148*0.01,10)</f>
        <v/>
      </c>
      <c r="J1159">
        <f>T1159=ROUND(1148*0.7,10)</f>
        <v/>
      </c>
      <c r="K1159">
        <f>U1159=ROUND(1148*1.1,10)</f>
        <v/>
      </c>
      <c r="L1159">
        <f>V1159=ROUND(1148*0.25,10)</f>
        <v/>
      </c>
      <c r="M1159">
        <f>W1159=ROUND(1148*0.5,10)</f>
        <v/>
      </c>
      <c r="O1159">
        <f>O1158+0.1</f>
        <v/>
      </c>
      <c r="P1159">
        <f>P1158+0.2</f>
        <v/>
      </c>
      <c r="Q1159">
        <f>Q1158+0.3</f>
        <v/>
      </c>
      <c r="R1159">
        <f>R1158+0.05</f>
        <v/>
      </c>
      <c r="S1159">
        <f>S1158+0.01</f>
        <v/>
      </c>
      <c r="T1159">
        <f>T1158+0.7</f>
        <v/>
      </c>
      <c r="U1159">
        <f>U1158+1.1</f>
        <v/>
      </c>
      <c r="V1159">
        <f>V1158+0.25</f>
        <v/>
      </c>
      <c r="W1159">
        <f>W1158+0.5</f>
        <v/>
      </c>
    </row>
    <row r="1160">
      <c r="E1160">
        <f>O1160=ROUND(1149*0.1,10)</f>
        <v/>
      </c>
      <c r="F1160">
        <f>P1160=ROUND(1149*0.2,10)</f>
        <v/>
      </c>
      <c r="G1160">
        <f>Q1160=ROUND(1149*0.3,10)</f>
        <v/>
      </c>
      <c r="H1160">
        <f>R1160=ROUND(1149*0.05,10)</f>
        <v/>
      </c>
      <c r="I1160">
        <f>S1160=ROUND(1149*0.01,10)</f>
        <v/>
      </c>
      <c r="J1160">
        <f>T1160=ROUND(1149*0.7,10)</f>
        <v/>
      </c>
      <c r="K1160">
        <f>U1160=ROUND(1149*1.1,10)</f>
        <v/>
      </c>
      <c r="L1160">
        <f>V1160=ROUND(1149*0.25,10)</f>
        <v/>
      </c>
      <c r="M1160">
        <f>W1160=ROUND(1149*0.5,10)</f>
        <v/>
      </c>
      <c r="O1160">
        <f>O1159+0.1</f>
        <v/>
      </c>
      <c r="P1160">
        <f>P1159+0.2</f>
        <v/>
      </c>
      <c r="Q1160">
        <f>Q1159+0.3</f>
        <v/>
      </c>
      <c r="R1160">
        <f>R1159+0.05</f>
        <v/>
      </c>
      <c r="S1160">
        <f>S1159+0.01</f>
        <v/>
      </c>
      <c r="T1160">
        <f>T1159+0.7</f>
        <v/>
      </c>
      <c r="U1160">
        <f>U1159+1.1</f>
        <v/>
      </c>
      <c r="V1160">
        <f>V1159+0.25</f>
        <v/>
      </c>
      <c r="W1160">
        <f>W1159+0.5</f>
        <v/>
      </c>
    </row>
    <row r="1161">
      <c r="E1161">
        <f>O1161=ROUND(1150*0.1,10)</f>
        <v/>
      </c>
      <c r="F1161">
        <f>P1161=ROUND(1150*0.2,10)</f>
        <v/>
      </c>
      <c r="G1161">
        <f>Q1161=ROUND(1150*0.3,10)</f>
        <v/>
      </c>
      <c r="H1161">
        <f>R1161=ROUND(1150*0.05,10)</f>
        <v/>
      </c>
      <c r="I1161">
        <f>S1161=ROUND(1150*0.01,10)</f>
        <v/>
      </c>
      <c r="J1161">
        <f>T1161=ROUND(1150*0.7,10)</f>
        <v/>
      </c>
      <c r="K1161">
        <f>U1161=ROUND(1150*1.1,10)</f>
        <v/>
      </c>
      <c r="L1161">
        <f>V1161=ROUND(1150*0.25,10)</f>
        <v/>
      </c>
      <c r="M1161">
        <f>W1161=ROUND(1150*0.5,10)</f>
        <v/>
      </c>
      <c r="O1161">
        <f>O1160+0.1</f>
        <v/>
      </c>
      <c r="P1161">
        <f>P1160+0.2</f>
        <v/>
      </c>
      <c r="Q1161">
        <f>Q1160+0.3</f>
        <v/>
      </c>
      <c r="R1161">
        <f>R1160+0.05</f>
        <v/>
      </c>
      <c r="S1161">
        <f>S1160+0.01</f>
        <v/>
      </c>
      <c r="T1161">
        <f>T1160+0.7</f>
        <v/>
      </c>
      <c r="U1161">
        <f>U1160+1.1</f>
        <v/>
      </c>
      <c r="V1161">
        <f>V1160+0.25</f>
        <v/>
      </c>
      <c r="W1161">
        <f>W1160+0.5</f>
        <v/>
      </c>
    </row>
    <row r="1162">
      <c r="E1162">
        <f>O1162=ROUND(1151*0.1,10)</f>
        <v/>
      </c>
      <c r="F1162">
        <f>P1162=ROUND(1151*0.2,10)</f>
        <v/>
      </c>
      <c r="G1162">
        <f>Q1162=ROUND(1151*0.3,10)</f>
        <v/>
      </c>
      <c r="H1162">
        <f>R1162=ROUND(1151*0.05,10)</f>
        <v/>
      </c>
      <c r="I1162">
        <f>S1162=ROUND(1151*0.01,10)</f>
        <v/>
      </c>
      <c r="J1162">
        <f>T1162=ROUND(1151*0.7,10)</f>
        <v/>
      </c>
      <c r="K1162">
        <f>U1162=ROUND(1151*1.1,10)</f>
        <v/>
      </c>
      <c r="L1162">
        <f>V1162=ROUND(1151*0.25,10)</f>
        <v/>
      </c>
      <c r="M1162">
        <f>W1162=ROUND(1151*0.5,10)</f>
        <v/>
      </c>
      <c r="O1162">
        <f>O1161+0.1</f>
        <v/>
      </c>
      <c r="P1162">
        <f>P1161+0.2</f>
        <v/>
      </c>
      <c r="Q1162">
        <f>Q1161+0.3</f>
        <v/>
      </c>
      <c r="R1162">
        <f>R1161+0.05</f>
        <v/>
      </c>
      <c r="S1162">
        <f>S1161+0.01</f>
        <v/>
      </c>
      <c r="T1162">
        <f>T1161+0.7</f>
        <v/>
      </c>
      <c r="U1162">
        <f>U1161+1.1</f>
        <v/>
      </c>
      <c r="V1162">
        <f>V1161+0.25</f>
        <v/>
      </c>
      <c r="W1162">
        <f>W1161+0.5</f>
        <v/>
      </c>
    </row>
    <row r="1163">
      <c r="E1163">
        <f>O1163=ROUND(1152*0.1,10)</f>
        <v/>
      </c>
      <c r="F1163">
        <f>P1163=ROUND(1152*0.2,10)</f>
        <v/>
      </c>
      <c r="G1163">
        <f>Q1163=ROUND(1152*0.3,10)</f>
        <v/>
      </c>
      <c r="H1163">
        <f>R1163=ROUND(1152*0.05,10)</f>
        <v/>
      </c>
      <c r="I1163">
        <f>S1163=ROUND(1152*0.01,10)</f>
        <v/>
      </c>
      <c r="J1163">
        <f>T1163=ROUND(1152*0.7,10)</f>
        <v/>
      </c>
      <c r="K1163">
        <f>U1163=ROUND(1152*1.1,10)</f>
        <v/>
      </c>
      <c r="L1163">
        <f>V1163=ROUND(1152*0.25,10)</f>
        <v/>
      </c>
      <c r="M1163">
        <f>W1163=ROUND(1152*0.5,10)</f>
        <v/>
      </c>
      <c r="O1163">
        <f>O1162+0.1</f>
        <v/>
      </c>
      <c r="P1163">
        <f>P1162+0.2</f>
        <v/>
      </c>
      <c r="Q1163">
        <f>Q1162+0.3</f>
        <v/>
      </c>
      <c r="R1163">
        <f>R1162+0.05</f>
        <v/>
      </c>
      <c r="S1163">
        <f>S1162+0.01</f>
        <v/>
      </c>
      <c r="T1163">
        <f>T1162+0.7</f>
        <v/>
      </c>
      <c r="U1163">
        <f>U1162+1.1</f>
        <v/>
      </c>
      <c r="V1163">
        <f>V1162+0.25</f>
        <v/>
      </c>
      <c r="W1163">
        <f>W1162+0.5</f>
        <v/>
      </c>
    </row>
    <row r="1164">
      <c r="E1164">
        <f>O1164=ROUND(1153*0.1,10)</f>
        <v/>
      </c>
      <c r="F1164">
        <f>P1164=ROUND(1153*0.2,10)</f>
        <v/>
      </c>
      <c r="G1164">
        <f>Q1164=ROUND(1153*0.3,10)</f>
        <v/>
      </c>
      <c r="H1164">
        <f>R1164=ROUND(1153*0.05,10)</f>
        <v/>
      </c>
      <c r="I1164">
        <f>S1164=ROUND(1153*0.01,10)</f>
        <v/>
      </c>
      <c r="J1164">
        <f>T1164=ROUND(1153*0.7,10)</f>
        <v/>
      </c>
      <c r="K1164">
        <f>U1164=ROUND(1153*1.1,10)</f>
        <v/>
      </c>
      <c r="L1164">
        <f>V1164=ROUND(1153*0.25,10)</f>
        <v/>
      </c>
      <c r="M1164">
        <f>W1164=ROUND(1153*0.5,10)</f>
        <v/>
      </c>
      <c r="O1164">
        <f>O1163+0.1</f>
        <v/>
      </c>
      <c r="P1164">
        <f>P1163+0.2</f>
        <v/>
      </c>
      <c r="Q1164">
        <f>Q1163+0.3</f>
        <v/>
      </c>
      <c r="R1164">
        <f>R1163+0.05</f>
        <v/>
      </c>
      <c r="S1164">
        <f>S1163+0.01</f>
        <v/>
      </c>
      <c r="T1164">
        <f>T1163+0.7</f>
        <v/>
      </c>
      <c r="U1164">
        <f>U1163+1.1</f>
        <v/>
      </c>
      <c r="V1164">
        <f>V1163+0.25</f>
        <v/>
      </c>
      <c r="W1164">
        <f>W1163+0.5</f>
        <v/>
      </c>
    </row>
    <row r="1165">
      <c r="E1165">
        <f>O1165=ROUND(1154*0.1,10)</f>
        <v/>
      </c>
      <c r="F1165">
        <f>P1165=ROUND(1154*0.2,10)</f>
        <v/>
      </c>
      <c r="G1165">
        <f>Q1165=ROUND(1154*0.3,10)</f>
        <v/>
      </c>
      <c r="H1165">
        <f>R1165=ROUND(1154*0.05,10)</f>
        <v/>
      </c>
      <c r="I1165">
        <f>S1165=ROUND(1154*0.01,10)</f>
        <v/>
      </c>
      <c r="J1165">
        <f>T1165=ROUND(1154*0.7,10)</f>
        <v/>
      </c>
      <c r="K1165">
        <f>U1165=ROUND(1154*1.1,10)</f>
        <v/>
      </c>
      <c r="L1165">
        <f>V1165=ROUND(1154*0.25,10)</f>
        <v/>
      </c>
      <c r="M1165">
        <f>W1165=ROUND(1154*0.5,10)</f>
        <v/>
      </c>
      <c r="O1165">
        <f>O1164+0.1</f>
        <v/>
      </c>
      <c r="P1165">
        <f>P1164+0.2</f>
        <v/>
      </c>
      <c r="Q1165">
        <f>Q1164+0.3</f>
        <v/>
      </c>
      <c r="R1165">
        <f>R1164+0.05</f>
        <v/>
      </c>
      <c r="S1165">
        <f>S1164+0.01</f>
        <v/>
      </c>
      <c r="T1165">
        <f>T1164+0.7</f>
        <v/>
      </c>
      <c r="U1165">
        <f>U1164+1.1</f>
        <v/>
      </c>
      <c r="V1165">
        <f>V1164+0.25</f>
        <v/>
      </c>
      <c r="W1165">
        <f>W1164+0.5</f>
        <v/>
      </c>
    </row>
    <row r="1166">
      <c r="E1166">
        <f>O1166=ROUND(1155*0.1,10)</f>
        <v/>
      </c>
      <c r="F1166">
        <f>P1166=ROUND(1155*0.2,10)</f>
        <v/>
      </c>
      <c r="G1166">
        <f>Q1166=ROUND(1155*0.3,10)</f>
        <v/>
      </c>
      <c r="H1166">
        <f>R1166=ROUND(1155*0.05,10)</f>
        <v/>
      </c>
      <c r="I1166">
        <f>S1166=ROUND(1155*0.01,10)</f>
        <v/>
      </c>
      <c r="J1166">
        <f>T1166=ROUND(1155*0.7,10)</f>
        <v/>
      </c>
      <c r="K1166">
        <f>U1166=ROUND(1155*1.1,10)</f>
        <v/>
      </c>
      <c r="L1166">
        <f>V1166=ROUND(1155*0.25,10)</f>
        <v/>
      </c>
      <c r="M1166">
        <f>W1166=ROUND(1155*0.5,10)</f>
        <v/>
      </c>
      <c r="O1166">
        <f>O1165+0.1</f>
        <v/>
      </c>
      <c r="P1166">
        <f>P1165+0.2</f>
        <v/>
      </c>
      <c r="Q1166">
        <f>Q1165+0.3</f>
        <v/>
      </c>
      <c r="R1166">
        <f>R1165+0.05</f>
        <v/>
      </c>
      <c r="S1166">
        <f>S1165+0.01</f>
        <v/>
      </c>
      <c r="T1166">
        <f>T1165+0.7</f>
        <v/>
      </c>
      <c r="U1166">
        <f>U1165+1.1</f>
        <v/>
      </c>
      <c r="V1166">
        <f>V1165+0.25</f>
        <v/>
      </c>
      <c r="W1166">
        <f>W1165+0.5</f>
        <v/>
      </c>
    </row>
    <row r="1167">
      <c r="E1167">
        <f>O1167=ROUND(1156*0.1,10)</f>
        <v/>
      </c>
      <c r="F1167">
        <f>P1167=ROUND(1156*0.2,10)</f>
        <v/>
      </c>
      <c r="G1167">
        <f>Q1167=ROUND(1156*0.3,10)</f>
        <v/>
      </c>
      <c r="H1167">
        <f>R1167=ROUND(1156*0.05,10)</f>
        <v/>
      </c>
      <c r="I1167">
        <f>S1167=ROUND(1156*0.01,10)</f>
        <v/>
      </c>
      <c r="J1167">
        <f>T1167=ROUND(1156*0.7,10)</f>
        <v/>
      </c>
      <c r="K1167">
        <f>U1167=ROUND(1156*1.1,10)</f>
        <v/>
      </c>
      <c r="L1167">
        <f>V1167=ROUND(1156*0.25,10)</f>
        <v/>
      </c>
      <c r="M1167">
        <f>W1167=ROUND(1156*0.5,10)</f>
        <v/>
      </c>
      <c r="O1167">
        <f>O1166+0.1</f>
        <v/>
      </c>
      <c r="P1167">
        <f>P1166+0.2</f>
        <v/>
      </c>
      <c r="Q1167">
        <f>Q1166+0.3</f>
        <v/>
      </c>
      <c r="R1167">
        <f>R1166+0.05</f>
        <v/>
      </c>
      <c r="S1167">
        <f>S1166+0.01</f>
        <v/>
      </c>
      <c r="T1167">
        <f>T1166+0.7</f>
        <v/>
      </c>
      <c r="U1167">
        <f>U1166+1.1</f>
        <v/>
      </c>
      <c r="V1167">
        <f>V1166+0.25</f>
        <v/>
      </c>
      <c r="W1167">
        <f>W1166+0.5</f>
        <v/>
      </c>
    </row>
    <row r="1168">
      <c r="E1168">
        <f>O1168=ROUND(1157*0.1,10)</f>
        <v/>
      </c>
      <c r="F1168">
        <f>P1168=ROUND(1157*0.2,10)</f>
        <v/>
      </c>
      <c r="G1168">
        <f>Q1168=ROUND(1157*0.3,10)</f>
        <v/>
      </c>
      <c r="H1168">
        <f>R1168=ROUND(1157*0.05,10)</f>
        <v/>
      </c>
      <c r="I1168">
        <f>S1168=ROUND(1157*0.01,10)</f>
        <v/>
      </c>
      <c r="J1168">
        <f>T1168=ROUND(1157*0.7,10)</f>
        <v/>
      </c>
      <c r="K1168">
        <f>U1168=ROUND(1157*1.1,10)</f>
        <v/>
      </c>
      <c r="L1168">
        <f>V1168=ROUND(1157*0.25,10)</f>
        <v/>
      </c>
      <c r="M1168">
        <f>W1168=ROUND(1157*0.5,10)</f>
        <v/>
      </c>
      <c r="O1168">
        <f>O1167+0.1</f>
        <v/>
      </c>
      <c r="P1168">
        <f>P1167+0.2</f>
        <v/>
      </c>
      <c r="Q1168">
        <f>Q1167+0.3</f>
        <v/>
      </c>
      <c r="R1168">
        <f>R1167+0.05</f>
        <v/>
      </c>
      <c r="S1168">
        <f>S1167+0.01</f>
        <v/>
      </c>
      <c r="T1168">
        <f>T1167+0.7</f>
        <v/>
      </c>
      <c r="U1168">
        <f>U1167+1.1</f>
        <v/>
      </c>
      <c r="V1168">
        <f>V1167+0.25</f>
        <v/>
      </c>
      <c r="W1168">
        <f>W1167+0.5</f>
        <v/>
      </c>
    </row>
    <row r="1169">
      <c r="E1169">
        <f>O1169=ROUND(1158*0.1,10)</f>
        <v/>
      </c>
      <c r="F1169">
        <f>P1169=ROUND(1158*0.2,10)</f>
        <v/>
      </c>
      <c r="G1169">
        <f>Q1169=ROUND(1158*0.3,10)</f>
        <v/>
      </c>
      <c r="H1169">
        <f>R1169=ROUND(1158*0.05,10)</f>
        <v/>
      </c>
      <c r="I1169">
        <f>S1169=ROUND(1158*0.01,10)</f>
        <v/>
      </c>
      <c r="J1169">
        <f>T1169=ROUND(1158*0.7,10)</f>
        <v/>
      </c>
      <c r="K1169">
        <f>U1169=ROUND(1158*1.1,10)</f>
        <v/>
      </c>
      <c r="L1169">
        <f>V1169=ROUND(1158*0.25,10)</f>
        <v/>
      </c>
      <c r="M1169">
        <f>W1169=ROUND(1158*0.5,10)</f>
        <v/>
      </c>
      <c r="O1169">
        <f>O1168+0.1</f>
        <v/>
      </c>
      <c r="P1169">
        <f>P1168+0.2</f>
        <v/>
      </c>
      <c r="Q1169">
        <f>Q1168+0.3</f>
        <v/>
      </c>
      <c r="R1169">
        <f>R1168+0.05</f>
        <v/>
      </c>
      <c r="S1169">
        <f>S1168+0.01</f>
        <v/>
      </c>
      <c r="T1169">
        <f>T1168+0.7</f>
        <v/>
      </c>
      <c r="U1169">
        <f>U1168+1.1</f>
        <v/>
      </c>
      <c r="V1169">
        <f>V1168+0.25</f>
        <v/>
      </c>
      <c r="W1169">
        <f>W1168+0.5</f>
        <v/>
      </c>
    </row>
    <row r="1170">
      <c r="E1170">
        <f>O1170=ROUND(1159*0.1,10)</f>
        <v/>
      </c>
      <c r="F1170">
        <f>P1170=ROUND(1159*0.2,10)</f>
        <v/>
      </c>
      <c r="G1170">
        <f>Q1170=ROUND(1159*0.3,10)</f>
        <v/>
      </c>
      <c r="H1170">
        <f>R1170=ROUND(1159*0.05,10)</f>
        <v/>
      </c>
      <c r="I1170">
        <f>S1170=ROUND(1159*0.01,10)</f>
        <v/>
      </c>
      <c r="J1170">
        <f>T1170=ROUND(1159*0.7,10)</f>
        <v/>
      </c>
      <c r="K1170">
        <f>U1170=ROUND(1159*1.1,10)</f>
        <v/>
      </c>
      <c r="L1170">
        <f>V1170=ROUND(1159*0.25,10)</f>
        <v/>
      </c>
      <c r="M1170">
        <f>W1170=ROUND(1159*0.5,10)</f>
        <v/>
      </c>
      <c r="O1170">
        <f>O1169+0.1</f>
        <v/>
      </c>
      <c r="P1170">
        <f>P1169+0.2</f>
        <v/>
      </c>
      <c r="Q1170">
        <f>Q1169+0.3</f>
        <v/>
      </c>
      <c r="R1170">
        <f>R1169+0.05</f>
        <v/>
      </c>
      <c r="S1170">
        <f>S1169+0.01</f>
        <v/>
      </c>
      <c r="T1170">
        <f>T1169+0.7</f>
        <v/>
      </c>
      <c r="U1170">
        <f>U1169+1.1</f>
        <v/>
      </c>
      <c r="V1170">
        <f>V1169+0.25</f>
        <v/>
      </c>
      <c r="W1170">
        <f>W1169+0.5</f>
        <v/>
      </c>
    </row>
    <row r="1171">
      <c r="E1171">
        <f>O1171=ROUND(1160*0.1,10)</f>
        <v/>
      </c>
      <c r="F1171">
        <f>P1171=ROUND(1160*0.2,10)</f>
        <v/>
      </c>
      <c r="G1171">
        <f>Q1171=ROUND(1160*0.3,10)</f>
        <v/>
      </c>
      <c r="H1171">
        <f>R1171=ROUND(1160*0.05,10)</f>
        <v/>
      </c>
      <c r="I1171">
        <f>S1171=ROUND(1160*0.01,10)</f>
        <v/>
      </c>
      <c r="J1171">
        <f>T1171=ROUND(1160*0.7,10)</f>
        <v/>
      </c>
      <c r="K1171">
        <f>U1171=ROUND(1160*1.1,10)</f>
        <v/>
      </c>
      <c r="L1171">
        <f>V1171=ROUND(1160*0.25,10)</f>
        <v/>
      </c>
      <c r="M1171">
        <f>W1171=ROUND(1160*0.5,10)</f>
        <v/>
      </c>
      <c r="O1171">
        <f>O1170+0.1</f>
        <v/>
      </c>
      <c r="P1171">
        <f>P1170+0.2</f>
        <v/>
      </c>
      <c r="Q1171">
        <f>Q1170+0.3</f>
        <v/>
      </c>
      <c r="R1171">
        <f>R1170+0.05</f>
        <v/>
      </c>
      <c r="S1171">
        <f>S1170+0.01</f>
        <v/>
      </c>
      <c r="T1171">
        <f>T1170+0.7</f>
        <v/>
      </c>
      <c r="U1171">
        <f>U1170+1.1</f>
        <v/>
      </c>
      <c r="V1171">
        <f>V1170+0.25</f>
        <v/>
      </c>
      <c r="W1171">
        <f>W1170+0.5</f>
        <v/>
      </c>
    </row>
    <row r="1172">
      <c r="E1172">
        <f>O1172=ROUND(1161*0.1,10)</f>
        <v/>
      </c>
      <c r="F1172">
        <f>P1172=ROUND(1161*0.2,10)</f>
        <v/>
      </c>
      <c r="G1172">
        <f>Q1172=ROUND(1161*0.3,10)</f>
        <v/>
      </c>
      <c r="H1172">
        <f>R1172=ROUND(1161*0.05,10)</f>
        <v/>
      </c>
      <c r="I1172">
        <f>S1172=ROUND(1161*0.01,10)</f>
        <v/>
      </c>
      <c r="J1172">
        <f>T1172=ROUND(1161*0.7,10)</f>
        <v/>
      </c>
      <c r="K1172">
        <f>U1172=ROUND(1161*1.1,10)</f>
        <v/>
      </c>
      <c r="L1172">
        <f>V1172=ROUND(1161*0.25,10)</f>
        <v/>
      </c>
      <c r="M1172">
        <f>W1172=ROUND(1161*0.5,10)</f>
        <v/>
      </c>
      <c r="O1172">
        <f>O1171+0.1</f>
        <v/>
      </c>
      <c r="P1172">
        <f>P1171+0.2</f>
        <v/>
      </c>
      <c r="Q1172">
        <f>Q1171+0.3</f>
        <v/>
      </c>
      <c r="R1172">
        <f>R1171+0.05</f>
        <v/>
      </c>
      <c r="S1172">
        <f>S1171+0.01</f>
        <v/>
      </c>
      <c r="T1172">
        <f>T1171+0.7</f>
        <v/>
      </c>
      <c r="U1172">
        <f>U1171+1.1</f>
        <v/>
      </c>
      <c r="V1172">
        <f>V1171+0.25</f>
        <v/>
      </c>
      <c r="W1172">
        <f>W1171+0.5</f>
        <v/>
      </c>
    </row>
    <row r="1173">
      <c r="E1173">
        <f>O1173=ROUND(1162*0.1,10)</f>
        <v/>
      </c>
      <c r="F1173">
        <f>P1173=ROUND(1162*0.2,10)</f>
        <v/>
      </c>
      <c r="G1173">
        <f>Q1173=ROUND(1162*0.3,10)</f>
        <v/>
      </c>
      <c r="H1173">
        <f>R1173=ROUND(1162*0.05,10)</f>
        <v/>
      </c>
      <c r="I1173">
        <f>S1173=ROUND(1162*0.01,10)</f>
        <v/>
      </c>
      <c r="J1173">
        <f>T1173=ROUND(1162*0.7,10)</f>
        <v/>
      </c>
      <c r="K1173">
        <f>U1173=ROUND(1162*1.1,10)</f>
        <v/>
      </c>
      <c r="L1173">
        <f>V1173=ROUND(1162*0.25,10)</f>
        <v/>
      </c>
      <c r="M1173">
        <f>W1173=ROUND(1162*0.5,10)</f>
        <v/>
      </c>
      <c r="O1173">
        <f>O1172+0.1</f>
        <v/>
      </c>
      <c r="P1173">
        <f>P1172+0.2</f>
        <v/>
      </c>
      <c r="Q1173">
        <f>Q1172+0.3</f>
        <v/>
      </c>
      <c r="R1173">
        <f>R1172+0.05</f>
        <v/>
      </c>
      <c r="S1173">
        <f>S1172+0.01</f>
        <v/>
      </c>
      <c r="T1173">
        <f>T1172+0.7</f>
        <v/>
      </c>
      <c r="U1173">
        <f>U1172+1.1</f>
        <v/>
      </c>
      <c r="V1173">
        <f>V1172+0.25</f>
        <v/>
      </c>
      <c r="W1173">
        <f>W1172+0.5</f>
        <v/>
      </c>
    </row>
    <row r="1174">
      <c r="E1174">
        <f>O1174=ROUND(1163*0.1,10)</f>
        <v/>
      </c>
      <c r="F1174">
        <f>P1174=ROUND(1163*0.2,10)</f>
        <v/>
      </c>
      <c r="G1174">
        <f>Q1174=ROUND(1163*0.3,10)</f>
        <v/>
      </c>
      <c r="H1174">
        <f>R1174=ROUND(1163*0.05,10)</f>
        <v/>
      </c>
      <c r="I1174">
        <f>S1174=ROUND(1163*0.01,10)</f>
        <v/>
      </c>
      <c r="J1174">
        <f>T1174=ROUND(1163*0.7,10)</f>
        <v/>
      </c>
      <c r="K1174">
        <f>U1174=ROUND(1163*1.1,10)</f>
        <v/>
      </c>
      <c r="L1174">
        <f>V1174=ROUND(1163*0.25,10)</f>
        <v/>
      </c>
      <c r="M1174">
        <f>W1174=ROUND(1163*0.5,10)</f>
        <v/>
      </c>
      <c r="O1174">
        <f>O1173+0.1</f>
        <v/>
      </c>
      <c r="P1174">
        <f>P1173+0.2</f>
        <v/>
      </c>
      <c r="Q1174">
        <f>Q1173+0.3</f>
        <v/>
      </c>
      <c r="R1174">
        <f>R1173+0.05</f>
        <v/>
      </c>
      <c r="S1174">
        <f>S1173+0.01</f>
        <v/>
      </c>
      <c r="T1174">
        <f>T1173+0.7</f>
        <v/>
      </c>
      <c r="U1174">
        <f>U1173+1.1</f>
        <v/>
      </c>
      <c r="V1174">
        <f>V1173+0.25</f>
        <v/>
      </c>
      <c r="W1174">
        <f>W1173+0.5</f>
        <v/>
      </c>
    </row>
    <row r="1175">
      <c r="E1175">
        <f>O1175=ROUND(1164*0.1,10)</f>
        <v/>
      </c>
      <c r="F1175">
        <f>P1175=ROUND(1164*0.2,10)</f>
        <v/>
      </c>
      <c r="G1175">
        <f>Q1175=ROUND(1164*0.3,10)</f>
        <v/>
      </c>
      <c r="H1175">
        <f>R1175=ROUND(1164*0.05,10)</f>
        <v/>
      </c>
      <c r="I1175">
        <f>S1175=ROUND(1164*0.01,10)</f>
        <v/>
      </c>
      <c r="J1175">
        <f>T1175=ROUND(1164*0.7,10)</f>
        <v/>
      </c>
      <c r="K1175">
        <f>U1175=ROUND(1164*1.1,10)</f>
        <v/>
      </c>
      <c r="L1175">
        <f>V1175=ROUND(1164*0.25,10)</f>
        <v/>
      </c>
      <c r="M1175">
        <f>W1175=ROUND(1164*0.5,10)</f>
        <v/>
      </c>
      <c r="O1175">
        <f>O1174+0.1</f>
        <v/>
      </c>
      <c r="P1175">
        <f>P1174+0.2</f>
        <v/>
      </c>
      <c r="Q1175">
        <f>Q1174+0.3</f>
        <v/>
      </c>
      <c r="R1175">
        <f>R1174+0.05</f>
        <v/>
      </c>
      <c r="S1175">
        <f>S1174+0.01</f>
        <v/>
      </c>
      <c r="T1175">
        <f>T1174+0.7</f>
        <v/>
      </c>
      <c r="U1175">
        <f>U1174+1.1</f>
        <v/>
      </c>
      <c r="V1175">
        <f>V1174+0.25</f>
        <v/>
      </c>
      <c r="W1175">
        <f>W1174+0.5</f>
        <v/>
      </c>
    </row>
    <row r="1176">
      <c r="E1176">
        <f>O1176=ROUND(1165*0.1,10)</f>
        <v/>
      </c>
      <c r="F1176">
        <f>P1176=ROUND(1165*0.2,10)</f>
        <v/>
      </c>
      <c r="G1176">
        <f>Q1176=ROUND(1165*0.3,10)</f>
        <v/>
      </c>
      <c r="H1176">
        <f>R1176=ROUND(1165*0.05,10)</f>
        <v/>
      </c>
      <c r="I1176">
        <f>S1176=ROUND(1165*0.01,10)</f>
        <v/>
      </c>
      <c r="J1176">
        <f>T1176=ROUND(1165*0.7,10)</f>
        <v/>
      </c>
      <c r="K1176">
        <f>U1176=ROUND(1165*1.1,10)</f>
        <v/>
      </c>
      <c r="L1176">
        <f>V1176=ROUND(1165*0.25,10)</f>
        <v/>
      </c>
      <c r="M1176">
        <f>W1176=ROUND(1165*0.5,10)</f>
        <v/>
      </c>
      <c r="O1176">
        <f>O1175+0.1</f>
        <v/>
      </c>
      <c r="P1176">
        <f>P1175+0.2</f>
        <v/>
      </c>
      <c r="Q1176">
        <f>Q1175+0.3</f>
        <v/>
      </c>
      <c r="R1176">
        <f>R1175+0.05</f>
        <v/>
      </c>
      <c r="S1176">
        <f>S1175+0.01</f>
        <v/>
      </c>
      <c r="T1176">
        <f>T1175+0.7</f>
        <v/>
      </c>
      <c r="U1176">
        <f>U1175+1.1</f>
        <v/>
      </c>
      <c r="V1176">
        <f>V1175+0.25</f>
        <v/>
      </c>
      <c r="W1176">
        <f>W1175+0.5</f>
        <v/>
      </c>
    </row>
    <row r="1177">
      <c r="E1177">
        <f>O1177=ROUND(1166*0.1,10)</f>
        <v/>
      </c>
      <c r="F1177">
        <f>P1177=ROUND(1166*0.2,10)</f>
        <v/>
      </c>
      <c r="G1177">
        <f>Q1177=ROUND(1166*0.3,10)</f>
        <v/>
      </c>
      <c r="H1177">
        <f>R1177=ROUND(1166*0.05,10)</f>
        <v/>
      </c>
      <c r="I1177">
        <f>S1177=ROUND(1166*0.01,10)</f>
        <v/>
      </c>
      <c r="J1177">
        <f>T1177=ROUND(1166*0.7,10)</f>
        <v/>
      </c>
      <c r="K1177">
        <f>U1177=ROUND(1166*1.1,10)</f>
        <v/>
      </c>
      <c r="L1177">
        <f>V1177=ROUND(1166*0.25,10)</f>
        <v/>
      </c>
      <c r="M1177">
        <f>W1177=ROUND(1166*0.5,10)</f>
        <v/>
      </c>
      <c r="O1177">
        <f>O1176+0.1</f>
        <v/>
      </c>
      <c r="P1177">
        <f>P1176+0.2</f>
        <v/>
      </c>
      <c r="Q1177">
        <f>Q1176+0.3</f>
        <v/>
      </c>
      <c r="R1177">
        <f>R1176+0.05</f>
        <v/>
      </c>
      <c r="S1177">
        <f>S1176+0.01</f>
        <v/>
      </c>
      <c r="T1177">
        <f>T1176+0.7</f>
        <v/>
      </c>
      <c r="U1177">
        <f>U1176+1.1</f>
        <v/>
      </c>
      <c r="V1177">
        <f>V1176+0.25</f>
        <v/>
      </c>
      <c r="W1177">
        <f>W1176+0.5</f>
        <v/>
      </c>
    </row>
    <row r="1178">
      <c r="E1178">
        <f>O1178=ROUND(1167*0.1,10)</f>
        <v/>
      </c>
      <c r="F1178">
        <f>P1178=ROUND(1167*0.2,10)</f>
        <v/>
      </c>
      <c r="G1178">
        <f>Q1178=ROUND(1167*0.3,10)</f>
        <v/>
      </c>
      <c r="H1178">
        <f>R1178=ROUND(1167*0.05,10)</f>
        <v/>
      </c>
      <c r="I1178">
        <f>S1178=ROUND(1167*0.01,10)</f>
        <v/>
      </c>
      <c r="J1178">
        <f>T1178=ROUND(1167*0.7,10)</f>
        <v/>
      </c>
      <c r="K1178">
        <f>U1178=ROUND(1167*1.1,10)</f>
        <v/>
      </c>
      <c r="L1178">
        <f>V1178=ROUND(1167*0.25,10)</f>
        <v/>
      </c>
      <c r="M1178">
        <f>W1178=ROUND(1167*0.5,10)</f>
        <v/>
      </c>
      <c r="O1178">
        <f>O1177+0.1</f>
        <v/>
      </c>
      <c r="P1178">
        <f>P1177+0.2</f>
        <v/>
      </c>
      <c r="Q1178">
        <f>Q1177+0.3</f>
        <v/>
      </c>
      <c r="R1178">
        <f>R1177+0.05</f>
        <v/>
      </c>
      <c r="S1178">
        <f>S1177+0.01</f>
        <v/>
      </c>
      <c r="T1178">
        <f>T1177+0.7</f>
        <v/>
      </c>
      <c r="U1178">
        <f>U1177+1.1</f>
        <v/>
      </c>
      <c r="V1178">
        <f>V1177+0.25</f>
        <v/>
      </c>
      <c r="W1178">
        <f>W1177+0.5</f>
        <v/>
      </c>
    </row>
    <row r="1179">
      <c r="E1179">
        <f>O1179=ROUND(1168*0.1,10)</f>
        <v/>
      </c>
      <c r="F1179">
        <f>P1179=ROUND(1168*0.2,10)</f>
        <v/>
      </c>
      <c r="G1179">
        <f>Q1179=ROUND(1168*0.3,10)</f>
        <v/>
      </c>
      <c r="H1179">
        <f>R1179=ROUND(1168*0.05,10)</f>
        <v/>
      </c>
      <c r="I1179">
        <f>S1179=ROUND(1168*0.01,10)</f>
        <v/>
      </c>
      <c r="J1179">
        <f>T1179=ROUND(1168*0.7,10)</f>
        <v/>
      </c>
      <c r="K1179">
        <f>U1179=ROUND(1168*1.1,10)</f>
        <v/>
      </c>
      <c r="L1179">
        <f>V1179=ROUND(1168*0.25,10)</f>
        <v/>
      </c>
      <c r="M1179">
        <f>W1179=ROUND(1168*0.5,10)</f>
        <v/>
      </c>
      <c r="O1179">
        <f>O1178+0.1</f>
        <v/>
      </c>
      <c r="P1179">
        <f>P1178+0.2</f>
        <v/>
      </c>
      <c r="Q1179">
        <f>Q1178+0.3</f>
        <v/>
      </c>
      <c r="R1179">
        <f>R1178+0.05</f>
        <v/>
      </c>
      <c r="S1179">
        <f>S1178+0.01</f>
        <v/>
      </c>
      <c r="T1179">
        <f>T1178+0.7</f>
        <v/>
      </c>
      <c r="U1179">
        <f>U1178+1.1</f>
        <v/>
      </c>
      <c r="V1179">
        <f>V1178+0.25</f>
        <v/>
      </c>
      <c r="W1179">
        <f>W1178+0.5</f>
        <v/>
      </c>
    </row>
    <row r="1180">
      <c r="E1180">
        <f>O1180=ROUND(1169*0.1,10)</f>
        <v/>
      </c>
      <c r="F1180">
        <f>P1180=ROUND(1169*0.2,10)</f>
        <v/>
      </c>
      <c r="G1180">
        <f>Q1180=ROUND(1169*0.3,10)</f>
        <v/>
      </c>
      <c r="H1180">
        <f>R1180=ROUND(1169*0.05,10)</f>
        <v/>
      </c>
      <c r="I1180">
        <f>S1180=ROUND(1169*0.01,10)</f>
        <v/>
      </c>
      <c r="J1180">
        <f>T1180=ROUND(1169*0.7,10)</f>
        <v/>
      </c>
      <c r="K1180">
        <f>U1180=ROUND(1169*1.1,10)</f>
        <v/>
      </c>
      <c r="L1180">
        <f>V1180=ROUND(1169*0.25,10)</f>
        <v/>
      </c>
      <c r="M1180">
        <f>W1180=ROUND(1169*0.5,10)</f>
        <v/>
      </c>
      <c r="O1180">
        <f>O1179+0.1</f>
        <v/>
      </c>
      <c r="P1180">
        <f>P1179+0.2</f>
        <v/>
      </c>
      <c r="Q1180">
        <f>Q1179+0.3</f>
        <v/>
      </c>
      <c r="R1180">
        <f>R1179+0.05</f>
        <v/>
      </c>
      <c r="S1180">
        <f>S1179+0.01</f>
        <v/>
      </c>
      <c r="T1180">
        <f>T1179+0.7</f>
        <v/>
      </c>
      <c r="U1180">
        <f>U1179+1.1</f>
        <v/>
      </c>
      <c r="V1180">
        <f>V1179+0.25</f>
        <v/>
      </c>
      <c r="W1180">
        <f>W1179+0.5</f>
        <v/>
      </c>
    </row>
    <row r="1181">
      <c r="E1181">
        <f>O1181=ROUND(1170*0.1,10)</f>
        <v/>
      </c>
      <c r="F1181">
        <f>P1181=ROUND(1170*0.2,10)</f>
        <v/>
      </c>
      <c r="G1181">
        <f>Q1181=ROUND(1170*0.3,10)</f>
        <v/>
      </c>
      <c r="H1181">
        <f>R1181=ROUND(1170*0.05,10)</f>
        <v/>
      </c>
      <c r="I1181">
        <f>S1181=ROUND(1170*0.01,10)</f>
        <v/>
      </c>
      <c r="J1181">
        <f>T1181=ROUND(1170*0.7,10)</f>
        <v/>
      </c>
      <c r="K1181">
        <f>U1181=ROUND(1170*1.1,10)</f>
        <v/>
      </c>
      <c r="L1181">
        <f>V1181=ROUND(1170*0.25,10)</f>
        <v/>
      </c>
      <c r="M1181">
        <f>W1181=ROUND(1170*0.5,10)</f>
        <v/>
      </c>
      <c r="O1181">
        <f>O1180+0.1</f>
        <v/>
      </c>
      <c r="P1181">
        <f>P1180+0.2</f>
        <v/>
      </c>
      <c r="Q1181">
        <f>Q1180+0.3</f>
        <v/>
      </c>
      <c r="R1181">
        <f>R1180+0.05</f>
        <v/>
      </c>
      <c r="S1181">
        <f>S1180+0.01</f>
        <v/>
      </c>
      <c r="T1181">
        <f>T1180+0.7</f>
        <v/>
      </c>
      <c r="U1181">
        <f>U1180+1.1</f>
        <v/>
      </c>
      <c r="V1181">
        <f>V1180+0.25</f>
        <v/>
      </c>
      <c r="W1181">
        <f>W1180+0.5</f>
        <v/>
      </c>
    </row>
    <row r="1182">
      <c r="E1182">
        <f>O1182=ROUND(1171*0.1,10)</f>
        <v/>
      </c>
      <c r="F1182">
        <f>P1182=ROUND(1171*0.2,10)</f>
        <v/>
      </c>
      <c r="G1182">
        <f>Q1182=ROUND(1171*0.3,10)</f>
        <v/>
      </c>
      <c r="H1182">
        <f>R1182=ROUND(1171*0.05,10)</f>
        <v/>
      </c>
      <c r="I1182">
        <f>S1182=ROUND(1171*0.01,10)</f>
        <v/>
      </c>
      <c r="J1182">
        <f>T1182=ROUND(1171*0.7,10)</f>
        <v/>
      </c>
      <c r="K1182">
        <f>U1182=ROUND(1171*1.1,10)</f>
        <v/>
      </c>
      <c r="L1182">
        <f>V1182=ROUND(1171*0.25,10)</f>
        <v/>
      </c>
      <c r="M1182">
        <f>W1182=ROUND(1171*0.5,10)</f>
        <v/>
      </c>
      <c r="O1182">
        <f>O1181+0.1</f>
        <v/>
      </c>
      <c r="P1182">
        <f>P1181+0.2</f>
        <v/>
      </c>
      <c r="Q1182">
        <f>Q1181+0.3</f>
        <v/>
      </c>
      <c r="R1182">
        <f>R1181+0.05</f>
        <v/>
      </c>
      <c r="S1182">
        <f>S1181+0.01</f>
        <v/>
      </c>
      <c r="T1182">
        <f>T1181+0.7</f>
        <v/>
      </c>
      <c r="U1182">
        <f>U1181+1.1</f>
        <v/>
      </c>
      <c r="V1182">
        <f>V1181+0.25</f>
        <v/>
      </c>
      <c r="W1182">
        <f>W1181+0.5</f>
        <v/>
      </c>
    </row>
    <row r="1183">
      <c r="E1183">
        <f>O1183=ROUND(1172*0.1,10)</f>
        <v/>
      </c>
      <c r="F1183">
        <f>P1183=ROUND(1172*0.2,10)</f>
        <v/>
      </c>
      <c r="G1183">
        <f>Q1183=ROUND(1172*0.3,10)</f>
        <v/>
      </c>
      <c r="H1183">
        <f>R1183=ROUND(1172*0.05,10)</f>
        <v/>
      </c>
      <c r="I1183">
        <f>S1183=ROUND(1172*0.01,10)</f>
        <v/>
      </c>
      <c r="J1183">
        <f>T1183=ROUND(1172*0.7,10)</f>
        <v/>
      </c>
      <c r="K1183">
        <f>U1183=ROUND(1172*1.1,10)</f>
        <v/>
      </c>
      <c r="L1183">
        <f>V1183=ROUND(1172*0.25,10)</f>
        <v/>
      </c>
      <c r="M1183">
        <f>W1183=ROUND(1172*0.5,10)</f>
        <v/>
      </c>
      <c r="O1183">
        <f>O1182+0.1</f>
        <v/>
      </c>
      <c r="P1183">
        <f>P1182+0.2</f>
        <v/>
      </c>
      <c r="Q1183">
        <f>Q1182+0.3</f>
        <v/>
      </c>
      <c r="R1183">
        <f>R1182+0.05</f>
        <v/>
      </c>
      <c r="S1183">
        <f>S1182+0.01</f>
        <v/>
      </c>
      <c r="T1183">
        <f>T1182+0.7</f>
        <v/>
      </c>
      <c r="U1183">
        <f>U1182+1.1</f>
        <v/>
      </c>
      <c r="V1183">
        <f>V1182+0.25</f>
        <v/>
      </c>
      <c r="W1183">
        <f>W1182+0.5</f>
        <v/>
      </c>
    </row>
    <row r="1184">
      <c r="E1184">
        <f>O1184=ROUND(1173*0.1,10)</f>
        <v/>
      </c>
      <c r="F1184">
        <f>P1184=ROUND(1173*0.2,10)</f>
        <v/>
      </c>
      <c r="G1184">
        <f>Q1184=ROUND(1173*0.3,10)</f>
        <v/>
      </c>
      <c r="H1184">
        <f>R1184=ROUND(1173*0.05,10)</f>
        <v/>
      </c>
      <c r="I1184">
        <f>S1184=ROUND(1173*0.01,10)</f>
        <v/>
      </c>
      <c r="J1184">
        <f>T1184=ROUND(1173*0.7,10)</f>
        <v/>
      </c>
      <c r="K1184">
        <f>U1184=ROUND(1173*1.1,10)</f>
        <v/>
      </c>
      <c r="L1184">
        <f>V1184=ROUND(1173*0.25,10)</f>
        <v/>
      </c>
      <c r="M1184">
        <f>W1184=ROUND(1173*0.5,10)</f>
        <v/>
      </c>
      <c r="O1184">
        <f>O1183+0.1</f>
        <v/>
      </c>
      <c r="P1184">
        <f>P1183+0.2</f>
        <v/>
      </c>
      <c r="Q1184">
        <f>Q1183+0.3</f>
        <v/>
      </c>
      <c r="R1184">
        <f>R1183+0.05</f>
        <v/>
      </c>
      <c r="S1184">
        <f>S1183+0.01</f>
        <v/>
      </c>
      <c r="T1184">
        <f>T1183+0.7</f>
        <v/>
      </c>
      <c r="U1184">
        <f>U1183+1.1</f>
        <v/>
      </c>
      <c r="V1184">
        <f>V1183+0.25</f>
        <v/>
      </c>
      <c r="W1184">
        <f>W1183+0.5</f>
        <v/>
      </c>
    </row>
    <row r="1185">
      <c r="E1185">
        <f>O1185=ROUND(1174*0.1,10)</f>
        <v/>
      </c>
      <c r="F1185">
        <f>P1185=ROUND(1174*0.2,10)</f>
        <v/>
      </c>
      <c r="G1185">
        <f>Q1185=ROUND(1174*0.3,10)</f>
        <v/>
      </c>
      <c r="H1185">
        <f>R1185=ROUND(1174*0.05,10)</f>
        <v/>
      </c>
      <c r="I1185">
        <f>S1185=ROUND(1174*0.01,10)</f>
        <v/>
      </c>
      <c r="J1185">
        <f>T1185=ROUND(1174*0.7,10)</f>
        <v/>
      </c>
      <c r="K1185">
        <f>U1185=ROUND(1174*1.1,10)</f>
        <v/>
      </c>
      <c r="L1185">
        <f>V1185=ROUND(1174*0.25,10)</f>
        <v/>
      </c>
      <c r="M1185">
        <f>W1185=ROUND(1174*0.5,10)</f>
        <v/>
      </c>
      <c r="O1185">
        <f>O1184+0.1</f>
        <v/>
      </c>
      <c r="P1185">
        <f>P1184+0.2</f>
        <v/>
      </c>
      <c r="Q1185">
        <f>Q1184+0.3</f>
        <v/>
      </c>
      <c r="R1185">
        <f>R1184+0.05</f>
        <v/>
      </c>
      <c r="S1185">
        <f>S1184+0.01</f>
        <v/>
      </c>
      <c r="T1185">
        <f>T1184+0.7</f>
        <v/>
      </c>
      <c r="U1185">
        <f>U1184+1.1</f>
        <v/>
      </c>
      <c r="V1185">
        <f>V1184+0.25</f>
        <v/>
      </c>
      <c r="W1185">
        <f>W1184+0.5</f>
        <v/>
      </c>
    </row>
    <row r="1186">
      <c r="E1186">
        <f>O1186=ROUND(1175*0.1,10)</f>
        <v/>
      </c>
      <c r="F1186">
        <f>P1186=ROUND(1175*0.2,10)</f>
        <v/>
      </c>
      <c r="G1186">
        <f>Q1186=ROUND(1175*0.3,10)</f>
        <v/>
      </c>
      <c r="H1186">
        <f>R1186=ROUND(1175*0.05,10)</f>
        <v/>
      </c>
      <c r="I1186">
        <f>S1186=ROUND(1175*0.01,10)</f>
        <v/>
      </c>
      <c r="J1186">
        <f>T1186=ROUND(1175*0.7,10)</f>
        <v/>
      </c>
      <c r="K1186">
        <f>U1186=ROUND(1175*1.1,10)</f>
        <v/>
      </c>
      <c r="L1186">
        <f>V1186=ROUND(1175*0.25,10)</f>
        <v/>
      </c>
      <c r="M1186">
        <f>W1186=ROUND(1175*0.5,10)</f>
        <v/>
      </c>
      <c r="O1186">
        <f>O1185+0.1</f>
        <v/>
      </c>
      <c r="P1186">
        <f>P1185+0.2</f>
        <v/>
      </c>
      <c r="Q1186">
        <f>Q1185+0.3</f>
        <v/>
      </c>
      <c r="R1186">
        <f>R1185+0.05</f>
        <v/>
      </c>
      <c r="S1186">
        <f>S1185+0.01</f>
        <v/>
      </c>
      <c r="T1186">
        <f>T1185+0.7</f>
        <v/>
      </c>
      <c r="U1186">
        <f>U1185+1.1</f>
        <v/>
      </c>
      <c r="V1186">
        <f>V1185+0.25</f>
        <v/>
      </c>
      <c r="W1186">
        <f>W1185+0.5</f>
        <v/>
      </c>
    </row>
    <row r="1187">
      <c r="E1187">
        <f>O1187=ROUND(1176*0.1,10)</f>
        <v/>
      </c>
      <c r="F1187">
        <f>P1187=ROUND(1176*0.2,10)</f>
        <v/>
      </c>
      <c r="G1187">
        <f>Q1187=ROUND(1176*0.3,10)</f>
        <v/>
      </c>
      <c r="H1187">
        <f>R1187=ROUND(1176*0.05,10)</f>
        <v/>
      </c>
      <c r="I1187">
        <f>S1187=ROUND(1176*0.01,10)</f>
        <v/>
      </c>
      <c r="J1187">
        <f>T1187=ROUND(1176*0.7,10)</f>
        <v/>
      </c>
      <c r="K1187">
        <f>U1187=ROUND(1176*1.1,10)</f>
        <v/>
      </c>
      <c r="L1187">
        <f>V1187=ROUND(1176*0.25,10)</f>
        <v/>
      </c>
      <c r="M1187">
        <f>W1187=ROUND(1176*0.5,10)</f>
        <v/>
      </c>
      <c r="O1187">
        <f>O1186+0.1</f>
        <v/>
      </c>
      <c r="P1187">
        <f>P1186+0.2</f>
        <v/>
      </c>
      <c r="Q1187">
        <f>Q1186+0.3</f>
        <v/>
      </c>
      <c r="R1187">
        <f>R1186+0.05</f>
        <v/>
      </c>
      <c r="S1187">
        <f>S1186+0.01</f>
        <v/>
      </c>
      <c r="T1187">
        <f>T1186+0.7</f>
        <v/>
      </c>
      <c r="U1187">
        <f>U1186+1.1</f>
        <v/>
      </c>
      <c r="V1187">
        <f>V1186+0.25</f>
        <v/>
      </c>
      <c r="W1187">
        <f>W1186+0.5</f>
        <v/>
      </c>
    </row>
    <row r="1188">
      <c r="E1188">
        <f>O1188=ROUND(1177*0.1,10)</f>
        <v/>
      </c>
      <c r="F1188">
        <f>P1188=ROUND(1177*0.2,10)</f>
        <v/>
      </c>
      <c r="G1188">
        <f>Q1188=ROUND(1177*0.3,10)</f>
        <v/>
      </c>
      <c r="H1188">
        <f>R1188=ROUND(1177*0.05,10)</f>
        <v/>
      </c>
      <c r="I1188">
        <f>S1188=ROUND(1177*0.01,10)</f>
        <v/>
      </c>
      <c r="J1188">
        <f>T1188=ROUND(1177*0.7,10)</f>
        <v/>
      </c>
      <c r="K1188">
        <f>U1188=ROUND(1177*1.1,10)</f>
        <v/>
      </c>
      <c r="L1188">
        <f>V1188=ROUND(1177*0.25,10)</f>
        <v/>
      </c>
      <c r="M1188">
        <f>W1188=ROUND(1177*0.5,10)</f>
        <v/>
      </c>
      <c r="O1188">
        <f>O1187+0.1</f>
        <v/>
      </c>
      <c r="P1188">
        <f>P1187+0.2</f>
        <v/>
      </c>
      <c r="Q1188">
        <f>Q1187+0.3</f>
        <v/>
      </c>
      <c r="R1188">
        <f>R1187+0.05</f>
        <v/>
      </c>
      <c r="S1188">
        <f>S1187+0.01</f>
        <v/>
      </c>
      <c r="T1188">
        <f>T1187+0.7</f>
        <v/>
      </c>
      <c r="U1188">
        <f>U1187+1.1</f>
        <v/>
      </c>
      <c r="V1188">
        <f>V1187+0.25</f>
        <v/>
      </c>
      <c r="W1188">
        <f>W1187+0.5</f>
        <v/>
      </c>
    </row>
    <row r="1189">
      <c r="E1189">
        <f>O1189=ROUND(1178*0.1,10)</f>
        <v/>
      </c>
      <c r="F1189">
        <f>P1189=ROUND(1178*0.2,10)</f>
        <v/>
      </c>
      <c r="G1189">
        <f>Q1189=ROUND(1178*0.3,10)</f>
        <v/>
      </c>
      <c r="H1189">
        <f>R1189=ROUND(1178*0.05,10)</f>
        <v/>
      </c>
      <c r="I1189">
        <f>S1189=ROUND(1178*0.01,10)</f>
        <v/>
      </c>
      <c r="J1189">
        <f>T1189=ROUND(1178*0.7,10)</f>
        <v/>
      </c>
      <c r="K1189">
        <f>U1189=ROUND(1178*1.1,10)</f>
        <v/>
      </c>
      <c r="L1189">
        <f>V1189=ROUND(1178*0.25,10)</f>
        <v/>
      </c>
      <c r="M1189">
        <f>W1189=ROUND(1178*0.5,10)</f>
        <v/>
      </c>
      <c r="O1189">
        <f>O1188+0.1</f>
        <v/>
      </c>
      <c r="P1189">
        <f>P1188+0.2</f>
        <v/>
      </c>
      <c r="Q1189">
        <f>Q1188+0.3</f>
        <v/>
      </c>
      <c r="R1189">
        <f>R1188+0.05</f>
        <v/>
      </c>
      <c r="S1189">
        <f>S1188+0.01</f>
        <v/>
      </c>
      <c r="T1189">
        <f>T1188+0.7</f>
        <v/>
      </c>
      <c r="U1189">
        <f>U1188+1.1</f>
        <v/>
      </c>
      <c r="V1189">
        <f>V1188+0.25</f>
        <v/>
      </c>
      <c r="W1189">
        <f>W1188+0.5</f>
        <v/>
      </c>
    </row>
    <row r="1190">
      <c r="E1190">
        <f>O1190=ROUND(1179*0.1,10)</f>
        <v/>
      </c>
      <c r="F1190">
        <f>P1190=ROUND(1179*0.2,10)</f>
        <v/>
      </c>
      <c r="G1190">
        <f>Q1190=ROUND(1179*0.3,10)</f>
        <v/>
      </c>
      <c r="H1190">
        <f>R1190=ROUND(1179*0.05,10)</f>
        <v/>
      </c>
      <c r="I1190">
        <f>S1190=ROUND(1179*0.01,10)</f>
        <v/>
      </c>
      <c r="J1190">
        <f>T1190=ROUND(1179*0.7,10)</f>
        <v/>
      </c>
      <c r="K1190">
        <f>U1190=ROUND(1179*1.1,10)</f>
        <v/>
      </c>
      <c r="L1190">
        <f>V1190=ROUND(1179*0.25,10)</f>
        <v/>
      </c>
      <c r="M1190">
        <f>W1190=ROUND(1179*0.5,10)</f>
        <v/>
      </c>
      <c r="O1190">
        <f>O1189+0.1</f>
        <v/>
      </c>
      <c r="P1190">
        <f>P1189+0.2</f>
        <v/>
      </c>
      <c r="Q1190">
        <f>Q1189+0.3</f>
        <v/>
      </c>
      <c r="R1190">
        <f>R1189+0.05</f>
        <v/>
      </c>
      <c r="S1190">
        <f>S1189+0.01</f>
        <v/>
      </c>
      <c r="T1190">
        <f>T1189+0.7</f>
        <v/>
      </c>
      <c r="U1190">
        <f>U1189+1.1</f>
        <v/>
      </c>
      <c r="V1190">
        <f>V1189+0.25</f>
        <v/>
      </c>
      <c r="W1190">
        <f>W1189+0.5</f>
        <v/>
      </c>
    </row>
    <row r="1191">
      <c r="E1191">
        <f>O1191=ROUND(1180*0.1,10)</f>
        <v/>
      </c>
      <c r="F1191">
        <f>P1191=ROUND(1180*0.2,10)</f>
        <v/>
      </c>
      <c r="G1191">
        <f>Q1191=ROUND(1180*0.3,10)</f>
        <v/>
      </c>
      <c r="H1191">
        <f>R1191=ROUND(1180*0.05,10)</f>
        <v/>
      </c>
      <c r="I1191">
        <f>S1191=ROUND(1180*0.01,10)</f>
        <v/>
      </c>
      <c r="J1191">
        <f>T1191=ROUND(1180*0.7,10)</f>
        <v/>
      </c>
      <c r="K1191">
        <f>U1191=ROUND(1180*1.1,10)</f>
        <v/>
      </c>
      <c r="L1191">
        <f>V1191=ROUND(1180*0.25,10)</f>
        <v/>
      </c>
      <c r="M1191">
        <f>W1191=ROUND(1180*0.5,10)</f>
        <v/>
      </c>
      <c r="O1191">
        <f>O1190+0.1</f>
        <v/>
      </c>
      <c r="P1191">
        <f>P1190+0.2</f>
        <v/>
      </c>
      <c r="Q1191">
        <f>Q1190+0.3</f>
        <v/>
      </c>
      <c r="R1191">
        <f>R1190+0.05</f>
        <v/>
      </c>
      <c r="S1191">
        <f>S1190+0.01</f>
        <v/>
      </c>
      <c r="T1191">
        <f>T1190+0.7</f>
        <v/>
      </c>
      <c r="U1191">
        <f>U1190+1.1</f>
        <v/>
      </c>
      <c r="V1191">
        <f>V1190+0.25</f>
        <v/>
      </c>
      <c r="W1191">
        <f>W1190+0.5</f>
        <v/>
      </c>
    </row>
    <row r="1192">
      <c r="E1192">
        <f>O1192=ROUND(1181*0.1,10)</f>
        <v/>
      </c>
      <c r="F1192">
        <f>P1192=ROUND(1181*0.2,10)</f>
        <v/>
      </c>
      <c r="G1192">
        <f>Q1192=ROUND(1181*0.3,10)</f>
        <v/>
      </c>
      <c r="H1192">
        <f>R1192=ROUND(1181*0.05,10)</f>
        <v/>
      </c>
      <c r="I1192">
        <f>S1192=ROUND(1181*0.01,10)</f>
        <v/>
      </c>
      <c r="J1192">
        <f>T1192=ROUND(1181*0.7,10)</f>
        <v/>
      </c>
      <c r="K1192">
        <f>U1192=ROUND(1181*1.1,10)</f>
        <v/>
      </c>
      <c r="L1192">
        <f>V1192=ROUND(1181*0.25,10)</f>
        <v/>
      </c>
      <c r="M1192">
        <f>W1192=ROUND(1181*0.5,10)</f>
        <v/>
      </c>
      <c r="O1192">
        <f>O1191+0.1</f>
        <v/>
      </c>
      <c r="P1192">
        <f>P1191+0.2</f>
        <v/>
      </c>
      <c r="Q1192">
        <f>Q1191+0.3</f>
        <v/>
      </c>
      <c r="R1192">
        <f>R1191+0.05</f>
        <v/>
      </c>
      <c r="S1192">
        <f>S1191+0.01</f>
        <v/>
      </c>
      <c r="T1192">
        <f>T1191+0.7</f>
        <v/>
      </c>
      <c r="U1192">
        <f>U1191+1.1</f>
        <v/>
      </c>
      <c r="V1192">
        <f>V1191+0.25</f>
        <v/>
      </c>
      <c r="W1192">
        <f>W1191+0.5</f>
        <v/>
      </c>
    </row>
    <row r="1193">
      <c r="E1193">
        <f>O1193=ROUND(1182*0.1,10)</f>
        <v/>
      </c>
      <c r="F1193">
        <f>P1193=ROUND(1182*0.2,10)</f>
        <v/>
      </c>
      <c r="G1193">
        <f>Q1193=ROUND(1182*0.3,10)</f>
        <v/>
      </c>
      <c r="H1193">
        <f>R1193=ROUND(1182*0.05,10)</f>
        <v/>
      </c>
      <c r="I1193">
        <f>S1193=ROUND(1182*0.01,10)</f>
        <v/>
      </c>
      <c r="J1193">
        <f>T1193=ROUND(1182*0.7,10)</f>
        <v/>
      </c>
      <c r="K1193">
        <f>U1193=ROUND(1182*1.1,10)</f>
        <v/>
      </c>
      <c r="L1193">
        <f>V1193=ROUND(1182*0.25,10)</f>
        <v/>
      </c>
      <c r="M1193">
        <f>W1193=ROUND(1182*0.5,10)</f>
        <v/>
      </c>
      <c r="O1193">
        <f>O1192+0.1</f>
        <v/>
      </c>
      <c r="P1193">
        <f>P1192+0.2</f>
        <v/>
      </c>
      <c r="Q1193">
        <f>Q1192+0.3</f>
        <v/>
      </c>
      <c r="R1193">
        <f>R1192+0.05</f>
        <v/>
      </c>
      <c r="S1193">
        <f>S1192+0.01</f>
        <v/>
      </c>
      <c r="T1193">
        <f>T1192+0.7</f>
        <v/>
      </c>
      <c r="U1193">
        <f>U1192+1.1</f>
        <v/>
      </c>
      <c r="V1193">
        <f>V1192+0.25</f>
        <v/>
      </c>
      <c r="W1193">
        <f>W1192+0.5</f>
        <v/>
      </c>
    </row>
    <row r="1194">
      <c r="E1194">
        <f>O1194=ROUND(1183*0.1,10)</f>
        <v/>
      </c>
      <c r="F1194">
        <f>P1194=ROUND(1183*0.2,10)</f>
        <v/>
      </c>
      <c r="G1194">
        <f>Q1194=ROUND(1183*0.3,10)</f>
        <v/>
      </c>
      <c r="H1194">
        <f>R1194=ROUND(1183*0.05,10)</f>
        <v/>
      </c>
      <c r="I1194">
        <f>S1194=ROUND(1183*0.01,10)</f>
        <v/>
      </c>
      <c r="J1194">
        <f>T1194=ROUND(1183*0.7,10)</f>
        <v/>
      </c>
      <c r="K1194">
        <f>U1194=ROUND(1183*1.1,10)</f>
        <v/>
      </c>
      <c r="L1194">
        <f>V1194=ROUND(1183*0.25,10)</f>
        <v/>
      </c>
      <c r="M1194">
        <f>W1194=ROUND(1183*0.5,10)</f>
        <v/>
      </c>
      <c r="O1194">
        <f>O1193+0.1</f>
        <v/>
      </c>
      <c r="P1194">
        <f>P1193+0.2</f>
        <v/>
      </c>
      <c r="Q1194">
        <f>Q1193+0.3</f>
        <v/>
      </c>
      <c r="R1194">
        <f>R1193+0.05</f>
        <v/>
      </c>
      <c r="S1194">
        <f>S1193+0.01</f>
        <v/>
      </c>
      <c r="T1194">
        <f>T1193+0.7</f>
        <v/>
      </c>
      <c r="U1194">
        <f>U1193+1.1</f>
        <v/>
      </c>
      <c r="V1194">
        <f>V1193+0.25</f>
        <v/>
      </c>
      <c r="W1194">
        <f>W1193+0.5</f>
        <v/>
      </c>
    </row>
    <row r="1195">
      <c r="E1195">
        <f>O1195=ROUND(1184*0.1,10)</f>
        <v/>
      </c>
      <c r="F1195">
        <f>P1195=ROUND(1184*0.2,10)</f>
        <v/>
      </c>
      <c r="G1195">
        <f>Q1195=ROUND(1184*0.3,10)</f>
        <v/>
      </c>
      <c r="H1195">
        <f>R1195=ROUND(1184*0.05,10)</f>
        <v/>
      </c>
      <c r="I1195">
        <f>S1195=ROUND(1184*0.01,10)</f>
        <v/>
      </c>
      <c r="J1195">
        <f>T1195=ROUND(1184*0.7,10)</f>
        <v/>
      </c>
      <c r="K1195">
        <f>U1195=ROUND(1184*1.1,10)</f>
        <v/>
      </c>
      <c r="L1195">
        <f>V1195=ROUND(1184*0.25,10)</f>
        <v/>
      </c>
      <c r="M1195">
        <f>W1195=ROUND(1184*0.5,10)</f>
        <v/>
      </c>
      <c r="O1195">
        <f>O1194+0.1</f>
        <v/>
      </c>
      <c r="P1195">
        <f>P1194+0.2</f>
        <v/>
      </c>
      <c r="Q1195">
        <f>Q1194+0.3</f>
        <v/>
      </c>
      <c r="R1195">
        <f>R1194+0.05</f>
        <v/>
      </c>
      <c r="S1195">
        <f>S1194+0.01</f>
        <v/>
      </c>
      <c r="T1195">
        <f>T1194+0.7</f>
        <v/>
      </c>
      <c r="U1195">
        <f>U1194+1.1</f>
        <v/>
      </c>
      <c r="V1195">
        <f>V1194+0.25</f>
        <v/>
      </c>
      <c r="W1195">
        <f>W1194+0.5</f>
        <v/>
      </c>
    </row>
    <row r="1196">
      <c r="E1196">
        <f>O1196=ROUND(1185*0.1,10)</f>
        <v/>
      </c>
      <c r="F1196">
        <f>P1196=ROUND(1185*0.2,10)</f>
        <v/>
      </c>
      <c r="G1196">
        <f>Q1196=ROUND(1185*0.3,10)</f>
        <v/>
      </c>
      <c r="H1196">
        <f>R1196=ROUND(1185*0.05,10)</f>
        <v/>
      </c>
      <c r="I1196">
        <f>S1196=ROUND(1185*0.01,10)</f>
        <v/>
      </c>
      <c r="J1196">
        <f>T1196=ROUND(1185*0.7,10)</f>
        <v/>
      </c>
      <c r="K1196">
        <f>U1196=ROUND(1185*1.1,10)</f>
        <v/>
      </c>
      <c r="L1196">
        <f>V1196=ROUND(1185*0.25,10)</f>
        <v/>
      </c>
      <c r="M1196">
        <f>W1196=ROUND(1185*0.5,10)</f>
        <v/>
      </c>
      <c r="O1196">
        <f>O1195+0.1</f>
        <v/>
      </c>
      <c r="P1196">
        <f>P1195+0.2</f>
        <v/>
      </c>
      <c r="Q1196">
        <f>Q1195+0.3</f>
        <v/>
      </c>
      <c r="R1196">
        <f>R1195+0.05</f>
        <v/>
      </c>
      <c r="S1196">
        <f>S1195+0.01</f>
        <v/>
      </c>
      <c r="T1196">
        <f>T1195+0.7</f>
        <v/>
      </c>
      <c r="U1196">
        <f>U1195+1.1</f>
        <v/>
      </c>
      <c r="V1196">
        <f>V1195+0.25</f>
        <v/>
      </c>
      <c r="W1196">
        <f>W1195+0.5</f>
        <v/>
      </c>
    </row>
    <row r="1197">
      <c r="E1197">
        <f>O1197=ROUND(1186*0.1,10)</f>
        <v/>
      </c>
      <c r="F1197">
        <f>P1197=ROUND(1186*0.2,10)</f>
        <v/>
      </c>
      <c r="G1197">
        <f>Q1197=ROUND(1186*0.3,10)</f>
        <v/>
      </c>
      <c r="H1197">
        <f>R1197=ROUND(1186*0.05,10)</f>
        <v/>
      </c>
      <c r="I1197">
        <f>S1197=ROUND(1186*0.01,10)</f>
        <v/>
      </c>
      <c r="J1197">
        <f>T1197=ROUND(1186*0.7,10)</f>
        <v/>
      </c>
      <c r="K1197">
        <f>U1197=ROUND(1186*1.1,10)</f>
        <v/>
      </c>
      <c r="L1197">
        <f>V1197=ROUND(1186*0.25,10)</f>
        <v/>
      </c>
      <c r="M1197">
        <f>W1197=ROUND(1186*0.5,10)</f>
        <v/>
      </c>
      <c r="O1197">
        <f>O1196+0.1</f>
        <v/>
      </c>
      <c r="P1197">
        <f>P1196+0.2</f>
        <v/>
      </c>
      <c r="Q1197">
        <f>Q1196+0.3</f>
        <v/>
      </c>
      <c r="R1197">
        <f>R1196+0.05</f>
        <v/>
      </c>
      <c r="S1197">
        <f>S1196+0.01</f>
        <v/>
      </c>
      <c r="T1197">
        <f>T1196+0.7</f>
        <v/>
      </c>
      <c r="U1197">
        <f>U1196+1.1</f>
        <v/>
      </c>
      <c r="V1197">
        <f>V1196+0.25</f>
        <v/>
      </c>
      <c r="W1197">
        <f>W1196+0.5</f>
        <v/>
      </c>
    </row>
    <row r="1198">
      <c r="E1198">
        <f>O1198=ROUND(1187*0.1,10)</f>
        <v/>
      </c>
      <c r="F1198">
        <f>P1198=ROUND(1187*0.2,10)</f>
        <v/>
      </c>
      <c r="G1198">
        <f>Q1198=ROUND(1187*0.3,10)</f>
        <v/>
      </c>
      <c r="H1198">
        <f>R1198=ROUND(1187*0.05,10)</f>
        <v/>
      </c>
      <c r="I1198">
        <f>S1198=ROUND(1187*0.01,10)</f>
        <v/>
      </c>
      <c r="J1198">
        <f>T1198=ROUND(1187*0.7,10)</f>
        <v/>
      </c>
      <c r="K1198">
        <f>U1198=ROUND(1187*1.1,10)</f>
        <v/>
      </c>
      <c r="L1198">
        <f>V1198=ROUND(1187*0.25,10)</f>
        <v/>
      </c>
      <c r="M1198">
        <f>W1198=ROUND(1187*0.5,10)</f>
        <v/>
      </c>
      <c r="O1198">
        <f>O1197+0.1</f>
        <v/>
      </c>
      <c r="P1198">
        <f>P1197+0.2</f>
        <v/>
      </c>
      <c r="Q1198">
        <f>Q1197+0.3</f>
        <v/>
      </c>
      <c r="R1198">
        <f>R1197+0.05</f>
        <v/>
      </c>
      <c r="S1198">
        <f>S1197+0.01</f>
        <v/>
      </c>
      <c r="T1198">
        <f>T1197+0.7</f>
        <v/>
      </c>
      <c r="U1198">
        <f>U1197+1.1</f>
        <v/>
      </c>
      <c r="V1198">
        <f>V1197+0.25</f>
        <v/>
      </c>
      <c r="W1198">
        <f>W1197+0.5</f>
        <v/>
      </c>
    </row>
    <row r="1199">
      <c r="E1199">
        <f>O1199=ROUND(1188*0.1,10)</f>
        <v/>
      </c>
      <c r="F1199">
        <f>P1199=ROUND(1188*0.2,10)</f>
        <v/>
      </c>
      <c r="G1199">
        <f>Q1199=ROUND(1188*0.3,10)</f>
        <v/>
      </c>
      <c r="H1199">
        <f>R1199=ROUND(1188*0.05,10)</f>
        <v/>
      </c>
      <c r="I1199">
        <f>S1199=ROUND(1188*0.01,10)</f>
        <v/>
      </c>
      <c r="J1199">
        <f>T1199=ROUND(1188*0.7,10)</f>
        <v/>
      </c>
      <c r="K1199">
        <f>U1199=ROUND(1188*1.1,10)</f>
        <v/>
      </c>
      <c r="L1199">
        <f>V1199=ROUND(1188*0.25,10)</f>
        <v/>
      </c>
      <c r="M1199">
        <f>W1199=ROUND(1188*0.5,10)</f>
        <v/>
      </c>
      <c r="O1199">
        <f>O1198+0.1</f>
        <v/>
      </c>
      <c r="P1199">
        <f>P1198+0.2</f>
        <v/>
      </c>
      <c r="Q1199">
        <f>Q1198+0.3</f>
        <v/>
      </c>
      <c r="R1199">
        <f>R1198+0.05</f>
        <v/>
      </c>
      <c r="S1199">
        <f>S1198+0.01</f>
        <v/>
      </c>
      <c r="T1199">
        <f>T1198+0.7</f>
        <v/>
      </c>
      <c r="U1199">
        <f>U1198+1.1</f>
        <v/>
      </c>
      <c r="V1199">
        <f>V1198+0.25</f>
        <v/>
      </c>
      <c r="W1199">
        <f>W1198+0.5</f>
        <v/>
      </c>
    </row>
    <row r="1200">
      <c r="E1200">
        <f>O1200=ROUND(1189*0.1,10)</f>
        <v/>
      </c>
      <c r="F1200">
        <f>P1200=ROUND(1189*0.2,10)</f>
        <v/>
      </c>
      <c r="G1200">
        <f>Q1200=ROUND(1189*0.3,10)</f>
        <v/>
      </c>
      <c r="H1200">
        <f>R1200=ROUND(1189*0.05,10)</f>
        <v/>
      </c>
      <c r="I1200">
        <f>S1200=ROUND(1189*0.01,10)</f>
        <v/>
      </c>
      <c r="J1200">
        <f>T1200=ROUND(1189*0.7,10)</f>
        <v/>
      </c>
      <c r="K1200">
        <f>U1200=ROUND(1189*1.1,10)</f>
        <v/>
      </c>
      <c r="L1200">
        <f>V1200=ROUND(1189*0.25,10)</f>
        <v/>
      </c>
      <c r="M1200">
        <f>W1200=ROUND(1189*0.5,10)</f>
        <v/>
      </c>
      <c r="O1200">
        <f>O1199+0.1</f>
        <v/>
      </c>
      <c r="P1200">
        <f>P1199+0.2</f>
        <v/>
      </c>
      <c r="Q1200">
        <f>Q1199+0.3</f>
        <v/>
      </c>
      <c r="R1200">
        <f>R1199+0.05</f>
        <v/>
      </c>
      <c r="S1200">
        <f>S1199+0.01</f>
        <v/>
      </c>
      <c r="T1200">
        <f>T1199+0.7</f>
        <v/>
      </c>
      <c r="U1200">
        <f>U1199+1.1</f>
        <v/>
      </c>
      <c r="V1200">
        <f>V1199+0.25</f>
        <v/>
      </c>
      <c r="W1200">
        <f>W1199+0.5</f>
        <v/>
      </c>
    </row>
    <row r="1201">
      <c r="E1201">
        <f>O1201=ROUND(1190*0.1,10)</f>
        <v/>
      </c>
      <c r="F1201">
        <f>P1201=ROUND(1190*0.2,10)</f>
        <v/>
      </c>
      <c r="G1201">
        <f>Q1201=ROUND(1190*0.3,10)</f>
        <v/>
      </c>
      <c r="H1201">
        <f>R1201=ROUND(1190*0.05,10)</f>
        <v/>
      </c>
      <c r="I1201">
        <f>S1201=ROUND(1190*0.01,10)</f>
        <v/>
      </c>
      <c r="J1201">
        <f>T1201=ROUND(1190*0.7,10)</f>
        <v/>
      </c>
      <c r="K1201">
        <f>U1201=ROUND(1190*1.1,10)</f>
        <v/>
      </c>
      <c r="L1201">
        <f>V1201=ROUND(1190*0.25,10)</f>
        <v/>
      </c>
      <c r="M1201">
        <f>W1201=ROUND(1190*0.5,10)</f>
        <v/>
      </c>
      <c r="O1201">
        <f>O1200+0.1</f>
        <v/>
      </c>
      <c r="P1201">
        <f>P1200+0.2</f>
        <v/>
      </c>
      <c r="Q1201">
        <f>Q1200+0.3</f>
        <v/>
      </c>
      <c r="R1201">
        <f>R1200+0.05</f>
        <v/>
      </c>
      <c r="S1201">
        <f>S1200+0.01</f>
        <v/>
      </c>
      <c r="T1201">
        <f>T1200+0.7</f>
        <v/>
      </c>
      <c r="U1201">
        <f>U1200+1.1</f>
        <v/>
      </c>
      <c r="V1201">
        <f>V1200+0.25</f>
        <v/>
      </c>
      <c r="W1201">
        <f>W1200+0.5</f>
        <v/>
      </c>
    </row>
    <row r="1202">
      <c r="E1202">
        <f>O1202=ROUND(1191*0.1,10)</f>
        <v/>
      </c>
      <c r="F1202">
        <f>P1202=ROUND(1191*0.2,10)</f>
        <v/>
      </c>
      <c r="G1202">
        <f>Q1202=ROUND(1191*0.3,10)</f>
        <v/>
      </c>
      <c r="H1202">
        <f>R1202=ROUND(1191*0.05,10)</f>
        <v/>
      </c>
      <c r="I1202">
        <f>S1202=ROUND(1191*0.01,10)</f>
        <v/>
      </c>
      <c r="J1202">
        <f>T1202=ROUND(1191*0.7,10)</f>
        <v/>
      </c>
      <c r="K1202">
        <f>U1202=ROUND(1191*1.1,10)</f>
        <v/>
      </c>
      <c r="L1202">
        <f>V1202=ROUND(1191*0.25,10)</f>
        <v/>
      </c>
      <c r="M1202">
        <f>W1202=ROUND(1191*0.5,10)</f>
        <v/>
      </c>
      <c r="O1202">
        <f>O1201+0.1</f>
        <v/>
      </c>
      <c r="P1202">
        <f>P1201+0.2</f>
        <v/>
      </c>
      <c r="Q1202">
        <f>Q1201+0.3</f>
        <v/>
      </c>
      <c r="R1202">
        <f>R1201+0.05</f>
        <v/>
      </c>
      <c r="S1202">
        <f>S1201+0.01</f>
        <v/>
      </c>
      <c r="T1202">
        <f>T1201+0.7</f>
        <v/>
      </c>
      <c r="U1202">
        <f>U1201+1.1</f>
        <v/>
      </c>
      <c r="V1202">
        <f>V1201+0.25</f>
        <v/>
      </c>
      <c r="W1202">
        <f>W1201+0.5</f>
        <v/>
      </c>
    </row>
    <row r="1203">
      <c r="E1203">
        <f>O1203=ROUND(1192*0.1,10)</f>
        <v/>
      </c>
      <c r="F1203">
        <f>P1203=ROUND(1192*0.2,10)</f>
        <v/>
      </c>
      <c r="G1203">
        <f>Q1203=ROUND(1192*0.3,10)</f>
        <v/>
      </c>
      <c r="H1203">
        <f>R1203=ROUND(1192*0.05,10)</f>
        <v/>
      </c>
      <c r="I1203">
        <f>S1203=ROUND(1192*0.01,10)</f>
        <v/>
      </c>
      <c r="J1203">
        <f>T1203=ROUND(1192*0.7,10)</f>
        <v/>
      </c>
      <c r="K1203">
        <f>U1203=ROUND(1192*1.1,10)</f>
        <v/>
      </c>
      <c r="L1203">
        <f>V1203=ROUND(1192*0.25,10)</f>
        <v/>
      </c>
      <c r="M1203">
        <f>W1203=ROUND(1192*0.5,10)</f>
        <v/>
      </c>
      <c r="O1203">
        <f>O1202+0.1</f>
        <v/>
      </c>
      <c r="P1203">
        <f>P1202+0.2</f>
        <v/>
      </c>
      <c r="Q1203">
        <f>Q1202+0.3</f>
        <v/>
      </c>
      <c r="R1203">
        <f>R1202+0.05</f>
        <v/>
      </c>
      <c r="S1203">
        <f>S1202+0.01</f>
        <v/>
      </c>
      <c r="T1203">
        <f>T1202+0.7</f>
        <v/>
      </c>
      <c r="U1203">
        <f>U1202+1.1</f>
        <v/>
      </c>
      <c r="V1203">
        <f>V1202+0.25</f>
        <v/>
      </c>
      <c r="W1203">
        <f>W1202+0.5</f>
        <v/>
      </c>
    </row>
    <row r="1204">
      <c r="E1204">
        <f>O1204=ROUND(1193*0.1,10)</f>
        <v/>
      </c>
      <c r="F1204">
        <f>P1204=ROUND(1193*0.2,10)</f>
        <v/>
      </c>
      <c r="G1204">
        <f>Q1204=ROUND(1193*0.3,10)</f>
        <v/>
      </c>
      <c r="H1204">
        <f>R1204=ROUND(1193*0.05,10)</f>
        <v/>
      </c>
      <c r="I1204">
        <f>S1204=ROUND(1193*0.01,10)</f>
        <v/>
      </c>
      <c r="J1204">
        <f>T1204=ROUND(1193*0.7,10)</f>
        <v/>
      </c>
      <c r="K1204">
        <f>U1204=ROUND(1193*1.1,10)</f>
        <v/>
      </c>
      <c r="L1204">
        <f>V1204=ROUND(1193*0.25,10)</f>
        <v/>
      </c>
      <c r="M1204">
        <f>W1204=ROUND(1193*0.5,10)</f>
        <v/>
      </c>
      <c r="O1204">
        <f>O1203+0.1</f>
        <v/>
      </c>
      <c r="P1204">
        <f>P1203+0.2</f>
        <v/>
      </c>
      <c r="Q1204">
        <f>Q1203+0.3</f>
        <v/>
      </c>
      <c r="R1204">
        <f>R1203+0.05</f>
        <v/>
      </c>
      <c r="S1204">
        <f>S1203+0.01</f>
        <v/>
      </c>
      <c r="T1204">
        <f>T1203+0.7</f>
        <v/>
      </c>
      <c r="U1204">
        <f>U1203+1.1</f>
        <v/>
      </c>
      <c r="V1204">
        <f>V1203+0.25</f>
        <v/>
      </c>
      <c r="W1204">
        <f>W1203+0.5</f>
        <v/>
      </c>
    </row>
    <row r="1205">
      <c r="E1205">
        <f>O1205=ROUND(1194*0.1,10)</f>
        <v/>
      </c>
      <c r="F1205">
        <f>P1205=ROUND(1194*0.2,10)</f>
        <v/>
      </c>
      <c r="G1205">
        <f>Q1205=ROUND(1194*0.3,10)</f>
        <v/>
      </c>
      <c r="H1205">
        <f>R1205=ROUND(1194*0.05,10)</f>
        <v/>
      </c>
      <c r="I1205">
        <f>S1205=ROUND(1194*0.01,10)</f>
        <v/>
      </c>
      <c r="J1205">
        <f>T1205=ROUND(1194*0.7,10)</f>
        <v/>
      </c>
      <c r="K1205">
        <f>U1205=ROUND(1194*1.1,10)</f>
        <v/>
      </c>
      <c r="L1205">
        <f>V1205=ROUND(1194*0.25,10)</f>
        <v/>
      </c>
      <c r="M1205">
        <f>W1205=ROUND(1194*0.5,10)</f>
        <v/>
      </c>
      <c r="O1205">
        <f>O1204+0.1</f>
        <v/>
      </c>
      <c r="P1205">
        <f>P1204+0.2</f>
        <v/>
      </c>
      <c r="Q1205">
        <f>Q1204+0.3</f>
        <v/>
      </c>
      <c r="R1205">
        <f>R1204+0.05</f>
        <v/>
      </c>
      <c r="S1205">
        <f>S1204+0.01</f>
        <v/>
      </c>
      <c r="T1205">
        <f>T1204+0.7</f>
        <v/>
      </c>
      <c r="U1205">
        <f>U1204+1.1</f>
        <v/>
      </c>
      <c r="V1205">
        <f>V1204+0.25</f>
        <v/>
      </c>
      <c r="W1205">
        <f>W1204+0.5</f>
        <v/>
      </c>
    </row>
    <row r="1206">
      <c r="E1206">
        <f>O1206=ROUND(1195*0.1,10)</f>
        <v/>
      </c>
      <c r="F1206">
        <f>P1206=ROUND(1195*0.2,10)</f>
        <v/>
      </c>
      <c r="G1206">
        <f>Q1206=ROUND(1195*0.3,10)</f>
        <v/>
      </c>
      <c r="H1206">
        <f>R1206=ROUND(1195*0.05,10)</f>
        <v/>
      </c>
      <c r="I1206">
        <f>S1206=ROUND(1195*0.01,10)</f>
        <v/>
      </c>
      <c r="J1206">
        <f>T1206=ROUND(1195*0.7,10)</f>
        <v/>
      </c>
      <c r="K1206">
        <f>U1206=ROUND(1195*1.1,10)</f>
        <v/>
      </c>
      <c r="L1206">
        <f>V1206=ROUND(1195*0.25,10)</f>
        <v/>
      </c>
      <c r="M1206">
        <f>W1206=ROUND(1195*0.5,10)</f>
        <v/>
      </c>
      <c r="O1206">
        <f>O1205+0.1</f>
        <v/>
      </c>
      <c r="P1206">
        <f>P1205+0.2</f>
        <v/>
      </c>
      <c r="Q1206">
        <f>Q1205+0.3</f>
        <v/>
      </c>
      <c r="R1206">
        <f>R1205+0.05</f>
        <v/>
      </c>
      <c r="S1206">
        <f>S1205+0.01</f>
        <v/>
      </c>
      <c r="T1206">
        <f>T1205+0.7</f>
        <v/>
      </c>
      <c r="U1206">
        <f>U1205+1.1</f>
        <v/>
      </c>
      <c r="V1206">
        <f>V1205+0.25</f>
        <v/>
      </c>
      <c r="W1206">
        <f>W1205+0.5</f>
        <v/>
      </c>
    </row>
    <row r="1207">
      <c r="E1207">
        <f>O1207=ROUND(1196*0.1,10)</f>
        <v/>
      </c>
      <c r="F1207">
        <f>P1207=ROUND(1196*0.2,10)</f>
        <v/>
      </c>
      <c r="G1207">
        <f>Q1207=ROUND(1196*0.3,10)</f>
        <v/>
      </c>
      <c r="H1207">
        <f>R1207=ROUND(1196*0.05,10)</f>
        <v/>
      </c>
      <c r="I1207">
        <f>S1207=ROUND(1196*0.01,10)</f>
        <v/>
      </c>
      <c r="J1207">
        <f>T1207=ROUND(1196*0.7,10)</f>
        <v/>
      </c>
      <c r="K1207">
        <f>U1207=ROUND(1196*1.1,10)</f>
        <v/>
      </c>
      <c r="L1207">
        <f>V1207=ROUND(1196*0.25,10)</f>
        <v/>
      </c>
      <c r="M1207">
        <f>W1207=ROUND(1196*0.5,10)</f>
        <v/>
      </c>
      <c r="O1207">
        <f>O1206+0.1</f>
        <v/>
      </c>
      <c r="P1207">
        <f>P1206+0.2</f>
        <v/>
      </c>
      <c r="Q1207">
        <f>Q1206+0.3</f>
        <v/>
      </c>
      <c r="R1207">
        <f>R1206+0.05</f>
        <v/>
      </c>
      <c r="S1207">
        <f>S1206+0.01</f>
        <v/>
      </c>
      <c r="T1207">
        <f>T1206+0.7</f>
        <v/>
      </c>
      <c r="U1207">
        <f>U1206+1.1</f>
        <v/>
      </c>
      <c r="V1207">
        <f>V1206+0.25</f>
        <v/>
      </c>
      <c r="W1207">
        <f>W1206+0.5</f>
        <v/>
      </c>
    </row>
    <row r="1208">
      <c r="E1208">
        <f>O1208=ROUND(1197*0.1,10)</f>
        <v/>
      </c>
      <c r="F1208">
        <f>P1208=ROUND(1197*0.2,10)</f>
        <v/>
      </c>
      <c r="G1208">
        <f>Q1208=ROUND(1197*0.3,10)</f>
        <v/>
      </c>
      <c r="H1208">
        <f>R1208=ROUND(1197*0.05,10)</f>
        <v/>
      </c>
      <c r="I1208">
        <f>S1208=ROUND(1197*0.01,10)</f>
        <v/>
      </c>
      <c r="J1208">
        <f>T1208=ROUND(1197*0.7,10)</f>
        <v/>
      </c>
      <c r="K1208">
        <f>U1208=ROUND(1197*1.1,10)</f>
        <v/>
      </c>
      <c r="L1208">
        <f>V1208=ROUND(1197*0.25,10)</f>
        <v/>
      </c>
      <c r="M1208">
        <f>W1208=ROUND(1197*0.5,10)</f>
        <v/>
      </c>
      <c r="O1208">
        <f>O1207+0.1</f>
        <v/>
      </c>
      <c r="P1208">
        <f>P1207+0.2</f>
        <v/>
      </c>
      <c r="Q1208">
        <f>Q1207+0.3</f>
        <v/>
      </c>
      <c r="R1208">
        <f>R1207+0.05</f>
        <v/>
      </c>
      <c r="S1208">
        <f>S1207+0.01</f>
        <v/>
      </c>
      <c r="T1208">
        <f>T1207+0.7</f>
        <v/>
      </c>
      <c r="U1208">
        <f>U1207+1.1</f>
        <v/>
      </c>
      <c r="V1208">
        <f>V1207+0.25</f>
        <v/>
      </c>
      <c r="W1208">
        <f>W1207+0.5</f>
        <v/>
      </c>
    </row>
    <row r="1209">
      <c r="E1209">
        <f>O1209=ROUND(1198*0.1,10)</f>
        <v/>
      </c>
      <c r="F1209">
        <f>P1209=ROUND(1198*0.2,10)</f>
        <v/>
      </c>
      <c r="G1209">
        <f>Q1209=ROUND(1198*0.3,10)</f>
        <v/>
      </c>
      <c r="H1209">
        <f>R1209=ROUND(1198*0.05,10)</f>
        <v/>
      </c>
      <c r="I1209">
        <f>S1209=ROUND(1198*0.01,10)</f>
        <v/>
      </c>
      <c r="J1209">
        <f>T1209=ROUND(1198*0.7,10)</f>
        <v/>
      </c>
      <c r="K1209">
        <f>U1209=ROUND(1198*1.1,10)</f>
        <v/>
      </c>
      <c r="L1209">
        <f>V1209=ROUND(1198*0.25,10)</f>
        <v/>
      </c>
      <c r="M1209">
        <f>W1209=ROUND(1198*0.5,10)</f>
        <v/>
      </c>
      <c r="O1209">
        <f>O1208+0.1</f>
        <v/>
      </c>
      <c r="P1209">
        <f>P1208+0.2</f>
        <v/>
      </c>
      <c r="Q1209">
        <f>Q1208+0.3</f>
        <v/>
      </c>
      <c r="R1209">
        <f>R1208+0.05</f>
        <v/>
      </c>
      <c r="S1209">
        <f>S1208+0.01</f>
        <v/>
      </c>
      <c r="T1209">
        <f>T1208+0.7</f>
        <v/>
      </c>
      <c r="U1209">
        <f>U1208+1.1</f>
        <v/>
      </c>
      <c r="V1209">
        <f>V1208+0.25</f>
        <v/>
      </c>
      <c r="W1209">
        <f>W1208+0.5</f>
        <v/>
      </c>
    </row>
    <row r="1210">
      <c r="E1210">
        <f>O1210=ROUND(1199*0.1,10)</f>
        <v/>
      </c>
      <c r="F1210">
        <f>P1210=ROUND(1199*0.2,10)</f>
        <v/>
      </c>
      <c r="G1210">
        <f>Q1210=ROUND(1199*0.3,10)</f>
        <v/>
      </c>
      <c r="H1210">
        <f>R1210=ROUND(1199*0.05,10)</f>
        <v/>
      </c>
      <c r="I1210">
        <f>S1210=ROUND(1199*0.01,10)</f>
        <v/>
      </c>
      <c r="J1210">
        <f>T1210=ROUND(1199*0.7,10)</f>
        <v/>
      </c>
      <c r="K1210">
        <f>U1210=ROUND(1199*1.1,10)</f>
        <v/>
      </c>
      <c r="L1210">
        <f>V1210=ROUND(1199*0.25,10)</f>
        <v/>
      </c>
      <c r="M1210">
        <f>W1210=ROUND(1199*0.5,10)</f>
        <v/>
      </c>
      <c r="O1210">
        <f>O1209+0.1</f>
        <v/>
      </c>
      <c r="P1210">
        <f>P1209+0.2</f>
        <v/>
      </c>
      <c r="Q1210">
        <f>Q1209+0.3</f>
        <v/>
      </c>
      <c r="R1210">
        <f>R1209+0.05</f>
        <v/>
      </c>
      <c r="S1210">
        <f>S1209+0.01</f>
        <v/>
      </c>
      <c r="T1210">
        <f>T1209+0.7</f>
        <v/>
      </c>
      <c r="U1210">
        <f>U1209+1.1</f>
        <v/>
      </c>
      <c r="V1210">
        <f>V1209+0.25</f>
        <v/>
      </c>
      <c r="W1210">
        <f>W1209+0.5</f>
        <v/>
      </c>
    </row>
    <row r="1211">
      <c r="E1211">
        <f>O1211=ROUND(1200*0.1,10)</f>
        <v/>
      </c>
      <c r="F1211">
        <f>P1211=ROUND(1200*0.2,10)</f>
        <v/>
      </c>
      <c r="G1211">
        <f>Q1211=ROUND(1200*0.3,10)</f>
        <v/>
      </c>
      <c r="H1211">
        <f>R1211=ROUND(1200*0.05,10)</f>
        <v/>
      </c>
      <c r="I1211">
        <f>S1211=ROUND(1200*0.01,10)</f>
        <v/>
      </c>
      <c r="J1211">
        <f>T1211=ROUND(1200*0.7,10)</f>
        <v/>
      </c>
      <c r="K1211">
        <f>U1211=ROUND(1200*1.1,10)</f>
        <v/>
      </c>
      <c r="L1211">
        <f>V1211=ROUND(1200*0.25,10)</f>
        <v/>
      </c>
      <c r="M1211">
        <f>W1211=ROUND(1200*0.5,10)</f>
        <v/>
      </c>
      <c r="O1211">
        <f>O1210+0.1</f>
        <v/>
      </c>
      <c r="P1211">
        <f>P1210+0.2</f>
        <v/>
      </c>
      <c r="Q1211">
        <f>Q1210+0.3</f>
        <v/>
      </c>
      <c r="R1211">
        <f>R1210+0.05</f>
        <v/>
      </c>
      <c r="S1211">
        <f>S1210+0.01</f>
        <v/>
      </c>
      <c r="T1211">
        <f>T1210+0.7</f>
        <v/>
      </c>
      <c r="U1211">
        <f>U1210+1.1</f>
        <v/>
      </c>
      <c r="V1211">
        <f>V1210+0.25</f>
        <v/>
      </c>
      <c r="W1211">
        <f>W1210+0.5</f>
        <v/>
      </c>
    </row>
    <row r="1212">
      <c r="E1212">
        <f>O1212=ROUND(1201*0.1,10)</f>
        <v/>
      </c>
      <c r="F1212">
        <f>P1212=ROUND(1201*0.2,10)</f>
        <v/>
      </c>
      <c r="G1212">
        <f>Q1212=ROUND(1201*0.3,10)</f>
        <v/>
      </c>
      <c r="H1212">
        <f>R1212=ROUND(1201*0.05,10)</f>
        <v/>
      </c>
      <c r="I1212">
        <f>S1212=ROUND(1201*0.01,10)</f>
        <v/>
      </c>
      <c r="J1212">
        <f>T1212=ROUND(1201*0.7,10)</f>
        <v/>
      </c>
      <c r="K1212">
        <f>U1212=ROUND(1201*1.1,10)</f>
        <v/>
      </c>
      <c r="L1212">
        <f>V1212=ROUND(1201*0.25,10)</f>
        <v/>
      </c>
      <c r="M1212">
        <f>W1212=ROUND(1201*0.5,10)</f>
        <v/>
      </c>
      <c r="O1212">
        <f>O1211+0.1</f>
        <v/>
      </c>
      <c r="P1212">
        <f>P1211+0.2</f>
        <v/>
      </c>
      <c r="Q1212">
        <f>Q1211+0.3</f>
        <v/>
      </c>
      <c r="R1212">
        <f>R1211+0.05</f>
        <v/>
      </c>
      <c r="S1212">
        <f>S1211+0.01</f>
        <v/>
      </c>
      <c r="T1212">
        <f>T1211+0.7</f>
        <v/>
      </c>
      <c r="U1212">
        <f>U1211+1.1</f>
        <v/>
      </c>
      <c r="V1212">
        <f>V1211+0.25</f>
        <v/>
      </c>
      <c r="W1212">
        <f>W1211+0.5</f>
        <v/>
      </c>
    </row>
    <row r="1213">
      <c r="E1213">
        <f>O1213=ROUND(1202*0.1,10)</f>
        <v/>
      </c>
      <c r="F1213">
        <f>P1213=ROUND(1202*0.2,10)</f>
        <v/>
      </c>
      <c r="G1213">
        <f>Q1213=ROUND(1202*0.3,10)</f>
        <v/>
      </c>
      <c r="H1213">
        <f>R1213=ROUND(1202*0.05,10)</f>
        <v/>
      </c>
      <c r="I1213">
        <f>S1213=ROUND(1202*0.01,10)</f>
        <v/>
      </c>
      <c r="J1213">
        <f>T1213=ROUND(1202*0.7,10)</f>
        <v/>
      </c>
      <c r="K1213">
        <f>U1213=ROUND(1202*1.1,10)</f>
        <v/>
      </c>
      <c r="L1213">
        <f>V1213=ROUND(1202*0.25,10)</f>
        <v/>
      </c>
      <c r="M1213">
        <f>W1213=ROUND(1202*0.5,10)</f>
        <v/>
      </c>
      <c r="O1213">
        <f>O1212+0.1</f>
        <v/>
      </c>
      <c r="P1213">
        <f>P1212+0.2</f>
        <v/>
      </c>
      <c r="Q1213">
        <f>Q1212+0.3</f>
        <v/>
      </c>
      <c r="R1213">
        <f>R1212+0.05</f>
        <v/>
      </c>
      <c r="S1213">
        <f>S1212+0.01</f>
        <v/>
      </c>
      <c r="T1213">
        <f>T1212+0.7</f>
        <v/>
      </c>
      <c r="U1213">
        <f>U1212+1.1</f>
        <v/>
      </c>
      <c r="V1213">
        <f>V1212+0.25</f>
        <v/>
      </c>
      <c r="W1213">
        <f>W1212+0.5</f>
        <v/>
      </c>
    </row>
    <row r="1214">
      <c r="E1214">
        <f>O1214=ROUND(1203*0.1,10)</f>
        <v/>
      </c>
      <c r="F1214">
        <f>P1214=ROUND(1203*0.2,10)</f>
        <v/>
      </c>
      <c r="G1214">
        <f>Q1214=ROUND(1203*0.3,10)</f>
        <v/>
      </c>
      <c r="H1214">
        <f>R1214=ROUND(1203*0.05,10)</f>
        <v/>
      </c>
      <c r="I1214">
        <f>S1214=ROUND(1203*0.01,10)</f>
        <v/>
      </c>
      <c r="J1214">
        <f>T1214=ROUND(1203*0.7,10)</f>
        <v/>
      </c>
      <c r="K1214">
        <f>U1214=ROUND(1203*1.1,10)</f>
        <v/>
      </c>
      <c r="L1214">
        <f>V1214=ROUND(1203*0.25,10)</f>
        <v/>
      </c>
      <c r="M1214">
        <f>W1214=ROUND(1203*0.5,10)</f>
        <v/>
      </c>
      <c r="O1214">
        <f>O1213+0.1</f>
        <v/>
      </c>
      <c r="P1214">
        <f>P1213+0.2</f>
        <v/>
      </c>
      <c r="Q1214">
        <f>Q1213+0.3</f>
        <v/>
      </c>
      <c r="R1214">
        <f>R1213+0.05</f>
        <v/>
      </c>
      <c r="S1214">
        <f>S1213+0.01</f>
        <v/>
      </c>
      <c r="T1214">
        <f>T1213+0.7</f>
        <v/>
      </c>
      <c r="U1214">
        <f>U1213+1.1</f>
        <v/>
      </c>
      <c r="V1214">
        <f>V1213+0.25</f>
        <v/>
      </c>
      <c r="W1214">
        <f>W1213+0.5</f>
        <v/>
      </c>
    </row>
    <row r="1215">
      <c r="E1215">
        <f>O1215=ROUND(1204*0.1,10)</f>
        <v/>
      </c>
      <c r="F1215">
        <f>P1215=ROUND(1204*0.2,10)</f>
        <v/>
      </c>
      <c r="G1215">
        <f>Q1215=ROUND(1204*0.3,10)</f>
        <v/>
      </c>
      <c r="H1215">
        <f>R1215=ROUND(1204*0.05,10)</f>
        <v/>
      </c>
      <c r="I1215">
        <f>S1215=ROUND(1204*0.01,10)</f>
        <v/>
      </c>
      <c r="J1215">
        <f>T1215=ROUND(1204*0.7,10)</f>
        <v/>
      </c>
      <c r="K1215">
        <f>U1215=ROUND(1204*1.1,10)</f>
        <v/>
      </c>
      <c r="L1215">
        <f>V1215=ROUND(1204*0.25,10)</f>
        <v/>
      </c>
      <c r="M1215">
        <f>W1215=ROUND(1204*0.5,10)</f>
        <v/>
      </c>
      <c r="O1215">
        <f>O1214+0.1</f>
        <v/>
      </c>
      <c r="P1215">
        <f>P1214+0.2</f>
        <v/>
      </c>
      <c r="Q1215">
        <f>Q1214+0.3</f>
        <v/>
      </c>
      <c r="R1215">
        <f>R1214+0.05</f>
        <v/>
      </c>
      <c r="S1215">
        <f>S1214+0.01</f>
        <v/>
      </c>
      <c r="T1215">
        <f>T1214+0.7</f>
        <v/>
      </c>
      <c r="U1215">
        <f>U1214+1.1</f>
        <v/>
      </c>
      <c r="V1215">
        <f>V1214+0.25</f>
        <v/>
      </c>
      <c r="W1215">
        <f>W1214+0.5</f>
        <v/>
      </c>
    </row>
    <row r="1216">
      <c r="E1216">
        <f>O1216=ROUND(1205*0.1,10)</f>
        <v/>
      </c>
      <c r="F1216">
        <f>P1216=ROUND(1205*0.2,10)</f>
        <v/>
      </c>
      <c r="G1216">
        <f>Q1216=ROUND(1205*0.3,10)</f>
        <v/>
      </c>
      <c r="H1216">
        <f>R1216=ROUND(1205*0.05,10)</f>
        <v/>
      </c>
      <c r="I1216">
        <f>S1216=ROUND(1205*0.01,10)</f>
        <v/>
      </c>
      <c r="J1216">
        <f>T1216=ROUND(1205*0.7,10)</f>
        <v/>
      </c>
      <c r="K1216">
        <f>U1216=ROUND(1205*1.1,10)</f>
        <v/>
      </c>
      <c r="L1216">
        <f>V1216=ROUND(1205*0.25,10)</f>
        <v/>
      </c>
      <c r="M1216">
        <f>W1216=ROUND(1205*0.5,10)</f>
        <v/>
      </c>
      <c r="O1216">
        <f>O1215+0.1</f>
        <v/>
      </c>
      <c r="P1216">
        <f>P1215+0.2</f>
        <v/>
      </c>
      <c r="Q1216">
        <f>Q1215+0.3</f>
        <v/>
      </c>
      <c r="R1216">
        <f>R1215+0.05</f>
        <v/>
      </c>
      <c r="S1216">
        <f>S1215+0.01</f>
        <v/>
      </c>
      <c r="T1216">
        <f>T1215+0.7</f>
        <v/>
      </c>
      <c r="U1216">
        <f>U1215+1.1</f>
        <v/>
      </c>
      <c r="V1216">
        <f>V1215+0.25</f>
        <v/>
      </c>
      <c r="W1216">
        <f>W1215+0.5</f>
        <v/>
      </c>
    </row>
    <row r="1217">
      <c r="E1217">
        <f>O1217=ROUND(1206*0.1,10)</f>
        <v/>
      </c>
      <c r="F1217">
        <f>P1217=ROUND(1206*0.2,10)</f>
        <v/>
      </c>
      <c r="G1217">
        <f>Q1217=ROUND(1206*0.3,10)</f>
        <v/>
      </c>
      <c r="H1217">
        <f>R1217=ROUND(1206*0.05,10)</f>
        <v/>
      </c>
      <c r="I1217">
        <f>S1217=ROUND(1206*0.01,10)</f>
        <v/>
      </c>
      <c r="J1217">
        <f>T1217=ROUND(1206*0.7,10)</f>
        <v/>
      </c>
      <c r="K1217">
        <f>U1217=ROUND(1206*1.1,10)</f>
        <v/>
      </c>
      <c r="L1217">
        <f>V1217=ROUND(1206*0.25,10)</f>
        <v/>
      </c>
      <c r="M1217">
        <f>W1217=ROUND(1206*0.5,10)</f>
        <v/>
      </c>
      <c r="O1217">
        <f>O1216+0.1</f>
        <v/>
      </c>
      <c r="P1217">
        <f>P1216+0.2</f>
        <v/>
      </c>
      <c r="Q1217">
        <f>Q1216+0.3</f>
        <v/>
      </c>
      <c r="R1217">
        <f>R1216+0.05</f>
        <v/>
      </c>
      <c r="S1217">
        <f>S1216+0.01</f>
        <v/>
      </c>
      <c r="T1217">
        <f>T1216+0.7</f>
        <v/>
      </c>
      <c r="U1217">
        <f>U1216+1.1</f>
        <v/>
      </c>
      <c r="V1217">
        <f>V1216+0.25</f>
        <v/>
      </c>
      <c r="W1217">
        <f>W1216+0.5</f>
        <v/>
      </c>
    </row>
    <row r="1218">
      <c r="E1218">
        <f>O1218=ROUND(1207*0.1,10)</f>
        <v/>
      </c>
      <c r="F1218">
        <f>P1218=ROUND(1207*0.2,10)</f>
        <v/>
      </c>
      <c r="G1218">
        <f>Q1218=ROUND(1207*0.3,10)</f>
        <v/>
      </c>
      <c r="H1218">
        <f>R1218=ROUND(1207*0.05,10)</f>
        <v/>
      </c>
      <c r="I1218">
        <f>S1218=ROUND(1207*0.01,10)</f>
        <v/>
      </c>
      <c r="J1218">
        <f>T1218=ROUND(1207*0.7,10)</f>
        <v/>
      </c>
      <c r="K1218">
        <f>U1218=ROUND(1207*1.1,10)</f>
        <v/>
      </c>
      <c r="L1218">
        <f>V1218=ROUND(1207*0.25,10)</f>
        <v/>
      </c>
      <c r="M1218">
        <f>W1218=ROUND(1207*0.5,10)</f>
        <v/>
      </c>
      <c r="O1218">
        <f>O1217+0.1</f>
        <v/>
      </c>
      <c r="P1218">
        <f>P1217+0.2</f>
        <v/>
      </c>
      <c r="Q1218">
        <f>Q1217+0.3</f>
        <v/>
      </c>
      <c r="R1218">
        <f>R1217+0.05</f>
        <v/>
      </c>
      <c r="S1218">
        <f>S1217+0.01</f>
        <v/>
      </c>
      <c r="T1218">
        <f>T1217+0.7</f>
        <v/>
      </c>
      <c r="U1218">
        <f>U1217+1.1</f>
        <v/>
      </c>
      <c r="V1218">
        <f>V1217+0.25</f>
        <v/>
      </c>
      <c r="W1218">
        <f>W1217+0.5</f>
        <v/>
      </c>
    </row>
    <row r="1219">
      <c r="E1219">
        <f>O1219=ROUND(1208*0.1,10)</f>
        <v/>
      </c>
      <c r="F1219">
        <f>P1219=ROUND(1208*0.2,10)</f>
        <v/>
      </c>
      <c r="G1219">
        <f>Q1219=ROUND(1208*0.3,10)</f>
        <v/>
      </c>
      <c r="H1219">
        <f>R1219=ROUND(1208*0.05,10)</f>
        <v/>
      </c>
      <c r="I1219">
        <f>S1219=ROUND(1208*0.01,10)</f>
        <v/>
      </c>
      <c r="J1219">
        <f>T1219=ROUND(1208*0.7,10)</f>
        <v/>
      </c>
      <c r="K1219">
        <f>U1219=ROUND(1208*1.1,10)</f>
        <v/>
      </c>
      <c r="L1219">
        <f>V1219=ROUND(1208*0.25,10)</f>
        <v/>
      </c>
      <c r="M1219">
        <f>W1219=ROUND(1208*0.5,10)</f>
        <v/>
      </c>
      <c r="O1219">
        <f>O1218+0.1</f>
        <v/>
      </c>
      <c r="P1219">
        <f>P1218+0.2</f>
        <v/>
      </c>
      <c r="Q1219">
        <f>Q1218+0.3</f>
        <v/>
      </c>
      <c r="R1219">
        <f>R1218+0.05</f>
        <v/>
      </c>
      <c r="S1219">
        <f>S1218+0.01</f>
        <v/>
      </c>
      <c r="T1219">
        <f>T1218+0.7</f>
        <v/>
      </c>
      <c r="U1219">
        <f>U1218+1.1</f>
        <v/>
      </c>
      <c r="V1219">
        <f>V1218+0.25</f>
        <v/>
      </c>
      <c r="W1219">
        <f>W1218+0.5</f>
        <v/>
      </c>
    </row>
    <row r="1220">
      <c r="E1220">
        <f>O1220=ROUND(1209*0.1,10)</f>
        <v/>
      </c>
      <c r="F1220">
        <f>P1220=ROUND(1209*0.2,10)</f>
        <v/>
      </c>
      <c r="G1220">
        <f>Q1220=ROUND(1209*0.3,10)</f>
        <v/>
      </c>
      <c r="H1220">
        <f>R1220=ROUND(1209*0.05,10)</f>
        <v/>
      </c>
      <c r="I1220">
        <f>S1220=ROUND(1209*0.01,10)</f>
        <v/>
      </c>
      <c r="J1220">
        <f>T1220=ROUND(1209*0.7,10)</f>
        <v/>
      </c>
      <c r="K1220">
        <f>U1220=ROUND(1209*1.1,10)</f>
        <v/>
      </c>
      <c r="L1220">
        <f>V1220=ROUND(1209*0.25,10)</f>
        <v/>
      </c>
      <c r="M1220">
        <f>W1220=ROUND(1209*0.5,10)</f>
        <v/>
      </c>
      <c r="O1220">
        <f>O1219+0.1</f>
        <v/>
      </c>
      <c r="P1220">
        <f>P1219+0.2</f>
        <v/>
      </c>
      <c r="Q1220">
        <f>Q1219+0.3</f>
        <v/>
      </c>
      <c r="R1220">
        <f>R1219+0.05</f>
        <v/>
      </c>
      <c r="S1220">
        <f>S1219+0.01</f>
        <v/>
      </c>
      <c r="T1220">
        <f>T1219+0.7</f>
        <v/>
      </c>
      <c r="U1220">
        <f>U1219+1.1</f>
        <v/>
      </c>
      <c r="V1220">
        <f>V1219+0.25</f>
        <v/>
      </c>
      <c r="W1220">
        <f>W1219+0.5</f>
        <v/>
      </c>
    </row>
    <row r="1221">
      <c r="E1221">
        <f>O1221=ROUND(1210*0.1,10)</f>
        <v/>
      </c>
      <c r="F1221">
        <f>P1221=ROUND(1210*0.2,10)</f>
        <v/>
      </c>
      <c r="G1221">
        <f>Q1221=ROUND(1210*0.3,10)</f>
        <v/>
      </c>
      <c r="H1221">
        <f>R1221=ROUND(1210*0.05,10)</f>
        <v/>
      </c>
      <c r="I1221">
        <f>S1221=ROUND(1210*0.01,10)</f>
        <v/>
      </c>
      <c r="J1221">
        <f>T1221=ROUND(1210*0.7,10)</f>
        <v/>
      </c>
      <c r="K1221">
        <f>U1221=ROUND(1210*1.1,10)</f>
        <v/>
      </c>
      <c r="L1221">
        <f>V1221=ROUND(1210*0.25,10)</f>
        <v/>
      </c>
      <c r="M1221">
        <f>W1221=ROUND(1210*0.5,10)</f>
        <v/>
      </c>
      <c r="O1221">
        <f>O1220+0.1</f>
        <v/>
      </c>
      <c r="P1221">
        <f>P1220+0.2</f>
        <v/>
      </c>
      <c r="Q1221">
        <f>Q1220+0.3</f>
        <v/>
      </c>
      <c r="R1221">
        <f>R1220+0.05</f>
        <v/>
      </c>
      <c r="S1221">
        <f>S1220+0.01</f>
        <v/>
      </c>
      <c r="T1221">
        <f>T1220+0.7</f>
        <v/>
      </c>
      <c r="U1221">
        <f>U1220+1.1</f>
        <v/>
      </c>
      <c r="V1221">
        <f>V1220+0.25</f>
        <v/>
      </c>
      <c r="W1221">
        <f>W1220+0.5</f>
        <v/>
      </c>
    </row>
    <row r="1222">
      <c r="E1222">
        <f>O1222=ROUND(1211*0.1,10)</f>
        <v/>
      </c>
      <c r="F1222">
        <f>P1222=ROUND(1211*0.2,10)</f>
        <v/>
      </c>
      <c r="G1222">
        <f>Q1222=ROUND(1211*0.3,10)</f>
        <v/>
      </c>
      <c r="H1222">
        <f>R1222=ROUND(1211*0.05,10)</f>
        <v/>
      </c>
      <c r="I1222">
        <f>S1222=ROUND(1211*0.01,10)</f>
        <v/>
      </c>
      <c r="J1222">
        <f>T1222=ROUND(1211*0.7,10)</f>
        <v/>
      </c>
      <c r="K1222">
        <f>U1222=ROUND(1211*1.1,10)</f>
        <v/>
      </c>
      <c r="L1222">
        <f>V1222=ROUND(1211*0.25,10)</f>
        <v/>
      </c>
      <c r="M1222">
        <f>W1222=ROUND(1211*0.5,10)</f>
        <v/>
      </c>
      <c r="O1222">
        <f>O1221+0.1</f>
        <v/>
      </c>
      <c r="P1222">
        <f>P1221+0.2</f>
        <v/>
      </c>
      <c r="Q1222">
        <f>Q1221+0.3</f>
        <v/>
      </c>
      <c r="R1222">
        <f>R1221+0.05</f>
        <v/>
      </c>
      <c r="S1222">
        <f>S1221+0.01</f>
        <v/>
      </c>
      <c r="T1222">
        <f>T1221+0.7</f>
        <v/>
      </c>
      <c r="U1222">
        <f>U1221+1.1</f>
        <v/>
      </c>
      <c r="V1222">
        <f>V1221+0.25</f>
        <v/>
      </c>
      <c r="W1222">
        <f>W1221+0.5</f>
        <v/>
      </c>
    </row>
    <row r="1223">
      <c r="E1223">
        <f>O1223=ROUND(1212*0.1,10)</f>
        <v/>
      </c>
      <c r="F1223">
        <f>P1223=ROUND(1212*0.2,10)</f>
        <v/>
      </c>
      <c r="G1223">
        <f>Q1223=ROUND(1212*0.3,10)</f>
        <v/>
      </c>
      <c r="H1223">
        <f>R1223=ROUND(1212*0.05,10)</f>
        <v/>
      </c>
      <c r="I1223">
        <f>S1223=ROUND(1212*0.01,10)</f>
        <v/>
      </c>
      <c r="J1223">
        <f>T1223=ROUND(1212*0.7,10)</f>
        <v/>
      </c>
      <c r="K1223">
        <f>U1223=ROUND(1212*1.1,10)</f>
        <v/>
      </c>
      <c r="L1223">
        <f>V1223=ROUND(1212*0.25,10)</f>
        <v/>
      </c>
      <c r="M1223">
        <f>W1223=ROUND(1212*0.5,10)</f>
        <v/>
      </c>
      <c r="O1223">
        <f>O1222+0.1</f>
        <v/>
      </c>
      <c r="P1223">
        <f>P1222+0.2</f>
        <v/>
      </c>
      <c r="Q1223">
        <f>Q1222+0.3</f>
        <v/>
      </c>
      <c r="R1223">
        <f>R1222+0.05</f>
        <v/>
      </c>
      <c r="S1223">
        <f>S1222+0.01</f>
        <v/>
      </c>
      <c r="T1223">
        <f>T1222+0.7</f>
        <v/>
      </c>
      <c r="U1223">
        <f>U1222+1.1</f>
        <v/>
      </c>
      <c r="V1223">
        <f>V1222+0.25</f>
        <v/>
      </c>
      <c r="W1223">
        <f>W1222+0.5</f>
        <v/>
      </c>
    </row>
    <row r="1224">
      <c r="E1224">
        <f>O1224=ROUND(1213*0.1,10)</f>
        <v/>
      </c>
      <c r="F1224">
        <f>P1224=ROUND(1213*0.2,10)</f>
        <v/>
      </c>
      <c r="G1224">
        <f>Q1224=ROUND(1213*0.3,10)</f>
        <v/>
      </c>
      <c r="H1224">
        <f>R1224=ROUND(1213*0.05,10)</f>
        <v/>
      </c>
      <c r="I1224">
        <f>S1224=ROUND(1213*0.01,10)</f>
        <v/>
      </c>
      <c r="J1224">
        <f>T1224=ROUND(1213*0.7,10)</f>
        <v/>
      </c>
      <c r="K1224">
        <f>U1224=ROUND(1213*1.1,10)</f>
        <v/>
      </c>
      <c r="L1224">
        <f>V1224=ROUND(1213*0.25,10)</f>
        <v/>
      </c>
      <c r="M1224">
        <f>W1224=ROUND(1213*0.5,10)</f>
        <v/>
      </c>
      <c r="O1224">
        <f>O1223+0.1</f>
        <v/>
      </c>
      <c r="P1224">
        <f>P1223+0.2</f>
        <v/>
      </c>
      <c r="Q1224">
        <f>Q1223+0.3</f>
        <v/>
      </c>
      <c r="R1224">
        <f>R1223+0.05</f>
        <v/>
      </c>
      <c r="S1224">
        <f>S1223+0.01</f>
        <v/>
      </c>
      <c r="T1224">
        <f>T1223+0.7</f>
        <v/>
      </c>
      <c r="U1224">
        <f>U1223+1.1</f>
        <v/>
      </c>
      <c r="V1224">
        <f>V1223+0.25</f>
        <v/>
      </c>
      <c r="W1224">
        <f>W1223+0.5</f>
        <v/>
      </c>
    </row>
    <row r="1225">
      <c r="E1225">
        <f>O1225=ROUND(1214*0.1,10)</f>
        <v/>
      </c>
      <c r="F1225">
        <f>P1225=ROUND(1214*0.2,10)</f>
        <v/>
      </c>
      <c r="G1225">
        <f>Q1225=ROUND(1214*0.3,10)</f>
        <v/>
      </c>
      <c r="H1225">
        <f>R1225=ROUND(1214*0.05,10)</f>
        <v/>
      </c>
      <c r="I1225">
        <f>S1225=ROUND(1214*0.01,10)</f>
        <v/>
      </c>
      <c r="J1225">
        <f>T1225=ROUND(1214*0.7,10)</f>
        <v/>
      </c>
      <c r="K1225">
        <f>U1225=ROUND(1214*1.1,10)</f>
        <v/>
      </c>
      <c r="L1225">
        <f>V1225=ROUND(1214*0.25,10)</f>
        <v/>
      </c>
      <c r="M1225">
        <f>W1225=ROUND(1214*0.5,10)</f>
        <v/>
      </c>
      <c r="O1225">
        <f>O1224+0.1</f>
        <v/>
      </c>
      <c r="P1225">
        <f>P1224+0.2</f>
        <v/>
      </c>
      <c r="Q1225">
        <f>Q1224+0.3</f>
        <v/>
      </c>
      <c r="R1225">
        <f>R1224+0.05</f>
        <v/>
      </c>
      <c r="S1225">
        <f>S1224+0.01</f>
        <v/>
      </c>
      <c r="T1225">
        <f>T1224+0.7</f>
        <v/>
      </c>
      <c r="U1225">
        <f>U1224+1.1</f>
        <v/>
      </c>
      <c r="V1225">
        <f>V1224+0.25</f>
        <v/>
      </c>
      <c r="W1225">
        <f>W1224+0.5</f>
        <v/>
      </c>
    </row>
    <row r="1226">
      <c r="E1226">
        <f>O1226=ROUND(1215*0.1,10)</f>
        <v/>
      </c>
      <c r="F1226">
        <f>P1226=ROUND(1215*0.2,10)</f>
        <v/>
      </c>
      <c r="G1226">
        <f>Q1226=ROUND(1215*0.3,10)</f>
        <v/>
      </c>
      <c r="H1226">
        <f>R1226=ROUND(1215*0.05,10)</f>
        <v/>
      </c>
      <c r="I1226">
        <f>S1226=ROUND(1215*0.01,10)</f>
        <v/>
      </c>
      <c r="J1226">
        <f>T1226=ROUND(1215*0.7,10)</f>
        <v/>
      </c>
      <c r="K1226">
        <f>U1226=ROUND(1215*1.1,10)</f>
        <v/>
      </c>
      <c r="L1226">
        <f>V1226=ROUND(1215*0.25,10)</f>
        <v/>
      </c>
      <c r="M1226">
        <f>W1226=ROUND(1215*0.5,10)</f>
        <v/>
      </c>
      <c r="O1226">
        <f>O1225+0.1</f>
        <v/>
      </c>
      <c r="P1226">
        <f>P1225+0.2</f>
        <v/>
      </c>
      <c r="Q1226">
        <f>Q1225+0.3</f>
        <v/>
      </c>
      <c r="R1226">
        <f>R1225+0.05</f>
        <v/>
      </c>
      <c r="S1226">
        <f>S1225+0.01</f>
        <v/>
      </c>
      <c r="T1226">
        <f>T1225+0.7</f>
        <v/>
      </c>
      <c r="U1226">
        <f>U1225+1.1</f>
        <v/>
      </c>
      <c r="V1226">
        <f>V1225+0.25</f>
        <v/>
      </c>
      <c r="W1226">
        <f>W1225+0.5</f>
        <v/>
      </c>
    </row>
    <row r="1227">
      <c r="E1227">
        <f>O1227=ROUND(1216*0.1,10)</f>
        <v/>
      </c>
      <c r="F1227">
        <f>P1227=ROUND(1216*0.2,10)</f>
        <v/>
      </c>
      <c r="G1227">
        <f>Q1227=ROUND(1216*0.3,10)</f>
        <v/>
      </c>
      <c r="H1227">
        <f>R1227=ROUND(1216*0.05,10)</f>
        <v/>
      </c>
      <c r="I1227">
        <f>S1227=ROUND(1216*0.01,10)</f>
        <v/>
      </c>
      <c r="J1227">
        <f>T1227=ROUND(1216*0.7,10)</f>
        <v/>
      </c>
      <c r="K1227">
        <f>U1227=ROUND(1216*1.1,10)</f>
        <v/>
      </c>
      <c r="L1227">
        <f>V1227=ROUND(1216*0.25,10)</f>
        <v/>
      </c>
      <c r="M1227">
        <f>W1227=ROUND(1216*0.5,10)</f>
        <v/>
      </c>
      <c r="O1227">
        <f>O1226+0.1</f>
        <v/>
      </c>
      <c r="P1227">
        <f>P1226+0.2</f>
        <v/>
      </c>
      <c r="Q1227">
        <f>Q1226+0.3</f>
        <v/>
      </c>
      <c r="R1227">
        <f>R1226+0.05</f>
        <v/>
      </c>
      <c r="S1227">
        <f>S1226+0.01</f>
        <v/>
      </c>
      <c r="T1227">
        <f>T1226+0.7</f>
        <v/>
      </c>
      <c r="U1227">
        <f>U1226+1.1</f>
        <v/>
      </c>
      <c r="V1227">
        <f>V1226+0.25</f>
        <v/>
      </c>
      <c r="W1227">
        <f>W1226+0.5</f>
        <v/>
      </c>
    </row>
    <row r="1228">
      <c r="E1228">
        <f>O1228=ROUND(1217*0.1,10)</f>
        <v/>
      </c>
      <c r="F1228">
        <f>P1228=ROUND(1217*0.2,10)</f>
        <v/>
      </c>
      <c r="G1228">
        <f>Q1228=ROUND(1217*0.3,10)</f>
        <v/>
      </c>
      <c r="H1228">
        <f>R1228=ROUND(1217*0.05,10)</f>
        <v/>
      </c>
      <c r="I1228">
        <f>S1228=ROUND(1217*0.01,10)</f>
        <v/>
      </c>
      <c r="J1228">
        <f>T1228=ROUND(1217*0.7,10)</f>
        <v/>
      </c>
      <c r="K1228">
        <f>U1228=ROUND(1217*1.1,10)</f>
        <v/>
      </c>
      <c r="L1228">
        <f>V1228=ROUND(1217*0.25,10)</f>
        <v/>
      </c>
      <c r="M1228">
        <f>W1228=ROUND(1217*0.5,10)</f>
        <v/>
      </c>
      <c r="O1228">
        <f>O1227+0.1</f>
        <v/>
      </c>
      <c r="P1228">
        <f>P1227+0.2</f>
        <v/>
      </c>
      <c r="Q1228">
        <f>Q1227+0.3</f>
        <v/>
      </c>
      <c r="R1228">
        <f>R1227+0.05</f>
        <v/>
      </c>
      <c r="S1228">
        <f>S1227+0.01</f>
        <v/>
      </c>
      <c r="T1228">
        <f>T1227+0.7</f>
        <v/>
      </c>
      <c r="U1228">
        <f>U1227+1.1</f>
        <v/>
      </c>
      <c r="V1228">
        <f>V1227+0.25</f>
        <v/>
      </c>
      <c r="W1228">
        <f>W1227+0.5</f>
        <v/>
      </c>
    </row>
    <row r="1229">
      <c r="E1229">
        <f>O1229=ROUND(1218*0.1,10)</f>
        <v/>
      </c>
      <c r="F1229">
        <f>P1229=ROUND(1218*0.2,10)</f>
        <v/>
      </c>
      <c r="G1229">
        <f>Q1229=ROUND(1218*0.3,10)</f>
        <v/>
      </c>
      <c r="H1229">
        <f>R1229=ROUND(1218*0.05,10)</f>
        <v/>
      </c>
      <c r="I1229">
        <f>S1229=ROUND(1218*0.01,10)</f>
        <v/>
      </c>
      <c r="J1229">
        <f>T1229=ROUND(1218*0.7,10)</f>
        <v/>
      </c>
      <c r="K1229">
        <f>U1229=ROUND(1218*1.1,10)</f>
        <v/>
      </c>
      <c r="L1229">
        <f>V1229=ROUND(1218*0.25,10)</f>
        <v/>
      </c>
      <c r="M1229">
        <f>W1229=ROUND(1218*0.5,10)</f>
        <v/>
      </c>
      <c r="O1229">
        <f>O1228+0.1</f>
        <v/>
      </c>
      <c r="P1229">
        <f>P1228+0.2</f>
        <v/>
      </c>
      <c r="Q1229">
        <f>Q1228+0.3</f>
        <v/>
      </c>
      <c r="R1229">
        <f>R1228+0.05</f>
        <v/>
      </c>
      <c r="S1229">
        <f>S1228+0.01</f>
        <v/>
      </c>
      <c r="T1229">
        <f>T1228+0.7</f>
        <v/>
      </c>
      <c r="U1229">
        <f>U1228+1.1</f>
        <v/>
      </c>
      <c r="V1229">
        <f>V1228+0.25</f>
        <v/>
      </c>
      <c r="W1229">
        <f>W1228+0.5</f>
        <v/>
      </c>
    </row>
    <row r="1230">
      <c r="E1230">
        <f>O1230=ROUND(1219*0.1,10)</f>
        <v/>
      </c>
      <c r="F1230">
        <f>P1230=ROUND(1219*0.2,10)</f>
        <v/>
      </c>
      <c r="G1230">
        <f>Q1230=ROUND(1219*0.3,10)</f>
        <v/>
      </c>
      <c r="H1230">
        <f>R1230=ROUND(1219*0.05,10)</f>
        <v/>
      </c>
      <c r="I1230">
        <f>S1230=ROUND(1219*0.01,10)</f>
        <v/>
      </c>
      <c r="J1230">
        <f>T1230=ROUND(1219*0.7,10)</f>
        <v/>
      </c>
      <c r="K1230">
        <f>U1230=ROUND(1219*1.1,10)</f>
        <v/>
      </c>
      <c r="L1230">
        <f>V1230=ROUND(1219*0.25,10)</f>
        <v/>
      </c>
      <c r="M1230">
        <f>W1230=ROUND(1219*0.5,10)</f>
        <v/>
      </c>
      <c r="O1230">
        <f>O1229+0.1</f>
        <v/>
      </c>
      <c r="P1230">
        <f>P1229+0.2</f>
        <v/>
      </c>
      <c r="Q1230">
        <f>Q1229+0.3</f>
        <v/>
      </c>
      <c r="R1230">
        <f>R1229+0.05</f>
        <v/>
      </c>
      <c r="S1230">
        <f>S1229+0.01</f>
        <v/>
      </c>
      <c r="T1230">
        <f>T1229+0.7</f>
        <v/>
      </c>
      <c r="U1230">
        <f>U1229+1.1</f>
        <v/>
      </c>
      <c r="V1230">
        <f>V1229+0.25</f>
        <v/>
      </c>
      <c r="W1230">
        <f>W1229+0.5</f>
        <v/>
      </c>
    </row>
    <row r="1231">
      <c r="E1231">
        <f>O1231=ROUND(1220*0.1,10)</f>
        <v/>
      </c>
      <c r="F1231">
        <f>P1231=ROUND(1220*0.2,10)</f>
        <v/>
      </c>
      <c r="G1231">
        <f>Q1231=ROUND(1220*0.3,10)</f>
        <v/>
      </c>
      <c r="H1231">
        <f>R1231=ROUND(1220*0.05,10)</f>
        <v/>
      </c>
      <c r="I1231">
        <f>S1231=ROUND(1220*0.01,10)</f>
        <v/>
      </c>
      <c r="J1231">
        <f>T1231=ROUND(1220*0.7,10)</f>
        <v/>
      </c>
      <c r="K1231">
        <f>U1231=ROUND(1220*1.1,10)</f>
        <v/>
      </c>
      <c r="L1231">
        <f>V1231=ROUND(1220*0.25,10)</f>
        <v/>
      </c>
      <c r="M1231">
        <f>W1231=ROUND(1220*0.5,10)</f>
        <v/>
      </c>
      <c r="O1231">
        <f>O1230+0.1</f>
        <v/>
      </c>
      <c r="P1231">
        <f>P1230+0.2</f>
        <v/>
      </c>
      <c r="Q1231">
        <f>Q1230+0.3</f>
        <v/>
      </c>
      <c r="R1231">
        <f>R1230+0.05</f>
        <v/>
      </c>
      <c r="S1231">
        <f>S1230+0.01</f>
        <v/>
      </c>
      <c r="T1231">
        <f>T1230+0.7</f>
        <v/>
      </c>
      <c r="U1231">
        <f>U1230+1.1</f>
        <v/>
      </c>
      <c r="V1231">
        <f>V1230+0.25</f>
        <v/>
      </c>
      <c r="W1231">
        <f>W1230+0.5</f>
        <v/>
      </c>
    </row>
    <row r="1232">
      <c r="E1232">
        <f>O1232=ROUND(1221*0.1,10)</f>
        <v/>
      </c>
      <c r="F1232">
        <f>P1232=ROUND(1221*0.2,10)</f>
        <v/>
      </c>
      <c r="G1232">
        <f>Q1232=ROUND(1221*0.3,10)</f>
        <v/>
      </c>
      <c r="H1232">
        <f>R1232=ROUND(1221*0.05,10)</f>
        <v/>
      </c>
      <c r="I1232">
        <f>S1232=ROUND(1221*0.01,10)</f>
        <v/>
      </c>
      <c r="J1232">
        <f>T1232=ROUND(1221*0.7,10)</f>
        <v/>
      </c>
      <c r="K1232">
        <f>U1232=ROUND(1221*1.1,10)</f>
        <v/>
      </c>
      <c r="L1232">
        <f>V1232=ROUND(1221*0.25,10)</f>
        <v/>
      </c>
      <c r="M1232">
        <f>W1232=ROUND(1221*0.5,10)</f>
        <v/>
      </c>
      <c r="O1232">
        <f>O1231+0.1</f>
        <v/>
      </c>
      <c r="P1232">
        <f>P1231+0.2</f>
        <v/>
      </c>
      <c r="Q1232">
        <f>Q1231+0.3</f>
        <v/>
      </c>
      <c r="R1232">
        <f>R1231+0.05</f>
        <v/>
      </c>
      <c r="S1232">
        <f>S1231+0.01</f>
        <v/>
      </c>
      <c r="T1232">
        <f>T1231+0.7</f>
        <v/>
      </c>
      <c r="U1232">
        <f>U1231+1.1</f>
        <v/>
      </c>
      <c r="V1232">
        <f>V1231+0.25</f>
        <v/>
      </c>
      <c r="W1232">
        <f>W1231+0.5</f>
        <v/>
      </c>
    </row>
    <row r="1233">
      <c r="E1233">
        <f>O1233=ROUND(1222*0.1,10)</f>
        <v/>
      </c>
      <c r="F1233">
        <f>P1233=ROUND(1222*0.2,10)</f>
        <v/>
      </c>
      <c r="G1233">
        <f>Q1233=ROUND(1222*0.3,10)</f>
        <v/>
      </c>
      <c r="H1233">
        <f>R1233=ROUND(1222*0.05,10)</f>
        <v/>
      </c>
      <c r="I1233">
        <f>S1233=ROUND(1222*0.01,10)</f>
        <v/>
      </c>
      <c r="J1233">
        <f>T1233=ROUND(1222*0.7,10)</f>
        <v/>
      </c>
      <c r="K1233">
        <f>U1233=ROUND(1222*1.1,10)</f>
        <v/>
      </c>
      <c r="L1233">
        <f>V1233=ROUND(1222*0.25,10)</f>
        <v/>
      </c>
      <c r="M1233">
        <f>W1233=ROUND(1222*0.5,10)</f>
        <v/>
      </c>
      <c r="O1233">
        <f>O1232+0.1</f>
        <v/>
      </c>
      <c r="P1233">
        <f>P1232+0.2</f>
        <v/>
      </c>
      <c r="Q1233">
        <f>Q1232+0.3</f>
        <v/>
      </c>
      <c r="R1233">
        <f>R1232+0.05</f>
        <v/>
      </c>
      <c r="S1233">
        <f>S1232+0.01</f>
        <v/>
      </c>
      <c r="T1233">
        <f>T1232+0.7</f>
        <v/>
      </c>
      <c r="U1233">
        <f>U1232+1.1</f>
        <v/>
      </c>
      <c r="V1233">
        <f>V1232+0.25</f>
        <v/>
      </c>
      <c r="W1233">
        <f>W1232+0.5</f>
        <v/>
      </c>
    </row>
    <row r="1234">
      <c r="E1234">
        <f>O1234=ROUND(1223*0.1,10)</f>
        <v/>
      </c>
      <c r="F1234">
        <f>P1234=ROUND(1223*0.2,10)</f>
        <v/>
      </c>
      <c r="G1234">
        <f>Q1234=ROUND(1223*0.3,10)</f>
        <v/>
      </c>
      <c r="H1234">
        <f>R1234=ROUND(1223*0.05,10)</f>
        <v/>
      </c>
      <c r="I1234">
        <f>S1234=ROUND(1223*0.01,10)</f>
        <v/>
      </c>
      <c r="J1234">
        <f>T1234=ROUND(1223*0.7,10)</f>
        <v/>
      </c>
      <c r="K1234">
        <f>U1234=ROUND(1223*1.1,10)</f>
        <v/>
      </c>
      <c r="L1234">
        <f>V1234=ROUND(1223*0.25,10)</f>
        <v/>
      </c>
      <c r="M1234">
        <f>W1234=ROUND(1223*0.5,10)</f>
        <v/>
      </c>
      <c r="O1234">
        <f>O1233+0.1</f>
        <v/>
      </c>
      <c r="P1234">
        <f>P1233+0.2</f>
        <v/>
      </c>
      <c r="Q1234">
        <f>Q1233+0.3</f>
        <v/>
      </c>
      <c r="R1234">
        <f>R1233+0.05</f>
        <v/>
      </c>
      <c r="S1234">
        <f>S1233+0.01</f>
        <v/>
      </c>
      <c r="T1234">
        <f>T1233+0.7</f>
        <v/>
      </c>
      <c r="U1234">
        <f>U1233+1.1</f>
        <v/>
      </c>
      <c r="V1234">
        <f>V1233+0.25</f>
        <v/>
      </c>
      <c r="W1234">
        <f>W1233+0.5</f>
        <v/>
      </c>
    </row>
    <row r="1235">
      <c r="E1235">
        <f>O1235=ROUND(1224*0.1,10)</f>
        <v/>
      </c>
      <c r="F1235">
        <f>P1235=ROUND(1224*0.2,10)</f>
        <v/>
      </c>
      <c r="G1235">
        <f>Q1235=ROUND(1224*0.3,10)</f>
        <v/>
      </c>
      <c r="H1235">
        <f>R1235=ROUND(1224*0.05,10)</f>
        <v/>
      </c>
      <c r="I1235">
        <f>S1235=ROUND(1224*0.01,10)</f>
        <v/>
      </c>
      <c r="J1235">
        <f>T1235=ROUND(1224*0.7,10)</f>
        <v/>
      </c>
      <c r="K1235">
        <f>U1235=ROUND(1224*1.1,10)</f>
        <v/>
      </c>
      <c r="L1235">
        <f>V1235=ROUND(1224*0.25,10)</f>
        <v/>
      </c>
      <c r="M1235">
        <f>W1235=ROUND(1224*0.5,10)</f>
        <v/>
      </c>
      <c r="O1235">
        <f>O1234+0.1</f>
        <v/>
      </c>
      <c r="P1235">
        <f>P1234+0.2</f>
        <v/>
      </c>
      <c r="Q1235">
        <f>Q1234+0.3</f>
        <v/>
      </c>
      <c r="R1235">
        <f>R1234+0.05</f>
        <v/>
      </c>
      <c r="S1235">
        <f>S1234+0.01</f>
        <v/>
      </c>
      <c r="T1235">
        <f>T1234+0.7</f>
        <v/>
      </c>
      <c r="U1235">
        <f>U1234+1.1</f>
        <v/>
      </c>
      <c r="V1235">
        <f>V1234+0.25</f>
        <v/>
      </c>
      <c r="W1235">
        <f>W1234+0.5</f>
        <v/>
      </c>
    </row>
    <row r="1236">
      <c r="E1236">
        <f>O1236=ROUND(1225*0.1,10)</f>
        <v/>
      </c>
      <c r="F1236">
        <f>P1236=ROUND(1225*0.2,10)</f>
        <v/>
      </c>
      <c r="G1236">
        <f>Q1236=ROUND(1225*0.3,10)</f>
        <v/>
      </c>
      <c r="H1236">
        <f>R1236=ROUND(1225*0.05,10)</f>
        <v/>
      </c>
      <c r="I1236">
        <f>S1236=ROUND(1225*0.01,10)</f>
        <v/>
      </c>
      <c r="J1236">
        <f>T1236=ROUND(1225*0.7,10)</f>
        <v/>
      </c>
      <c r="K1236">
        <f>U1236=ROUND(1225*1.1,10)</f>
        <v/>
      </c>
      <c r="L1236">
        <f>V1236=ROUND(1225*0.25,10)</f>
        <v/>
      </c>
      <c r="M1236">
        <f>W1236=ROUND(1225*0.5,10)</f>
        <v/>
      </c>
      <c r="O1236">
        <f>O1235+0.1</f>
        <v/>
      </c>
      <c r="P1236">
        <f>P1235+0.2</f>
        <v/>
      </c>
      <c r="Q1236">
        <f>Q1235+0.3</f>
        <v/>
      </c>
      <c r="R1236">
        <f>R1235+0.05</f>
        <v/>
      </c>
      <c r="S1236">
        <f>S1235+0.01</f>
        <v/>
      </c>
      <c r="T1236">
        <f>T1235+0.7</f>
        <v/>
      </c>
      <c r="U1236">
        <f>U1235+1.1</f>
        <v/>
      </c>
      <c r="V1236">
        <f>V1235+0.25</f>
        <v/>
      </c>
      <c r="W1236">
        <f>W1235+0.5</f>
        <v/>
      </c>
    </row>
    <row r="1237">
      <c r="E1237">
        <f>O1237=ROUND(1226*0.1,10)</f>
        <v/>
      </c>
      <c r="F1237">
        <f>P1237=ROUND(1226*0.2,10)</f>
        <v/>
      </c>
      <c r="G1237">
        <f>Q1237=ROUND(1226*0.3,10)</f>
        <v/>
      </c>
      <c r="H1237">
        <f>R1237=ROUND(1226*0.05,10)</f>
        <v/>
      </c>
      <c r="I1237">
        <f>S1237=ROUND(1226*0.01,10)</f>
        <v/>
      </c>
      <c r="J1237">
        <f>T1237=ROUND(1226*0.7,10)</f>
        <v/>
      </c>
      <c r="K1237">
        <f>U1237=ROUND(1226*1.1,10)</f>
        <v/>
      </c>
      <c r="L1237">
        <f>V1237=ROUND(1226*0.25,10)</f>
        <v/>
      </c>
      <c r="M1237">
        <f>W1237=ROUND(1226*0.5,10)</f>
        <v/>
      </c>
      <c r="O1237">
        <f>O1236+0.1</f>
        <v/>
      </c>
      <c r="P1237">
        <f>P1236+0.2</f>
        <v/>
      </c>
      <c r="Q1237">
        <f>Q1236+0.3</f>
        <v/>
      </c>
      <c r="R1237">
        <f>R1236+0.05</f>
        <v/>
      </c>
      <c r="S1237">
        <f>S1236+0.01</f>
        <v/>
      </c>
      <c r="T1237">
        <f>T1236+0.7</f>
        <v/>
      </c>
      <c r="U1237">
        <f>U1236+1.1</f>
        <v/>
      </c>
      <c r="V1237">
        <f>V1236+0.25</f>
        <v/>
      </c>
      <c r="W1237">
        <f>W1236+0.5</f>
        <v/>
      </c>
    </row>
    <row r="1238">
      <c r="E1238">
        <f>O1238=ROUND(1227*0.1,10)</f>
        <v/>
      </c>
      <c r="F1238">
        <f>P1238=ROUND(1227*0.2,10)</f>
        <v/>
      </c>
      <c r="G1238">
        <f>Q1238=ROUND(1227*0.3,10)</f>
        <v/>
      </c>
      <c r="H1238">
        <f>R1238=ROUND(1227*0.05,10)</f>
        <v/>
      </c>
      <c r="I1238">
        <f>S1238=ROUND(1227*0.01,10)</f>
        <v/>
      </c>
      <c r="J1238">
        <f>T1238=ROUND(1227*0.7,10)</f>
        <v/>
      </c>
      <c r="K1238">
        <f>U1238=ROUND(1227*1.1,10)</f>
        <v/>
      </c>
      <c r="L1238">
        <f>V1238=ROUND(1227*0.25,10)</f>
        <v/>
      </c>
      <c r="M1238">
        <f>W1238=ROUND(1227*0.5,10)</f>
        <v/>
      </c>
      <c r="O1238">
        <f>O1237+0.1</f>
        <v/>
      </c>
      <c r="P1238">
        <f>P1237+0.2</f>
        <v/>
      </c>
      <c r="Q1238">
        <f>Q1237+0.3</f>
        <v/>
      </c>
      <c r="R1238">
        <f>R1237+0.05</f>
        <v/>
      </c>
      <c r="S1238">
        <f>S1237+0.01</f>
        <v/>
      </c>
      <c r="T1238">
        <f>T1237+0.7</f>
        <v/>
      </c>
      <c r="U1238">
        <f>U1237+1.1</f>
        <v/>
      </c>
      <c r="V1238">
        <f>V1237+0.25</f>
        <v/>
      </c>
      <c r="W1238">
        <f>W1237+0.5</f>
        <v/>
      </c>
    </row>
    <row r="1239">
      <c r="E1239">
        <f>O1239=ROUND(1228*0.1,10)</f>
        <v/>
      </c>
      <c r="F1239">
        <f>P1239=ROUND(1228*0.2,10)</f>
        <v/>
      </c>
      <c r="G1239">
        <f>Q1239=ROUND(1228*0.3,10)</f>
        <v/>
      </c>
      <c r="H1239">
        <f>R1239=ROUND(1228*0.05,10)</f>
        <v/>
      </c>
      <c r="I1239">
        <f>S1239=ROUND(1228*0.01,10)</f>
        <v/>
      </c>
      <c r="J1239">
        <f>T1239=ROUND(1228*0.7,10)</f>
        <v/>
      </c>
      <c r="K1239">
        <f>U1239=ROUND(1228*1.1,10)</f>
        <v/>
      </c>
      <c r="L1239">
        <f>V1239=ROUND(1228*0.25,10)</f>
        <v/>
      </c>
      <c r="M1239">
        <f>W1239=ROUND(1228*0.5,10)</f>
        <v/>
      </c>
      <c r="O1239">
        <f>O1238+0.1</f>
        <v/>
      </c>
      <c r="P1239">
        <f>P1238+0.2</f>
        <v/>
      </c>
      <c r="Q1239">
        <f>Q1238+0.3</f>
        <v/>
      </c>
      <c r="R1239">
        <f>R1238+0.05</f>
        <v/>
      </c>
      <c r="S1239">
        <f>S1238+0.01</f>
        <v/>
      </c>
      <c r="T1239">
        <f>T1238+0.7</f>
        <v/>
      </c>
      <c r="U1239">
        <f>U1238+1.1</f>
        <v/>
      </c>
      <c r="V1239">
        <f>V1238+0.25</f>
        <v/>
      </c>
      <c r="W1239">
        <f>W1238+0.5</f>
        <v/>
      </c>
    </row>
    <row r="1240">
      <c r="E1240">
        <f>O1240=ROUND(1229*0.1,10)</f>
        <v/>
      </c>
      <c r="F1240">
        <f>P1240=ROUND(1229*0.2,10)</f>
        <v/>
      </c>
      <c r="G1240">
        <f>Q1240=ROUND(1229*0.3,10)</f>
        <v/>
      </c>
      <c r="H1240">
        <f>R1240=ROUND(1229*0.05,10)</f>
        <v/>
      </c>
      <c r="I1240">
        <f>S1240=ROUND(1229*0.01,10)</f>
        <v/>
      </c>
      <c r="J1240">
        <f>T1240=ROUND(1229*0.7,10)</f>
        <v/>
      </c>
      <c r="K1240">
        <f>U1240=ROUND(1229*1.1,10)</f>
        <v/>
      </c>
      <c r="L1240">
        <f>V1240=ROUND(1229*0.25,10)</f>
        <v/>
      </c>
      <c r="M1240">
        <f>W1240=ROUND(1229*0.5,10)</f>
        <v/>
      </c>
      <c r="O1240">
        <f>O1239+0.1</f>
        <v/>
      </c>
      <c r="P1240">
        <f>P1239+0.2</f>
        <v/>
      </c>
      <c r="Q1240">
        <f>Q1239+0.3</f>
        <v/>
      </c>
      <c r="R1240">
        <f>R1239+0.05</f>
        <v/>
      </c>
      <c r="S1240">
        <f>S1239+0.01</f>
        <v/>
      </c>
      <c r="T1240">
        <f>T1239+0.7</f>
        <v/>
      </c>
      <c r="U1240">
        <f>U1239+1.1</f>
        <v/>
      </c>
      <c r="V1240">
        <f>V1239+0.25</f>
        <v/>
      </c>
      <c r="W1240">
        <f>W1239+0.5</f>
        <v/>
      </c>
    </row>
    <row r="1241">
      <c r="E1241">
        <f>O1241=ROUND(1230*0.1,10)</f>
        <v/>
      </c>
      <c r="F1241">
        <f>P1241=ROUND(1230*0.2,10)</f>
        <v/>
      </c>
      <c r="G1241">
        <f>Q1241=ROUND(1230*0.3,10)</f>
        <v/>
      </c>
      <c r="H1241">
        <f>R1241=ROUND(1230*0.05,10)</f>
        <v/>
      </c>
      <c r="I1241">
        <f>S1241=ROUND(1230*0.01,10)</f>
        <v/>
      </c>
      <c r="J1241">
        <f>T1241=ROUND(1230*0.7,10)</f>
        <v/>
      </c>
      <c r="K1241">
        <f>U1241=ROUND(1230*1.1,10)</f>
        <v/>
      </c>
      <c r="L1241">
        <f>V1241=ROUND(1230*0.25,10)</f>
        <v/>
      </c>
      <c r="M1241">
        <f>W1241=ROUND(1230*0.5,10)</f>
        <v/>
      </c>
      <c r="O1241">
        <f>O1240+0.1</f>
        <v/>
      </c>
      <c r="P1241">
        <f>P1240+0.2</f>
        <v/>
      </c>
      <c r="Q1241">
        <f>Q1240+0.3</f>
        <v/>
      </c>
      <c r="R1241">
        <f>R1240+0.05</f>
        <v/>
      </c>
      <c r="S1241">
        <f>S1240+0.01</f>
        <v/>
      </c>
      <c r="T1241">
        <f>T1240+0.7</f>
        <v/>
      </c>
      <c r="U1241">
        <f>U1240+1.1</f>
        <v/>
      </c>
      <c r="V1241">
        <f>V1240+0.25</f>
        <v/>
      </c>
      <c r="W1241">
        <f>W1240+0.5</f>
        <v/>
      </c>
    </row>
    <row r="1242">
      <c r="E1242">
        <f>O1242=ROUND(1231*0.1,10)</f>
        <v/>
      </c>
      <c r="F1242">
        <f>P1242=ROUND(1231*0.2,10)</f>
        <v/>
      </c>
      <c r="G1242">
        <f>Q1242=ROUND(1231*0.3,10)</f>
        <v/>
      </c>
      <c r="H1242">
        <f>R1242=ROUND(1231*0.05,10)</f>
        <v/>
      </c>
      <c r="I1242">
        <f>S1242=ROUND(1231*0.01,10)</f>
        <v/>
      </c>
      <c r="J1242">
        <f>T1242=ROUND(1231*0.7,10)</f>
        <v/>
      </c>
      <c r="K1242">
        <f>U1242=ROUND(1231*1.1,10)</f>
        <v/>
      </c>
      <c r="L1242">
        <f>V1242=ROUND(1231*0.25,10)</f>
        <v/>
      </c>
      <c r="M1242">
        <f>W1242=ROUND(1231*0.5,10)</f>
        <v/>
      </c>
      <c r="O1242">
        <f>O1241+0.1</f>
        <v/>
      </c>
      <c r="P1242">
        <f>P1241+0.2</f>
        <v/>
      </c>
      <c r="Q1242">
        <f>Q1241+0.3</f>
        <v/>
      </c>
      <c r="R1242">
        <f>R1241+0.05</f>
        <v/>
      </c>
      <c r="S1242">
        <f>S1241+0.01</f>
        <v/>
      </c>
      <c r="T1242">
        <f>T1241+0.7</f>
        <v/>
      </c>
      <c r="U1242">
        <f>U1241+1.1</f>
        <v/>
      </c>
      <c r="V1242">
        <f>V1241+0.25</f>
        <v/>
      </c>
      <c r="W1242">
        <f>W1241+0.5</f>
        <v/>
      </c>
    </row>
    <row r="1243">
      <c r="E1243">
        <f>O1243=ROUND(1232*0.1,10)</f>
        <v/>
      </c>
      <c r="F1243">
        <f>P1243=ROUND(1232*0.2,10)</f>
        <v/>
      </c>
      <c r="G1243">
        <f>Q1243=ROUND(1232*0.3,10)</f>
        <v/>
      </c>
      <c r="H1243">
        <f>R1243=ROUND(1232*0.05,10)</f>
        <v/>
      </c>
      <c r="I1243">
        <f>S1243=ROUND(1232*0.01,10)</f>
        <v/>
      </c>
      <c r="J1243">
        <f>T1243=ROUND(1232*0.7,10)</f>
        <v/>
      </c>
      <c r="K1243">
        <f>U1243=ROUND(1232*1.1,10)</f>
        <v/>
      </c>
      <c r="L1243">
        <f>V1243=ROUND(1232*0.25,10)</f>
        <v/>
      </c>
      <c r="M1243">
        <f>W1243=ROUND(1232*0.5,10)</f>
        <v/>
      </c>
      <c r="O1243">
        <f>O1242+0.1</f>
        <v/>
      </c>
      <c r="P1243">
        <f>P1242+0.2</f>
        <v/>
      </c>
      <c r="Q1243">
        <f>Q1242+0.3</f>
        <v/>
      </c>
      <c r="R1243">
        <f>R1242+0.05</f>
        <v/>
      </c>
      <c r="S1243">
        <f>S1242+0.01</f>
        <v/>
      </c>
      <c r="T1243">
        <f>T1242+0.7</f>
        <v/>
      </c>
      <c r="U1243">
        <f>U1242+1.1</f>
        <v/>
      </c>
      <c r="V1243">
        <f>V1242+0.25</f>
        <v/>
      </c>
      <c r="W1243">
        <f>W1242+0.5</f>
        <v/>
      </c>
    </row>
    <row r="1244">
      <c r="E1244">
        <f>O1244=ROUND(1233*0.1,10)</f>
        <v/>
      </c>
      <c r="F1244">
        <f>P1244=ROUND(1233*0.2,10)</f>
        <v/>
      </c>
      <c r="G1244">
        <f>Q1244=ROUND(1233*0.3,10)</f>
        <v/>
      </c>
      <c r="H1244">
        <f>R1244=ROUND(1233*0.05,10)</f>
        <v/>
      </c>
      <c r="I1244">
        <f>S1244=ROUND(1233*0.01,10)</f>
        <v/>
      </c>
      <c r="J1244">
        <f>T1244=ROUND(1233*0.7,10)</f>
        <v/>
      </c>
      <c r="K1244">
        <f>U1244=ROUND(1233*1.1,10)</f>
        <v/>
      </c>
      <c r="L1244">
        <f>V1244=ROUND(1233*0.25,10)</f>
        <v/>
      </c>
      <c r="M1244">
        <f>W1244=ROUND(1233*0.5,10)</f>
        <v/>
      </c>
      <c r="O1244">
        <f>O1243+0.1</f>
        <v/>
      </c>
      <c r="P1244">
        <f>P1243+0.2</f>
        <v/>
      </c>
      <c r="Q1244">
        <f>Q1243+0.3</f>
        <v/>
      </c>
      <c r="R1244">
        <f>R1243+0.05</f>
        <v/>
      </c>
      <c r="S1244">
        <f>S1243+0.01</f>
        <v/>
      </c>
      <c r="T1244">
        <f>T1243+0.7</f>
        <v/>
      </c>
      <c r="U1244">
        <f>U1243+1.1</f>
        <v/>
      </c>
      <c r="V1244">
        <f>V1243+0.25</f>
        <v/>
      </c>
      <c r="W1244">
        <f>W1243+0.5</f>
        <v/>
      </c>
    </row>
    <row r="1245">
      <c r="E1245">
        <f>O1245=ROUND(1234*0.1,10)</f>
        <v/>
      </c>
      <c r="F1245">
        <f>P1245=ROUND(1234*0.2,10)</f>
        <v/>
      </c>
      <c r="G1245">
        <f>Q1245=ROUND(1234*0.3,10)</f>
        <v/>
      </c>
      <c r="H1245">
        <f>R1245=ROUND(1234*0.05,10)</f>
        <v/>
      </c>
      <c r="I1245">
        <f>S1245=ROUND(1234*0.01,10)</f>
        <v/>
      </c>
      <c r="J1245">
        <f>T1245=ROUND(1234*0.7,10)</f>
        <v/>
      </c>
      <c r="K1245">
        <f>U1245=ROUND(1234*1.1,10)</f>
        <v/>
      </c>
      <c r="L1245">
        <f>V1245=ROUND(1234*0.25,10)</f>
        <v/>
      </c>
      <c r="M1245">
        <f>W1245=ROUND(1234*0.5,10)</f>
        <v/>
      </c>
      <c r="O1245">
        <f>O1244+0.1</f>
        <v/>
      </c>
      <c r="P1245">
        <f>P1244+0.2</f>
        <v/>
      </c>
      <c r="Q1245">
        <f>Q1244+0.3</f>
        <v/>
      </c>
      <c r="R1245">
        <f>R1244+0.05</f>
        <v/>
      </c>
      <c r="S1245">
        <f>S1244+0.01</f>
        <v/>
      </c>
      <c r="T1245">
        <f>T1244+0.7</f>
        <v/>
      </c>
      <c r="U1245">
        <f>U1244+1.1</f>
        <v/>
      </c>
      <c r="V1245">
        <f>V1244+0.25</f>
        <v/>
      </c>
      <c r="W1245">
        <f>W1244+0.5</f>
        <v/>
      </c>
    </row>
    <row r="1246">
      <c r="E1246">
        <f>O1246=ROUND(1235*0.1,10)</f>
        <v/>
      </c>
      <c r="F1246">
        <f>P1246=ROUND(1235*0.2,10)</f>
        <v/>
      </c>
      <c r="G1246">
        <f>Q1246=ROUND(1235*0.3,10)</f>
        <v/>
      </c>
      <c r="H1246">
        <f>R1246=ROUND(1235*0.05,10)</f>
        <v/>
      </c>
      <c r="I1246">
        <f>S1246=ROUND(1235*0.01,10)</f>
        <v/>
      </c>
      <c r="J1246">
        <f>T1246=ROUND(1235*0.7,10)</f>
        <v/>
      </c>
      <c r="K1246">
        <f>U1246=ROUND(1235*1.1,10)</f>
        <v/>
      </c>
      <c r="L1246">
        <f>V1246=ROUND(1235*0.25,10)</f>
        <v/>
      </c>
      <c r="M1246">
        <f>W1246=ROUND(1235*0.5,10)</f>
        <v/>
      </c>
      <c r="O1246">
        <f>O1245+0.1</f>
        <v/>
      </c>
      <c r="P1246">
        <f>P1245+0.2</f>
        <v/>
      </c>
      <c r="Q1246">
        <f>Q1245+0.3</f>
        <v/>
      </c>
      <c r="R1246">
        <f>R1245+0.05</f>
        <v/>
      </c>
      <c r="S1246">
        <f>S1245+0.01</f>
        <v/>
      </c>
      <c r="T1246">
        <f>T1245+0.7</f>
        <v/>
      </c>
      <c r="U1246">
        <f>U1245+1.1</f>
        <v/>
      </c>
      <c r="V1246">
        <f>V1245+0.25</f>
        <v/>
      </c>
      <c r="W1246">
        <f>W1245+0.5</f>
        <v/>
      </c>
    </row>
    <row r="1247">
      <c r="E1247">
        <f>O1247=ROUND(1236*0.1,10)</f>
        <v/>
      </c>
      <c r="F1247">
        <f>P1247=ROUND(1236*0.2,10)</f>
        <v/>
      </c>
      <c r="G1247">
        <f>Q1247=ROUND(1236*0.3,10)</f>
        <v/>
      </c>
      <c r="H1247">
        <f>R1247=ROUND(1236*0.05,10)</f>
        <v/>
      </c>
      <c r="I1247">
        <f>S1247=ROUND(1236*0.01,10)</f>
        <v/>
      </c>
      <c r="J1247">
        <f>T1247=ROUND(1236*0.7,10)</f>
        <v/>
      </c>
      <c r="K1247">
        <f>U1247=ROUND(1236*1.1,10)</f>
        <v/>
      </c>
      <c r="L1247">
        <f>V1247=ROUND(1236*0.25,10)</f>
        <v/>
      </c>
      <c r="M1247">
        <f>W1247=ROUND(1236*0.5,10)</f>
        <v/>
      </c>
      <c r="O1247">
        <f>O1246+0.1</f>
        <v/>
      </c>
      <c r="P1247">
        <f>P1246+0.2</f>
        <v/>
      </c>
      <c r="Q1247">
        <f>Q1246+0.3</f>
        <v/>
      </c>
      <c r="R1247">
        <f>R1246+0.05</f>
        <v/>
      </c>
      <c r="S1247">
        <f>S1246+0.01</f>
        <v/>
      </c>
      <c r="T1247">
        <f>T1246+0.7</f>
        <v/>
      </c>
      <c r="U1247">
        <f>U1246+1.1</f>
        <v/>
      </c>
      <c r="V1247">
        <f>V1246+0.25</f>
        <v/>
      </c>
      <c r="W1247">
        <f>W1246+0.5</f>
        <v/>
      </c>
    </row>
    <row r="1248">
      <c r="E1248">
        <f>O1248=ROUND(1237*0.1,10)</f>
        <v/>
      </c>
      <c r="F1248">
        <f>P1248=ROUND(1237*0.2,10)</f>
        <v/>
      </c>
      <c r="G1248">
        <f>Q1248=ROUND(1237*0.3,10)</f>
        <v/>
      </c>
      <c r="H1248">
        <f>R1248=ROUND(1237*0.05,10)</f>
        <v/>
      </c>
      <c r="I1248">
        <f>S1248=ROUND(1237*0.01,10)</f>
        <v/>
      </c>
      <c r="J1248">
        <f>T1248=ROUND(1237*0.7,10)</f>
        <v/>
      </c>
      <c r="K1248">
        <f>U1248=ROUND(1237*1.1,10)</f>
        <v/>
      </c>
      <c r="L1248">
        <f>V1248=ROUND(1237*0.25,10)</f>
        <v/>
      </c>
      <c r="M1248">
        <f>W1248=ROUND(1237*0.5,10)</f>
        <v/>
      </c>
      <c r="O1248">
        <f>O1247+0.1</f>
        <v/>
      </c>
      <c r="P1248">
        <f>P1247+0.2</f>
        <v/>
      </c>
      <c r="Q1248">
        <f>Q1247+0.3</f>
        <v/>
      </c>
      <c r="R1248">
        <f>R1247+0.05</f>
        <v/>
      </c>
      <c r="S1248">
        <f>S1247+0.01</f>
        <v/>
      </c>
      <c r="T1248">
        <f>T1247+0.7</f>
        <v/>
      </c>
      <c r="U1248">
        <f>U1247+1.1</f>
        <v/>
      </c>
      <c r="V1248">
        <f>V1247+0.25</f>
        <v/>
      </c>
      <c r="W1248">
        <f>W1247+0.5</f>
        <v/>
      </c>
    </row>
    <row r="1249">
      <c r="E1249">
        <f>O1249=ROUND(1238*0.1,10)</f>
        <v/>
      </c>
      <c r="F1249">
        <f>P1249=ROUND(1238*0.2,10)</f>
        <v/>
      </c>
      <c r="G1249">
        <f>Q1249=ROUND(1238*0.3,10)</f>
        <v/>
      </c>
      <c r="H1249">
        <f>R1249=ROUND(1238*0.05,10)</f>
        <v/>
      </c>
      <c r="I1249">
        <f>S1249=ROUND(1238*0.01,10)</f>
        <v/>
      </c>
      <c r="J1249">
        <f>T1249=ROUND(1238*0.7,10)</f>
        <v/>
      </c>
      <c r="K1249">
        <f>U1249=ROUND(1238*1.1,10)</f>
        <v/>
      </c>
      <c r="L1249">
        <f>V1249=ROUND(1238*0.25,10)</f>
        <v/>
      </c>
      <c r="M1249">
        <f>W1249=ROUND(1238*0.5,10)</f>
        <v/>
      </c>
      <c r="O1249">
        <f>O1248+0.1</f>
        <v/>
      </c>
      <c r="P1249">
        <f>P1248+0.2</f>
        <v/>
      </c>
      <c r="Q1249">
        <f>Q1248+0.3</f>
        <v/>
      </c>
      <c r="R1249">
        <f>R1248+0.05</f>
        <v/>
      </c>
      <c r="S1249">
        <f>S1248+0.01</f>
        <v/>
      </c>
      <c r="T1249">
        <f>T1248+0.7</f>
        <v/>
      </c>
      <c r="U1249">
        <f>U1248+1.1</f>
        <v/>
      </c>
      <c r="V1249">
        <f>V1248+0.25</f>
        <v/>
      </c>
      <c r="W1249">
        <f>W1248+0.5</f>
        <v/>
      </c>
    </row>
    <row r="1250">
      <c r="E1250">
        <f>O1250=ROUND(1239*0.1,10)</f>
        <v/>
      </c>
      <c r="F1250">
        <f>P1250=ROUND(1239*0.2,10)</f>
        <v/>
      </c>
      <c r="G1250">
        <f>Q1250=ROUND(1239*0.3,10)</f>
        <v/>
      </c>
      <c r="H1250">
        <f>R1250=ROUND(1239*0.05,10)</f>
        <v/>
      </c>
      <c r="I1250">
        <f>S1250=ROUND(1239*0.01,10)</f>
        <v/>
      </c>
      <c r="J1250">
        <f>T1250=ROUND(1239*0.7,10)</f>
        <v/>
      </c>
      <c r="K1250">
        <f>U1250=ROUND(1239*1.1,10)</f>
        <v/>
      </c>
      <c r="L1250">
        <f>V1250=ROUND(1239*0.25,10)</f>
        <v/>
      </c>
      <c r="M1250">
        <f>W1250=ROUND(1239*0.5,10)</f>
        <v/>
      </c>
      <c r="O1250">
        <f>O1249+0.1</f>
        <v/>
      </c>
      <c r="P1250">
        <f>P1249+0.2</f>
        <v/>
      </c>
      <c r="Q1250">
        <f>Q1249+0.3</f>
        <v/>
      </c>
      <c r="R1250">
        <f>R1249+0.05</f>
        <v/>
      </c>
      <c r="S1250">
        <f>S1249+0.01</f>
        <v/>
      </c>
      <c r="T1250">
        <f>T1249+0.7</f>
        <v/>
      </c>
      <c r="U1250">
        <f>U1249+1.1</f>
        <v/>
      </c>
      <c r="V1250">
        <f>V1249+0.25</f>
        <v/>
      </c>
      <c r="W1250">
        <f>W1249+0.5</f>
        <v/>
      </c>
    </row>
    <row r="1251">
      <c r="E1251">
        <f>O1251=ROUND(1240*0.1,10)</f>
        <v/>
      </c>
      <c r="F1251">
        <f>P1251=ROUND(1240*0.2,10)</f>
        <v/>
      </c>
      <c r="G1251">
        <f>Q1251=ROUND(1240*0.3,10)</f>
        <v/>
      </c>
      <c r="H1251">
        <f>R1251=ROUND(1240*0.05,10)</f>
        <v/>
      </c>
      <c r="I1251">
        <f>S1251=ROUND(1240*0.01,10)</f>
        <v/>
      </c>
      <c r="J1251">
        <f>T1251=ROUND(1240*0.7,10)</f>
        <v/>
      </c>
      <c r="K1251">
        <f>U1251=ROUND(1240*1.1,10)</f>
        <v/>
      </c>
      <c r="L1251">
        <f>V1251=ROUND(1240*0.25,10)</f>
        <v/>
      </c>
      <c r="M1251">
        <f>W1251=ROUND(1240*0.5,10)</f>
        <v/>
      </c>
      <c r="O1251">
        <f>O1250+0.1</f>
        <v/>
      </c>
      <c r="P1251">
        <f>P1250+0.2</f>
        <v/>
      </c>
      <c r="Q1251">
        <f>Q1250+0.3</f>
        <v/>
      </c>
      <c r="R1251">
        <f>R1250+0.05</f>
        <v/>
      </c>
      <c r="S1251">
        <f>S1250+0.01</f>
        <v/>
      </c>
      <c r="T1251">
        <f>T1250+0.7</f>
        <v/>
      </c>
      <c r="U1251">
        <f>U1250+1.1</f>
        <v/>
      </c>
      <c r="V1251">
        <f>V1250+0.25</f>
        <v/>
      </c>
      <c r="W1251">
        <f>W1250+0.5</f>
        <v/>
      </c>
    </row>
    <row r="1252">
      <c r="E1252">
        <f>O1252=ROUND(1241*0.1,10)</f>
        <v/>
      </c>
      <c r="F1252">
        <f>P1252=ROUND(1241*0.2,10)</f>
        <v/>
      </c>
      <c r="G1252">
        <f>Q1252=ROUND(1241*0.3,10)</f>
        <v/>
      </c>
      <c r="H1252">
        <f>R1252=ROUND(1241*0.05,10)</f>
        <v/>
      </c>
      <c r="I1252">
        <f>S1252=ROUND(1241*0.01,10)</f>
        <v/>
      </c>
      <c r="J1252">
        <f>T1252=ROUND(1241*0.7,10)</f>
        <v/>
      </c>
      <c r="K1252">
        <f>U1252=ROUND(1241*1.1,10)</f>
        <v/>
      </c>
      <c r="L1252">
        <f>V1252=ROUND(1241*0.25,10)</f>
        <v/>
      </c>
      <c r="M1252">
        <f>W1252=ROUND(1241*0.5,10)</f>
        <v/>
      </c>
      <c r="O1252">
        <f>O1251+0.1</f>
        <v/>
      </c>
      <c r="P1252">
        <f>P1251+0.2</f>
        <v/>
      </c>
      <c r="Q1252">
        <f>Q1251+0.3</f>
        <v/>
      </c>
      <c r="R1252">
        <f>R1251+0.05</f>
        <v/>
      </c>
      <c r="S1252">
        <f>S1251+0.01</f>
        <v/>
      </c>
      <c r="T1252">
        <f>T1251+0.7</f>
        <v/>
      </c>
      <c r="U1252">
        <f>U1251+1.1</f>
        <v/>
      </c>
      <c r="V1252">
        <f>V1251+0.25</f>
        <v/>
      </c>
      <c r="W1252">
        <f>W1251+0.5</f>
        <v/>
      </c>
    </row>
    <row r="1253">
      <c r="E1253">
        <f>O1253=ROUND(1242*0.1,10)</f>
        <v/>
      </c>
      <c r="F1253">
        <f>P1253=ROUND(1242*0.2,10)</f>
        <v/>
      </c>
      <c r="G1253">
        <f>Q1253=ROUND(1242*0.3,10)</f>
        <v/>
      </c>
      <c r="H1253">
        <f>R1253=ROUND(1242*0.05,10)</f>
        <v/>
      </c>
      <c r="I1253">
        <f>S1253=ROUND(1242*0.01,10)</f>
        <v/>
      </c>
      <c r="J1253">
        <f>T1253=ROUND(1242*0.7,10)</f>
        <v/>
      </c>
      <c r="K1253">
        <f>U1253=ROUND(1242*1.1,10)</f>
        <v/>
      </c>
      <c r="L1253">
        <f>V1253=ROUND(1242*0.25,10)</f>
        <v/>
      </c>
      <c r="M1253">
        <f>W1253=ROUND(1242*0.5,10)</f>
        <v/>
      </c>
      <c r="O1253">
        <f>O1252+0.1</f>
        <v/>
      </c>
      <c r="P1253">
        <f>P1252+0.2</f>
        <v/>
      </c>
      <c r="Q1253">
        <f>Q1252+0.3</f>
        <v/>
      </c>
      <c r="R1253">
        <f>R1252+0.05</f>
        <v/>
      </c>
      <c r="S1253">
        <f>S1252+0.01</f>
        <v/>
      </c>
      <c r="T1253">
        <f>T1252+0.7</f>
        <v/>
      </c>
      <c r="U1253">
        <f>U1252+1.1</f>
        <v/>
      </c>
      <c r="V1253">
        <f>V1252+0.25</f>
        <v/>
      </c>
      <c r="W1253">
        <f>W1252+0.5</f>
        <v/>
      </c>
    </row>
    <row r="1254">
      <c r="E1254">
        <f>O1254=ROUND(1243*0.1,10)</f>
        <v/>
      </c>
      <c r="F1254">
        <f>P1254=ROUND(1243*0.2,10)</f>
        <v/>
      </c>
      <c r="G1254">
        <f>Q1254=ROUND(1243*0.3,10)</f>
        <v/>
      </c>
      <c r="H1254">
        <f>R1254=ROUND(1243*0.05,10)</f>
        <v/>
      </c>
      <c r="I1254">
        <f>S1254=ROUND(1243*0.01,10)</f>
        <v/>
      </c>
      <c r="J1254">
        <f>T1254=ROUND(1243*0.7,10)</f>
        <v/>
      </c>
      <c r="K1254">
        <f>U1254=ROUND(1243*1.1,10)</f>
        <v/>
      </c>
      <c r="L1254">
        <f>V1254=ROUND(1243*0.25,10)</f>
        <v/>
      </c>
      <c r="M1254">
        <f>W1254=ROUND(1243*0.5,10)</f>
        <v/>
      </c>
      <c r="O1254">
        <f>O1253+0.1</f>
        <v/>
      </c>
      <c r="P1254">
        <f>P1253+0.2</f>
        <v/>
      </c>
      <c r="Q1254">
        <f>Q1253+0.3</f>
        <v/>
      </c>
      <c r="R1254">
        <f>R1253+0.05</f>
        <v/>
      </c>
      <c r="S1254">
        <f>S1253+0.01</f>
        <v/>
      </c>
      <c r="T1254">
        <f>T1253+0.7</f>
        <v/>
      </c>
      <c r="U1254">
        <f>U1253+1.1</f>
        <v/>
      </c>
      <c r="V1254">
        <f>V1253+0.25</f>
        <v/>
      </c>
      <c r="W1254">
        <f>W1253+0.5</f>
        <v/>
      </c>
    </row>
    <row r="1255">
      <c r="E1255">
        <f>O1255=ROUND(1244*0.1,10)</f>
        <v/>
      </c>
      <c r="F1255">
        <f>P1255=ROUND(1244*0.2,10)</f>
        <v/>
      </c>
      <c r="G1255">
        <f>Q1255=ROUND(1244*0.3,10)</f>
        <v/>
      </c>
      <c r="H1255">
        <f>R1255=ROUND(1244*0.05,10)</f>
        <v/>
      </c>
      <c r="I1255">
        <f>S1255=ROUND(1244*0.01,10)</f>
        <v/>
      </c>
      <c r="J1255">
        <f>T1255=ROUND(1244*0.7,10)</f>
        <v/>
      </c>
      <c r="K1255">
        <f>U1255=ROUND(1244*1.1,10)</f>
        <v/>
      </c>
      <c r="L1255">
        <f>V1255=ROUND(1244*0.25,10)</f>
        <v/>
      </c>
      <c r="M1255">
        <f>W1255=ROUND(1244*0.5,10)</f>
        <v/>
      </c>
      <c r="O1255">
        <f>O1254+0.1</f>
        <v/>
      </c>
      <c r="P1255">
        <f>P1254+0.2</f>
        <v/>
      </c>
      <c r="Q1255">
        <f>Q1254+0.3</f>
        <v/>
      </c>
      <c r="R1255">
        <f>R1254+0.05</f>
        <v/>
      </c>
      <c r="S1255">
        <f>S1254+0.01</f>
        <v/>
      </c>
      <c r="T1255">
        <f>T1254+0.7</f>
        <v/>
      </c>
      <c r="U1255">
        <f>U1254+1.1</f>
        <v/>
      </c>
      <c r="V1255">
        <f>V1254+0.25</f>
        <v/>
      </c>
      <c r="W1255">
        <f>W1254+0.5</f>
        <v/>
      </c>
    </row>
    <row r="1256">
      <c r="E1256">
        <f>O1256=ROUND(1245*0.1,10)</f>
        <v/>
      </c>
      <c r="F1256">
        <f>P1256=ROUND(1245*0.2,10)</f>
        <v/>
      </c>
      <c r="G1256">
        <f>Q1256=ROUND(1245*0.3,10)</f>
        <v/>
      </c>
      <c r="H1256">
        <f>R1256=ROUND(1245*0.05,10)</f>
        <v/>
      </c>
      <c r="I1256">
        <f>S1256=ROUND(1245*0.01,10)</f>
        <v/>
      </c>
      <c r="J1256">
        <f>T1256=ROUND(1245*0.7,10)</f>
        <v/>
      </c>
      <c r="K1256">
        <f>U1256=ROUND(1245*1.1,10)</f>
        <v/>
      </c>
      <c r="L1256">
        <f>V1256=ROUND(1245*0.25,10)</f>
        <v/>
      </c>
      <c r="M1256">
        <f>W1256=ROUND(1245*0.5,10)</f>
        <v/>
      </c>
      <c r="O1256">
        <f>O1255+0.1</f>
        <v/>
      </c>
      <c r="P1256">
        <f>P1255+0.2</f>
        <v/>
      </c>
      <c r="Q1256">
        <f>Q1255+0.3</f>
        <v/>
      </c>
      <c r="R1256">
        <f>R1255+0.05</f>
        <v/>
      </c>
      <c r="S1256">
        <f>S1255+0.01</f>
        <v/>
      </c>
      <c r="T1256">
        <f>T1255+0.7</f>
        <v/>
      </c>
      <c r="U1256">
        <f>U1255+1.1</f>
        <v/>
      </c>
      <c r="V1256">
        <f>V1255+0.25</f>
        <v/>
      </c>
      <c r="W1256">
        <f>W1255+0.5</f>
        <v/>
      </c>
    </row>
    <row r="1257">
      <c r="E1257">
        <f>O1257=ROUND(1246*0.1,10)</f>
        <v/>
      </c>
      <c r="F1257">
        <f>P1257=ROUND(1246*0.2,10)</f>
        <v/>
      </c>
      <c r="G1257">
        <f>Q1257=ROUND(1246*0.3,10)</f>
        <v/>
      </c>
      <c r="H1257">
        <f>R1257=ROUND(1246*0.05,10)</f>
        <v/>
      </c>
      <c r="I1257">
        <f>S1257=ROUND(1246*0.01,10)</f>
        <v/>
      </c>
      <c r="J1257">
        <f>T1257=ROUND(1246*0.7,10)</f>
        <v/>
      </c>
      <c r="K1257">
        <f>U1257=ROUND(1246*1.1,10)</f>
        <v/>
      </c>
      <c r="L1257">
        <f>V1257=ROUND(1246*0.25,10)</f>
        <v/>
      </c>
      <c r="M1257">
        <f>W1257=ROUND(1246*0.5,10)</f>
        <v/>
      </c>
      <c r="O1257">
        <f>O1256+0.1</f>
        <v/>
      </c>
      <c r="P1257">
        <f>P1256+0.2</f>
        <v/>
      </c>
      <c r="Q1257">
        <f>Q1256+0.3</f>
        <v/>
      </c>
      <c r="R1257">
        <f>R1256+0.05</f>
        <v/>
      </c>
      <c r="S1257">
        <f>S1256+0.01</f>
        <v/>
      </c>
      <c r="T1257">
        <f>T1256+0.7</f>
        <v/>
      </c>
      <c r="U1257">
        <f>U1256+1.1</f>
        <v/>
      </c>
      <c r="V1257">
        <f>V1256+0.25</f>
        <v/>
      </c>
      <c r="W1257">
        <f>W1256+0.5</f>
        <v/>
      </c>
    </row>
    <row r="1258">
      <c r="E1258">
        <f>O1258=ROUND(1247*0.1,10)</f>
        <v/>
      </c>
      <c r="F1258">
        <f>P1258=ROUND(1247*0.2,10)</f>
        <v/>
      </c>
      <c r="G1258">
        <f>Q1258=ROUND(1247*0.3,10)</f>
        <v/>
      </c>
      <c r="H1258">
        <f>R1258=ROUND(1247*0.05,10)</f>
        <v/>
      </c>
      <c r="I1258">
        <f>S1258=ROUND(1247*0.01,10)</f>
        <v/>
      </c>
      <c r="J1258">
        <f>T1258=ROUND(1247*0.7,10)</f>
        <v/>
      </c>
      <c r="K1258">
        <f>U1258=ROUND(1247*1.1,10)</f>
        <v/>
      </c>
      <c r="L1258">
        <f>V1258=ROUND(1247*0.25,10)</f>
        <v/>
      </c>
      <c r="M1258">
        <f>W1258=ROUND(1247*0.5,10)</f>
        <v/>
      </c>
      <c r="O1258">
        <f>O1257+0.1</f>
        <v/>
      </c>
      <c r="P1258">
        <f>P1257+0.2</f>
        <v/>
      </c>
      <c r="Q1258">
        <f>Q1257+0.3</f>
        <v/>
      </c>
      <c r="R1258">
        <f>R1257+0.05</f>
        <v/>
      </c>
      <c r="S1258">
        <f>S1257+0.01</f>
        <v/>
      </c>
      <c r="T1258">
        <f>T1257+0.7</f>
        <v/>
      </c>
      <c r="U1258">
        <f>U1257+1.1</f>
        <v/>
      </c>
      <c r="V1258">
        <f>V1257+0.25</f>
        <v/>
      </c>
      <c r="W1258">
        <f>W1257+0.5</f>
        <v/>
      </c>
    </row>
    <row r="1259">
      <c r="E1259">
        <f>O1259=ROUND(1248*0.1,10)</f>
        <v/>
      </c>
      <c r="F1259">
        <f>P1259=ROUND(1248*0.2,10)</f>
        <v/>
      </c>
      <c r="G1259">
        <f>Q1259=ROUND(1248*0.3,10)</f>
        <v/>
      </c>
      <c r="H1259">
        <f>R1259=ROUND(1248*0.05,10)</f>
        <v/>
      </c>
      <c r="I1259">
        <f>S1259=ROUND(1248*0.01,10)</f>
        <v/>
      </c>
      <c r="J1259">
        <f>T1259=ROUND(1248*0.7,10)</f>
        <v/>
      </c>
      <c r="K1259">
        <f>U1259=ROUND(1248*1.1,10)</f>
        <v/>
      </c>
      <c r="L1259">
        <f>V1259=ROUND(1248*0.25,10)</f>
        <v/>
      </c>
      <c r="M1259">
        <f>W1259=ROUND(1248*0.5,10)</f>
        <v/>
      </c>
      <c r="O1259">
        <f>O1258+0.1</f>
        <v/>
      </c>
      <c r="P1259">
        <f>P1258+0.2</f>
        <v/>
      </c>
      <c r="Q1259">
        <f>Q1258+0.3</f>
        <v/>
      </c>
      <c r="R1259">
        <f>R1258+0.05</f>
        <v/>
      </c>
      <c r="S1259">
        <f>S1258+0.01</f>
        <v/>
      </c>
      <c r="T1259">
        <f>T1258+0.7</f>
        <v/>
      </c>
      <c r="U1259">
        <f>U1258+1.1</f>
        <v/>
      </c>
      <c r="V1259">
        <f>V1258+0.25</f>
        <v/>
      </c>
      <c r="W1259">
        <f>W1258+0.5</f>
        <v/>
      </c>
    </row>
    <row r="1260">
      <c r="E1260">
        <f>O1260=ROUND(1249*0.1,10)</f>
        <v/>
      </c>
      <c r="F1260">
        <f>P1260=ROUND(1249*0.2,10)</f>
        <v/>
      </c>
      <c r="G1260">
        <f>Q1260=ROUND(1249*0.3,10)</f>
        <v/>
      </c>
      <c r="H1260">
        <f>R1260=ROUND(1249*0.05,10)</f>
        <v/>
      </c>
      <c r="I1260">
        <f>S1260=ROUND(1249*0.01,10)</f>
        <v/>
      </c>
      <c r="J1260">
        <f>T1260=ROUND(1249*0.7,10)</f>
        <v/>
      </c>
      <c r="K1260">
        <f>U1260=ROUND(1249*1.1,10)</f>
        <v/>
      </c>
      <c r="L1260">
        <f>V1260=ROUND(1249*0.25,10)</f>
        <v/>
      </c>
      <c r="M1260">
        <f>W1260=ROUND(1249*0.5,10)</f>
        <v/>
      </c>
      <c r="O1260">
        <f>O1259+0.1</f>
        <v/>
      </c>
      <c r="P1260">
        <f>P1259+0.2</f>
        <v/>
      </c>
      <c r="Q1260">
        <f>Q1259+0.3</f>
        <v/>
      </c>
      <c r="R1260">
        <f>R1259+0.05</f>
        <v/>
      </c>
      <c r="S1260">
        <f>S1259+0.01</f>
        <v/>
      </c>
      <c r="T1260">
        <f>T1259+0.7</f>
        <v/>
      </c>
      <c r="U1260">
        <f>U1259+1.1</f>
        <v/>
      </c>
      <c r="V1260">
        <f>V1259+0.25</f>
        <v/>
      </c>
      <c r="W1260">
        <f>W1259+0.5</f>
        <v/>
      </c>
    </row>
    <row r="1261">
      <c r="E1261">
        <f>O1261=ROUND(1250*0.1,10)</f>
        <v/>
      </c>
      <c r="F1261">
        <f>P1261=ROUND(1250*0.2,10)</f>
        <v/>
      </c>
      <c r="G1261">
        <f>Q1261=ROUND(1250*0.3,10)</f>
        <v/>
      </c>
      <c r="H1261">
        <f>R1261=ROUND(1250*0.05,10)</f>
        <v/>
      </c>
      <c r="I1261">
        <f>S1261=ROUND(1250*0.01,10)</f>
        <v/>
      </c>
      <c r="J1261">
        <f>T1261=ROUND(1250*0.7,10)</f>
        <v/>
      </c>
      <c r="K1261">
        <f>U1261=ROUND(1250*1.1,10)</f>
        <v/>
      </c>
      <c r="L1261">
        <f>V1261=ROUND(1250*0.25,10)</f>
        <v/>
      </c>
      <c r="M1261">
        <f>W1261=ROUND(1250*0.5,10)</f>
        <v/>
      </c>
      <c r="O1261">
        <f>O1260+0.1</f>
        <v/>
      </c>
      <c r="P1261">
        <f>P1260+0.2</f>
        <v/>
      </c>
      <c r="Q1261">
        <f>Q1260+0.3</f>
        <v/>
      </c>
      <c r="R1261">
        <f>R1260+0.05</f>
        <v/>
      </c>
      <c r="S1261">
        <f>S1260+0.01</f>
        <v/>
      </c>
      <c r="T1261">
        <f>T1260+0.7</f>
        <v/>
      </c>
      <c r="U1261">
        <f>U1260+1.1</f>
        <v/>
      </c>
      <c r="V1261">
        <f>V1260+0.25</f>
        <v/>
      </c>
      <c r="W1261">
        <f>W1260+0.5</f>
        <v/>
      </c>
    </row>
    <row r="1262">
      <c r="E1262">
        <f>O1262=ROUND(1251*0.1,10)</f>
        <v/>
      </c>
      <c r="F1262">
        <f>P1262=ROUND(1251*0.2,10)</f>
        <v/>
      </c>
      <c r="G1262">
        <f>Q1262=ROUND(1251*0.3,10)</f>
        <v/>
      </c>
      <c r="H1262">
        <f>R1262=ROUND(1251*0.05,10)</f>
        <v/>
      </c>
      <c r="I1262">
        <f>S1262=ROUND(1251*0.01,10)</f>
        <v/>
      </c>
      <c r="J1262">
        <f>T1262=ROUND(1251*0.7,10)</f>
        <v/>
      </c>
      <c r="K1262">
        <f>U1262=ROUND(1251*1.1,10)</f>
        <v/>
      </c>
      <c r="L1262">
        <f>V1262=ROUND(1251*0.25,10)</f>
        <v/>
      </c>
      <c r="M1262">
        <f>W1262=ROUND(1251*0.5,10)</f>
        <v/>
      </c>
      <c r="O1262">
        <f>O1261+0.1</f>
        <v/>
      </c>
      <c r="P1262">
        <f>P1261+0.2</f>
        <v/>
      </c>
      <c r="Q1262">
        <f>Q1261+0.3</f>
        <v/>
      </c>
      <c r="R1262">
        <f>R1261+0.05</f>
        <v/>
      </c>
      <c r="S1262">
        <f>S1261+0.01</f>
        <v/>
      </c>
      <c r="T1262">
        <f>T1261+0.7</f>
        <v/>
      </c>
      <c r="U1262">
        <f>U1261+1.1</f>
        <v/>
      </c>
      <c r="V1262">
        <f>V1261+0.25</f>
        <v/>
      </c>
      <c r="W1262">
        <f>W1261+0.5</f>
        <v/>
      </c>
    </row>
    <row r="1263">
      <c r="E1263">
        <f>O1263=ROUND(1252*0.1,10)</f>
        <v/>
      </c>
      <c r="F1263">
        <f>P1263=ROUND(1252*0.2,10)</f>
        <v/>
      </c>
      <c r="G1263">
        <f>Q1263=ROUND(1252*0.3,10)</f>
        <v/>
      </c>
      <c r="H1263">
        <f>R1263=ROUND(1252*0.05,10)</f>
        <v/>
      </c>
      <c r="I1263">
        <f>S1263=ROUND(1252*0.01,10)</f>
        <v/>
      </c>
      <c r="J1263">
        <f>T1263=ROUND(1252*0.7,10)</f>
        <v/>
      </c>
      <c r="K1263">
        <f>U1263=ROUND(1252*1.1,10)</f>
        <v/>
      </c>
      <c r="L1263">
        <f>V1263=ROUND(1252*0.25,10)</f>
        <v/>
      </c>
      <c r="M1263">
        <f>W1263=ROUND(1252*0.5,10)</f>
        <v/>
      </c>
      <c r="O1263">
        <f>O1262+0.1</f>
        <v/>
      </c>
      <c r="P1263">
        <f>P1262+0.2</f>
        <v/>
      </c>
      <c r="Q1263">
        <f>Q1262+0.3</f>
        <v/>
      </c>
      <c r="R1263">
        <f>R1262+0.05</f>
        <v/>
      </c>
      <c r="S1263">
        <f>S1262+0.01</f>
        <v/>
      </c>
      <c r="T1263">
        <f>T1262+0.7</f>
        <v/>
      </c>
      <c r="U1263">
        <f>U1262+1.1</f>
        <v/>
      </c>
      <c r="V1263">
        <f>V1262+0.25</f>
        <v/>
      </c>
      <c r="W1263">
        <f>W1262+0.5</f>
        <v/>
      </c>
    </row>
    <row r="1264">
      <c r="E1264">
        <f>O1264=ROUND(1253*0.1,10)</f>
        <v/>
      </c>
      <c r="F1264">
        <f>P1264=ROUND(1253*0.2,10)</f>
        <v/>
      </c>
      <c r="G1264">
        <f>Q1264=ROUND(1253*0.3,10)</f>
        <v/>
      </c>
      <c r="H1264">
        <f>R1264=ROUND(1253*0.05,10)</f>
        <v/>
      </c>
      <c r="I1264">
        <f>S1264=ROUND(1253*0.01,10)</f>
        <v/>
      </c>
      <c r="J1264">
        <f>T1264=ROUND(1253*0.7,10)</f>
        <v/>
      </c>
      <c r="K1264">
        <f>U1264=ROUND(1253*1.1,10)</f>
        <v/>
      </c>
      <c r="L1264">
        <f>V1264=ROUND(1253*0.25,10)</f>
        <v/>
      </c>
      <c r="M1264">
        <f>W1264=ROUND(1253*0.5,10)</f>
        <v/>
      </c>
      <c r="O1264">
        <f>O1263+0.1</f>
        <v/>
      </c>
      <c r="P1264">
        <f>P1263+0.2</f>
        <v/>
      </c>
      <c r="Q1264">
        <f>Q1263+0.3</f>
        <v/>
      </c>
      <c r="R1264">
        <f>R1263+0.05</f>
        <v/>
      </c>
      <c r="S1264">
        <f>S1263+0.01</f>
        <v/>
      </c>
      <c r="T1264">
        <f>T1263+0.7</f>
        <v/>
      </c>
      <c r="U1264">
        <f>U1263+1.1</f>
        <v/>
      </c>
      <c r="V1264">
        <f>V1263+0.25</f>
        <v/>
      </c>
      <c r="W1264">
        <f>W1263+0.5</f>
        <v/>
      </c>
    </row>
    <row r="1265">
      <c r="E1265">
        <f>O1265=ROUND(1254*0.1,10)</f>
        <v/>
      </c>
      <c r="F1265">
        <f>P1265=ROUND(1254*0.2,10)</f>
        <v/>
      </c>
      <c r="G1265">
        <f>Q1265=ROUND(1254*0.3,10)</f>
        <v/>
      </c>
      <c r="H1265">
        <f>R1265=ROUND(1254*0.05,10)</f>
        <v/>
      </c>
      <c r="I1265">
        <f>S1265=ROUND(1254*0.01,10)</f>
        <v/>
      </c>
      <c r="J1265">
        <f>T1265=ROUND(1254*0.7,10)</f>
        <v/>
      </c>
      <c r="K1265">
        <f>U1265=ROUND(1254*1.1,10)</f>
        <v/>
      </c>
      <c r="L1265">
        <f>V1265=ROUND(1254*0.25,10)</f>
        <v/>
      </c>
      <c r="M1265">
        <f>W1265=ROUND(1254*0.5,10)</f>
        <v/>
      </c>
      <c r="O1265">
        <f>O1264+0.1</f>
        <v/>
      </c>
      <c r="P1265">
        <f>P1264+0.2</f>
        <v/>
      </c>
      <c r="Q1265">
        <f>Q1264+0.3</f>
        <v/>
      </c>
      <c r="R1265">
        <f>R1264+0.05</f>
        <v/>
      </c>
      <c r="S1265">
        <f>S1264+0.01</f>
        <v/>
      </c>
      <c r="T1265">
        <f>T1264+0.7</f>
        <v/>
      </c>
      <c r="U1265">
        <f>U1264+1.1</f>
        <v/>
      </c>
      <c r="V1265">
        <f>V1264+0.25</f>
        <v/>
      </c>
      <c r="W1265">
        <f>W1264+0.5</f>
        <v/>
      </c>
    </row>
    <row r="1266">
      <c r="E1266">
        <f>O1266=ROUND(1255*0.1,10)</f>
        <v/>
      </c>
      <c r="F1266">
        <f>P1266=ROUND(1255*0.2,10)</f>
        <v/>
      </c>
      <c r="G1266">
        <f>Q1266=ROUND(1255*0.3,10)</f>
        <v/>
      </c>
      <c r="H1266">
        <f>R1266=ROUND(1255*0.05,10)</f>
        <v/>
      </c>
      <c r="I1266">
        <f>S1266=ROUND(1255*0.01,10)</f>
        <v/>
      </c>
      <c r="J1266">
        <f>T1266=ROUND(1255*0.7,10)</f>
        <v/>
      </c>
      <c r="K1266">
        <f>U1266=ROUND(1255*1.1,10)</f>
        <v/>
      </c>
      <c r="L1266">
        <f>V1266=ROUND(1255*0.25,10)</f>
        <v/>
      </c>
      <c r="M1266">
        <f>W1266=ROUND(1255*0.5,10)</f>
        <v/>
      </c>
      <c r="O1266">
        <f>O1265+0.1</f>
        <v/>
      </c>
      <c r="P1266">
        <f>P1265+0.2</f>
        <v/>
      </c>
      <c r="Q1266">
        <f>Q1265+0.3</f>
        <v/>
      </c>
      <c r="R1266">
        <f>R1265+0.05</f>
        <v/>
      </c>
      <c r="S1266">
        <f>S1265+0.01</f>
        <v/>
      </c>
      <c r="T1266">
        <f>T1265+0.7</f>
        <v/>
      </c>
      <c r="U1266">
        <f>U1265+1.1</f>
        <v/>
      </c>
      <c r="V1266">
        <f>V1265+0.25</f>
        <v/>
      </c>
      <c r="W1266">
        <f>W1265+0.5</f>
        <v/>
      </c>
    </row>
    <row r="1267">
      <c r="E1267">
        <f>O1267=ROUND(1256*0.1,10)</f>
        <v/>
      </c>
      <c r="F1267">
        <f>P1267=ROUND(1256*0.2,10)</f>
        <v/>
      </c>
      <c r="G1267">
        <f>Q1267=ROUND(1256*0.3,10)</f>
        <v/>
      </c>
      <c r="H1267">
        <f>R1267=ROUND(1256*0.05,10)</f>
        <v/>
      </c>
      <c r="I1267">
        <f>S1267=ROUND(1256*0.01,10)</f>
        <v/>
      </c>
      <c r="J1267">
        <f>T1267=ROUND(1256*0.7,10)</f>
        <v/>
      </c>
      <c r="K1267">
        <f>U1267=ROUND(1256*1.1,10)</f>
        <v/>
      </c>
      <c r="L1267">
        <f>V1267=ROUND(1256*0.25,10)</f>
        <v/>
      </c>
      <c r="M1267">
        <f>W1267=ROUND(1256*0.5,10)</f>
        <v/>
      </c>
      <c r="O1267">
        <f>O1266+0.1</f>
        <v/>
      </c>
      <c r="P1267">
        <f>P1266+0.2</f>
        <v/>
      </c>
      <c r="Q1267">
        <f>Q1266+0.3</f>
        <v/>
      </c>
      <c r="R1267">
        <f>R1266+0.05</f>
        <v/>
      </c>
      <c r="S1267">
        <f>S1266+0.01</f>
        <v/>
      </c>
      <c r="T1267">
        <f>T1266+0.7</f>
        <v/>
      </c>
      <c r="U1267">
        <f>U1266+1.1</f>
        <v/>
      </c>
      <c r="V1267">
        <f>V1266+0.25</f>
        <v/>
      </c>
      <c r="W1267">
        <f>W1266+0.5</f>
        <v/>
      </c>
    </row>
    <row r="1268">
      <c r="E1268">
        <f>O1268=ROUND(1257*0.1,10)</f>
        <v/>
      </c>
      <c r="F1268">
        <f>P1268=ROUND(1257*0.2,10)</f>
        <v/>
      </c>
      <c r="G1268">
        <f>Q1268=ROUND(1257*0.3,10)</f>
        <v/>
      </c>
      <c r="H1268">
        <f>R1268=ROUND(1257*0.05,10)</f>
        <v/>
      </c>
      <c r="I1268">
        <f>S1268=ROUND(1257*0.01,10)</f>
        <v/>
      </c>
      <c r="J1268">
        <f>T1268=ROUND(1257*0.7,10)</f>
        <v/>
      </c>
      <c r="K1268">
        <f>U1268=ROUND(1257*1.1,10)</f>
        <v/>
      </c>
      <c r="L1268">
        <f>V1268=ROUND(1257*0.25,10)</f>
        <v/>
      </c>
      <c r="M1268">
        <f>W1268=ROUND(1257*0.5,10)</f>
        <v/>
      </c>
      <c r="O1268">
        <f>O1267+0.1</f>
        <v/>
      </c>
      <c r="P1268">
        <f>P1267+0.2</f>
        <v/>
      </c>
      <c r="Q1268">
        <f>Q1267+0.3</f>
        <v/>
      </c>
      <c r="R1268">
        <f>R1267+0.05</f>
        <v/>
      </c>
      <c r="S1268">
        <f>S1267+0.01</f>
        <v/>
      </c>
      <c r="T1268">
        <f>T1267+0.7</f>
        <v/>
      </c>
      <c r="U1268">
        <f>U1267+1.1</f>
        <v/>
      </c>
      <c r="V1268">
        <f>V1267+0.25</f>
        <v/>
      </c>
      <c r="W1268">
        <f>W1267+0.5</f>
        <v/>
      </c>
    </row>
    <row r="1269">
      <c r="E1269">
        <f>O1269=ROUND(1258*0.1,10)</f>
        <v/>
      </c>
      <c r="F1269">
        <f>P1269=ROUND(1258*0.2,10)</f>
        <v/>
      </c>
      <c r="G1269">
        <f>Q1269=ROUND(1258*0.3,10)</f>
        <v/>
      </c>
      <c r="H1269">
        <f>R1269=ROUND(1258*0.05,10)</f>
        <v/>
      </c>
      <c r="I1269">
        <f>S1269=ROUND(1258*0.01,10)</f>
        <v/>
      </c>
      <c r="J1269">
        <f>T1269=ROUND(1258*0.7,10)</f>
        <v/>
      </c>
      <c r="K1269">
        <f>U1269=ROUND(1258*1.1,10)</f>
        <v/>
      </c>
      <c r="L1269">
        <f>V1269=ROUND(1258*0.25,10)</f>
        <v/>
      </c>
      <c r="M1269">
        <f>W1269=ROUND(1258*0.5,10)</f>
        <v/>
      </c>
      <c r="O1269">
        <f>O1268+0.1</f>
        <v/>
      </c>
      <c r="P1269">
        <f>P1268+0.2</f>
        <v/>
      </c>
      <c r="Q1269">
        <f>Q1268+0.3</f>
        <v/>
      </c>
      <c r="R1269">
        <f>R1268+0.05</f>
        <v/>
      </c>
      <c r="S1269">
        <f>S1268+0.01</f>
        <v/>
      </c>
      <c r="T1269">
        <f>T1268+0.7</f>
        <v/>
      </c>
      <c r="U1269">
        <f>U1268+1.1</f>
        <v/>
      </c>
      <c r="V1269">
        <f>V1268+0.25</f>
        <v/>
      </c>
      <c r="W1269">
        <f>W1268+0.5</f>
        <v/>
      </c>
    </row>
    <row r="1270">
      <c r="E1270">
        <f>O1270=ROUND(1259*0.1,10)</f>
        <v/>
      </c>
      <c r="F1270">
        <f>P1270=ROUND(1259*0.2,10)</f>
        <v/>
      </c>
      <c r="G1270">
        <f>Q1270=ROUND(1259*0.3,10)</f>
        <v/>
      </c>
      <c r="H1270">
        <f>R1270=ROUND(1259*0.05,10)</f>
        <v/>
      </c>
      <c r="I1270">
        <f>S1270=ROUND(1259*0.01,10)</f>
        <v/>
      </c>
      <c r="J1270">
        <f>T1270=ROUND(1259*0.7,10)</f>
        <v/>
      </c>
      <c r="K1270">
        <f>U1270=ROUND(1259*1.1,10)</f>
        <v/>
      </c>
      <c r="L1270">
        <f>V1270=ROUND(1259*0.25,10)</f>
        <v/>
      </c>
      <c r="M1270">
        <f>W1270=ROUND(1259*0.5,10)</f>
        <v/>
      </c>
      <c r="O1270">
        <f>O1269+0.1</f>
        <v/>
      </c>
      <c r="P1270">
        <f>P1269+0.2</f>
        <v/>
      </c>
      <c r="Q1270">
        <f>Q1269+0.3</f>
        <v/>
      </c>
      <c r="R1270">
        <f>R1269+0.05</f>
        <v/>
      </c>
      <c r="S1270">
        <f>S1269+0.01</f>
        <v/>
      </c>
      <c r="T1270">
        <f>T1269+0.7</f>
        <v/>
      </c>
      <c r="U1270">
        <f>U1269+1.1</f>
        <v/>
      </c>
      <c r="V1270">
        <f>V1269+0.25</f>
        <v/>
      </c>
      <c r="W1270">
        <f>W1269+0.5</f>
        <v/>
      </c>
    </row>
    <row r="1271">
      <c r="E1271">
        <f>O1271=ROUND(1260*0.1,10)</f>
        <v/>
      </c>
      <c r="F1271">
        <f>P1271=ROUND(1260*0.2,10)</f>
        <v/>
      </c>
      <c r="G1271">
        <f>Q1271=ROUND(1260*0.3,10)</f>
        <v/>
      </c>
      <c r="H1271">
        <f>R1271=ROUND(1260*0.05,10)</f>
        <v/>
      </c>
      <c r="I1271">
        <f>S1271=ROUND(1260*0.01,10)</f>
        <v/>
      </c>
      <c r="J1271">
        <f>T1271=ROUND(1260*0.7,10)</f>
        <v/>
      </c>
      <c r="K1271">
        <f>U1271=ROUND(1260*1.1,10)</f>
        <v/>
      </c>
      <c r="L1271">
        <f>V1271=ROUND(1260*0.25,10)</f>
        <v/>
      </c>
      <c r="M1271">
        <f>W1271=ROUND(1260*0.5,10)</f>
        <v/>
      </c>
      <c r="O1271">
        <f>O1270+0.1</f>
        <v/>
      </c>
      <c r="P1271">
        <f>P1270+0.2</f>
        <v/>
      </c>
      <c r="Q1271">
        <f>Q1270+0.3</f>
        <v/>
      </c>
      <c r="R1271">
        <f>R1270+0.05</f>
        <v/>
      </c>
      <c r="S1271">
        <f>S1270+0.01</f>
        <v/>
      </c>
      <c r="T1271">
        <f>T1270+0.7</f>
        <v/>
      </c>
      <c r="U1271">
        <f>U1270+1.1</f>
        <v/>
      </c>
      <c r="V1271">
        <f>V1270+0.25</f>
        <v/>
      </c>
      <c r="W1271">
        <f>W1270+0.5</f>
        <v/>
      </c>
    </row>
    <row r="1272">
      <c r="E1272">
        <f>O1272=ROUND(1261*0.1,10)</f>
        <v/>
      </c>
      <c r="F1272">
        <f>P1272=ROUND(1261*0.2,10)</f>
        <v/>
      </c>
      <c r="G1272">
        <f>Q1272=ROUND(1261*0.3,10)</f>
        <v/>
      </c>
      <c r="H1272">
        <f>R1272=ROUND(1261*0.05,10)</f>
        <v/>
      </c>
      <c r="I1272">
        <f>S1272=ROUND(1261*0.01,10)</f>
        <v/>
      </c>
      <c r="J1272">
        <f>T1272=ROUND(1261*0.7,10)</f>
        <v/>
      </c>
      <c r="K1272">
        <f>U1272=ROUND(1261*1.1,10)</f>
        <v/>
      </c>
      <c r="L1272">
        <f>V1272=ROUND(1261*0.25,10)</f>
        <v/>
      </c>
      <c r="M1272">
        <f>W1272=ROUND(1261*0.5,10)</f>
        <v/>
      </c>
      <c r="O1272">
        <f>O1271+0.1</f>
        <v/>
      </c>
      <c r="P1272">
        <f>P1271+0.2</f>
        <v/>
      </c>
      <c r="Q1272">
        <f>Q1271+0.3</f>
        <v/>
      </c>
      <c r="R1272">
        <f>R1271+0.05</f>
        <v/>
      </c>
      <c r="S1272">
        <f>S1271+0.01</f>
        <v/>
      </c>
      <c r="T1272">
        <f>T1271+0.7</f>
        <v/>
      </c>
      <c r="U1272">
        <f>U1271+1.1</f>
        <v/>
      </c>
      <c r="V1272">
        <f>V1271+0.25</f>
        <v/>
      </c>
      <c r="W1272">
        <f>W1271+0.5</f>
        <v/>
      </c>
    </row>
    <row r="1273">
      <c r="E1273">
        <f>O1273=ROUND(1262*0.1,10)</f>
        <v/>
      </c>
      <c r="F1273">
        <f>P1273=ROUND(1262*0.2,10)</f>
        <v/>
      </c>
      <c r="G1273">
        <f>Q1273=ROUND(1262*0.3,10)</f>
        <v/>
      </c>
      <c r="H1273">
        <f>R1273=ROUND(1262*0.05,10)</f>
        <v/>
      </c>
      <c r="I1273">
        <f>S1273=ROUND(1262*0.01,10)</f>
        <v/>
      </c>
      <c r="J1273">
        <f>T1273=ROUND(1262*0.7,10)</f>
        <v/>
      </c>
      <c r="K1273">
        <f>U1273=ROUND(1262*1.1,10)</f>
        <v/>
      </c>
      <c r="L1273">
        <f>V1273=ROUND(1262*0.25,10)</f>
        <v/>
      </c>
      <c r="M1273">
        <f>W1273=ROUND(1262*0.5,10)</f>
        <v/>
      </c>
      <c r="O1273">
        <f>O1272+0.1</f>
        <v/>
      </c>
      <c r="P1273">
        <f>P1272+0.2</f>
        <v/>
      </c>
      <c r="Q1273">
        <f>Q1272+0.3</f>
        <v/>
      </c>
      <c r="R1273">
        <f>R1272+0.05</f>
        <v/>
      </c>
      <c r="S1273">
        <f>S1272+0.01</f>
        <v/>
      </c>
      <c r="T1273">
        <f>T1272+0.7</f>
        <v/>
      </c>
      <c r="U1273">
        <f>U1272+1.1</f>
        <v/>
      </c>
      <c r="V1273">
        <f>V1272+0.25</f>
        <v/>
      </c>
      <c r="W1273">
        <f>W1272+0.5</f>
        <v/>
      </c>
    </row>
    <row r="1274">
      <c r="E1274">
        <f>O1274=ROUND(1263*0.1,10)</f>
        <v/>
      </c>
      <c r="F1274">
        <f>P1274=ROUND(1263*0.2,10)</f>
        <v/>
      </c>
      <c r="G1274">
        <f>Q1274=ROUND(1263*0.3,10)</f>
        <v/>
      </c>
      <c r="H1274">
        <f>R1274=ROUND(1263*0.05,10)</f>
        <v/>
      </c>
      <c r="I1274">
        <f>S1274=ROUND(1263*0.01,10)</f>
        <v/>
      </c>
      <c r="J1274">
        <f>T1274=ROUND(1263*0.7,10)</f>
        <v/>
      </c>
      <c r="K1274">
        <f>U1274=ROUND(1263*1.1,10)</f>
        <v/>
      </c>
      <c r="L1274">
        <f>V1274=ROUND(1263*0.25,10)</f>
        <v/>
      </c>
      <c r="M1274">
        <f>W1274=ROUND(1263*0.5,10)</f>
        <v/>
      </c>
      <c r="O1274">
        <f>O1273+0.1</f>
        <v/>
      </c>
      <c r="P1274">
        <f>P1273+0.2</f>
        <v/>
      </c>
      <c r="Q1274">
        <f>Q1273+0.3</f>
        <v/>
      </c>
      <c r="R1274">
        <f>R1273+0.05</f>
        <v/>
      </c>
      <c r="S1274">
        <f>S1273+0.01</f>
        <v/>
      </c>
      <c r="T1274">
        <f>T1273+0.7</f>
        <v/>
      </c>
      <c r="U1274">
        <f>U1273+1.1</f>
        <v/>
      </c>
      <c r="V1274">
        <f>V1273+0.25</f>
        <v/>
      </c>
      <c r="W1274">
        <f>W1273+0.5</f>
        <v/>
      </c>
    </row>
    <row r="1275">
      <c r="E1275">
        <f>O1275=ROUND(1264*0.1,10)</f>
        <v/>
      </c>
      <c r="F1275">
        <f>P1275=ROUND(1264*0.2,10)</f>
        <v/>
      </c>
      <c r="G1275">
        <f>Q1275=ROUND(1264*0.3,10)</f>
        <v/>
      </c>
      <c r="H1275">
        <f>R1275=ROUND(1264*0.05,10)</f>
        <v/>
      </c>
      <c r="I1275">
        <f>S1275=ROUND(1264*0.01,10)</f>
        <v/>
      </c>
      <c r="J1275">
        <f>T1275=ROUND(1264*0.7,10)</f>
        <v/>
      </c>
      <c r="K1275">
        <f>U1275=ROUND(1264*1.1,10)</f>
        <v/>
      </c>
      <c r="L1275">
        <f>V1275=ROUND(1264*0.25,10)</f>
        <v/>
      </c>
      <c r="M1275">
        <f>W1275=ROUND(1264*0.5,10)</f>
        <v/>
      </c>
      <c r="O1275">
        <f>O1274+0.1</f>
        <v/>
      </c>
      <c r="P1275">
        <f>P1274+0.2</f>
        <v/>
      </c>
      <c r="Q1275">
        <f>Q1274+0.3</f>
        <v/>
      </c>
      <c r="R1275">
        <f>R1274+0.05</f>
        <v/>
      </c>
      <c r="S1275">
        <f>S1274+0.01</f>
        <v/>
      </c>
      <c r="T1275">
        <f>T1274+0.7</f>
        <v/>
      </c>
      <c r="U1275">
        <f>U1274+1.1</f>
        <v/>
      </c>
      <c r="V1275">
        <f>V1274+0.25</f>
        <v/>
      </c>
      <c r="W1275">
        <f>W1274+0.5</f>
        <v/>
      </c>
    </row>
    <row r="1276">
      <c r="E1276">
        <f>O1276=ROUND(1265*0.1,10)</f>
        <v/>
      </c>
      <c r="F1276">
        <f>P1276=ROUND(1265*0.2,10)</f>
        <v/>
      </c>
      <c r="G1276">
        <f>Q1276=ROUND(1265*0.3,10)</f>
        <v/>
      </c>
      <c r="H1276">
        <f>R1276=ROUND(1265*0.05,10)</f>
        <v/>
      </c>
      <c r="I1276">
        <f>S1276=ROUND(1265*0.01,10)</f>
        <v/>
      </c>
      <c r="J1276">
        <f>T1276=ROUND(1265*0.7,10)</f>
        <v/>
      </c>
      <c r="K1276">
        <f>U1276=ROUND(1265*1.1,10)</f>
        <v/>
      </c>
      <c r="L1276">
        <f>V1276=ROUND(1265*0.25,10)</f>
        <v/>
      </c>
      <c r="M1276">
        <f>W1276=ROUND(1265*0.5,10)</f>
        <v/>
      </c>
      <c r="O1276">
        <f>O1275+0.1</f>
        <v/>
      </c>
      <c r="P1276">
        <f>P1275+0.2</f>
        <v/>
      </c>
      <c r="Q1276">
        <f>Q1275+0.3</f>
        <v/>
      </c>
      <c r="R1276">
        <f>R1275+0.05</f>
        <v/>
      </c>
      <c r="S1276">
        <f>S1275+0.01</f>
        <v/>
      </c>
      <c r="T1276">
        <f>T1275+0.7</f>
        <v/>
      </c>
      <c r="U1276">
        <f>U1275+1.1</f>
        <v/>
      </c>
      <c r="V1276">
        <f>V1275+0.25</f>
        <v/>
      </c>
      <c r="W1276">
        <f>W1275+0.5</f>
        <v/>
      </c>
    </row>
    <row r="1277">
      <c r="E1277">
        <f>O1277=ROUND(1266*0.1,10)</f>
        <v/>
      </c>
      <c r="F1277">
        <f>P1277=ROUND(1266*0.2,10)</f>
        <v/>
      </c>
      <c r="G1277">
        <f>Q1277=ROUND(1266*0.3,10)</f>
        <v/>
      </c>
      <c r="H1277">
        <f>R1277=ROUND(1266*0.05,10)</f>
        <v/>
      </c>
      <c r="I1277">
        <f>S1277=ROUND(1266*0.01,10)</f>
        <v/>
      </c>
      <c r="J1277">
        <f>T1277=ROUND(1266*0.7,10)</f>
        <v/>
      </c>
      <c r="K1277">
        <f>U1277=ROUND(1266*1.1,10)</f>
        <v/>
      </c>
      <c r="L1277">
        <f>V1277=ROUND(1266*0.25,10)</f>
        <v/>
      </c>
      <c r="M1277">
        <f>W1277=ROUND(1266*0.5,10)</f>
        <v/>
      </c>
      <c r="O1277">
        <f>O1276+0.1</f>
        <v/>
      </c>
      <c r="P1277">
        <f>P1276+0.2</f>
        <v/>
      </c>
      <c r="Q1277">
        <f>Q1276+0.3</f>
        <v/>
      </c>
      <c r="R1277">
        <f>R1276+0.05</f>
        <v/>
      </c>
      <c r="S1277">
        <f>S1276+0.01</f>
        <v/>
      </c>
      <c r="T1277">
        <f>T1276+0.7</f>
        <v/>
      </c>
      <c r="U1277">
        <f>U1276+1.1</f>
        <v/>
      </c>
      <c r="V1277">
        <f>V1276+0.25</f>
        <v/>
      </c>
      <c r="W1277">
        <f>W1276+0.5</f>
        <v/>
      </c>
    </row>
    <row r="1278">
      <c r="E1278">
        <f>O1278=ROUND(1267*0.1,10)</f>
        <v/>
      </c>
      <c r="F1278">
        <f>P1278=ROUND(1267*0.2,10)</f>
        <v/>
      </c>
      <c r="G1278">
        <f>Q1278=ROUND(1267*0.3,10)</f>
        <v/>
      </c>
      <c r="H1278">
        <f>R1278=ROUND(1267*0.05,10)</f>
        <v/>
      </c>
      <c r="I1278">
        <f>S1278=ROUND(1267*0.01,10)</f>
        <v/>
      </c>
      <c r="J1278">
        <f>T1278=ROUND(1267*0.7,10)</f>
        <v/>
      </c>
      <c r="K1278">
        <f>U1278=ROUND(1267*1.1,10)</f>
        <v/>
      </c>
      <c r="L1278">
        <f>V1278=ROUND(1267*0.25,10)</f>
        <v/>
      </c>
      <c r="M1278">
        <f>W1278=ROUND(1267*0.5,10)</f>
        <v/>
      </c>
      <c r="O1278">
        <f>O1277+0.1</f>
        <v/>
      </c>
      <c r="P1278">
        <f>P1277+0.2</f>
        <v/>
      </c>
      <c r="Q1278">
        <f>Q1277+0.3</f>
        <v/>
      </c>
      <c r="R1278">
        <f>R1277+0.05</f>
        <v/>
      </c>
      <c r="S1278">
        <f>S1277+0.01</f>
        <v/>
      </c>
      <c r="T1278">
        <f>T1277+0.7</f>
        <v/>
      </c>
      <c r="U1278">
        <f>U1277+1.1</f>
        <v/>
      </c>
      <c r="V1278">
        <f>V1277+0.25</f>
        <v/>
      </c>
      <c r="W1278">
        <f>W1277+0.5</f>
        <v/>
      </c>
    </row>
    <row r="1279">
      <c r="E1279">
        <f>O1279=ROUND(1268*0.1,10)</f>
        <v/>
      </c>
      <c r="F1279">
        <f>P1279=ROUND(1268*0.2,10)</f>
        <v/>
      </c>
      <c r="G1279">
        <f>Q1279=ROUND(1268*0.3,10)</f>
        <v/>
      </c>
      <c r="H1279">
        <f>R1279=ROUND(1268*0.05,10)</f>
        <v/>
      </c>
      <c r="I1279">
        <f>S1279=ROUND(1268*0.01,10)</f>
        <v/>
      </c>
      <c r="J1279">
        <f>T1279=ROUND(1268*0.7,10)</f>
        <v/>
      </c>
      <c r="K1279">
        <f>U1279=ROUND(1268*1.1,10)</f>
        <v/>
      </c>
      <c r="L1279">
        <f>V1279=ROUND(1268*0.25,10)</f>
        <v/>
      </c>
      <c r="M1279">
        <f>W1279=ROUND(1268*0.5,10)</f>
        <v/>
      </c>
      <c r="O1279">
        <f>O1278+0.1</f>
        <v/>
      </c>
      <c r="P1279">
        <f>P1278+0.2</f>
        <v/>
      </c>
      <c r="Q1279">
        <f>Q1278+0.3</f>
        <v/>
      </c>
      <c r="R1279">
        <f>R1278+0.05</f>
        <v/>
      </c>
      <c r="S1279">
        <f>S1278+0.01</f>
        <v/>
      </c>
      <c r="T1279">
        <f>T1278+0.7</f>
        <v/>
      </c>
      <c r="U1279">
        <f>U1278+1.1</f>
        <v/>
      </c>
      <c r="V1279">
        <f>V1278+0.25</f>
        <v/>
      </c>
      <c r="W1279">
        <f>W1278+0.5</f>
        <v/>
      </c>
    </row>
    <row r="1280">
      <c r="E1280">
        <f>O1280=ROUND(1269*0.1,10)</f>
        <v/>
      </c>
      <c r="F1280">
        <f>P1280=ROUND(1269*0.2,10)</f>
        <v/>
      </c>
      <c r="G1280">
        <f>Q1280=ROUND(1269*0.3,10)</f>
        <v/>
      </c>
      <c r="H1280">
        <f>R1280=ROUND(1269*0.05,10)</f>
        <v/>
      </c>
      <c r="I1280">
        <f>S1280=ROUND(1269*0.01,10)</f>
        <v/>
      </c>
      <c r="J1280">
        <f>T1280=ROUND(1269*0.7,10)</f>
        <v/>
      </c>
      <c r="K1280">
        <f>U1280=ROUND(1269*1.1,10)</f>
        <v/>
      </c>
      <c r="L1280">
        <f>V1280=ROUND(1269*0.25,10)</f>
        <v/>
      </c>
      <c r="M1280">
        <f>W1280=ROUND(1269*0.5,10)</f>
        <v/>
      </c>
      <c r="O1280">
        <f>O1279+0.1</f>
        <v/>
      </c>
      <c r="P1280">
        <f>P1279+0.2</f>
        <v/>
      </c>
      <c r="Q1280">
        <f>Q1279+0.3</f>
        <v/>
      </c>
      <c r="R1280">
        <f>R1279+0.05</f>
        <v/>
      </c>
      <c r="S1280">
        <f>S1279+0.01</f>
        <v/>
      </c>
      <c r="T1280">
        <f>T1279+0.7</f>
        <v/>
      </c>
      <c r="U1280">
        <f>U1279+1.1</f>
        <v/>
      </c>
      <c r="V1280">
        <f>V1279+0.25</f>
        <v/>
      </c>
      <c r="W1280">
        <f>W1279+0.5</f>
        <v/>
      </c>
    </row>
    <row r="1281">
      <c r="E1281">
        <f>O1281=ROUND(1270*0.1,10)</f>
        <v/>
      </c>
      <c r="F1281">
        <f>P1281=ROUND(1270*0.2,10)</f>
        <v/>
      </c>
      <c r="G1281">
        <f>Q1281=ROUND(1270*0.3,10)</f>
        <v/>
      </c>
      <c r="H1281">
        <f>R1281=ROUND(1270*0.05,10)</f>
        <v/>
      </c>
      <c r="I1281">
        <f>S1281=ROUND(1270*0.01,10)</f>
        <v/>
      </c>
      <c r="J1281">
        <f>T1281=ROUND(1270*0.7,10)</f>
        <v/>
      </c>
      <c r="K1281">
        <f>U1281=ROUND(1270*1.1,10)</f>
        <v/>
      </c>
      <c r="L1281">
        <f>V1281=ROUND(1270*0.25,10)</f>
        <v/>
      </c>
      <c r="M1281">
        <f>W1281=ROUND(1270*0.5,10)</f>
        <v/>
      </c>
      <c r="O1281">
        <f>O1280+0.1</f>
        <v/>
      </c>
      <c r="P1281">
        <f>P1280+0.2</f>
        <v/>
      </c>
      <c r="Q1281">
        <f>Q1280+0.3</f>
        <v/>
      </c>
      <c r="R1281">
        <f>R1280+0.05</f>
        <v/>
      </c>
      <c r="S1281">
        <f>S1280+0.01</f>
        <v/>
      </c>
      <c r="T1281">
        <f>T1280+0.7</f>
        <v/>
      </c>
      <c r="U1281">
        <f>U1280+1.1</f>
        <v/>
      </c>
      <c r="V1281">
        <f>V1280+0.25</f>
        <v/>
      </c>
      <c r="W1281">
        <f>W1280+0.5</f>
        <v/>
      </c>
    </row>
    <row r="1282">
      <c r="E1282">
        <f>O1282=ROUND(1271*0.1,10)</f>
        <v/>
      </c>
      <c r="F1282">
        <f>P1282=ROUND(1271*0.2,10)</f>
        <v/>
      </c>
      <c r="G1282">
        <f>Q1282=ROUND(1271*0.3,10)</f>
        <v/>
      </c>
      <c r="H1282">
        <f>R1282=ROUND(1271*0.05,10)</f>
        <v/>
      </c>
      <c r="I1282">
        <f>S1282=ROUND(1271*0.01,10)</f>
        <v/>
      </c>
      <c r="J1282">
        <f>T1282=ROUND(1271*0.7,10)</f>
        <v/>
      </c>
      <c r="K1282">
        <f>U1282=ROUND(1271*1.1,10)</f>
        <v/>
      </c>
      <c r="L1282">
        <f>V1282=ROUND(1271*0.25,10)</f>
        <v/>
      </c>
      <c r="M1282">
        <f>W1282=ROUND(1271*0.5,10)</f>
        <v/>
      </c>
      <c r="O1282">
        <f>O1281+0.1</f>
        <v/>
      </c>
      <c r="P1282">
        <f>P1281+0.2</f>
        <v/>
      </c>
      <c r="Q1282">
        <f>Q1281+0.3</f>
        <v/>
      </c>
      <c r="R1282">
        <f>R1281+0.05</f>
        <v/>
      </c>
      <c r="S1282">
        <f>S1281+0.01</f>
        <v/>
      </c>
      <c r="T1282">
        <f>T1281+0.7</f>
        <v/>
      </c>
      <c r="U1282">
        <f>U1281+1.1</f>
        <v/>
      </c>
      <c r="V1282">
        <f>V1281+0.25</f>
        <v/>
      </c>
      <c r="W1282">
        <f>W1281+0.5</f>
        <v/>
      </c>
    </row>
    <row r="1283">
      <c r="E1283">
        <f>O1283=ROUND(1272*0.1,10)</f>
        <v/>
      </c>
      <c r="F1283">
        <f>P1283=ROUND(1272*0.2,10)</f>
        <v/>
      </c>
      <c r="G1283">
        <f>Q1283=ROUND(1272*0.3,10)</f>
        <v/>
      </c>
      <c r="H1283">
        <f>R1283=ROUND(1272*0.05,10)</f>
        <v/>
      </c>
      <c r="I1283">
        <f>S1283=ROUND(1272*0.01,10)</f>
        <v/>
      </c>
      <c r="J1283">
        <f>T1283=ROUND(1272*0.7,10)</f>
        <v/>
      </c>
      <c r="K1283">
        <f>U1283=ROUND(1272*1.1,10)</f>
        <v/>
      </c>
      <c r="L1283">
        <f>V1283=ROUND(1272*0.25,10)</f>
        <v/>
      </c>
      <c r="M1283">
        <f>W1283=ROUND(1272*0.5,10)</f>
        <v/>
      </c>
      <c r="O1283">
        <f>O1282+0.1</f>
        <v/>
      </c>
      <c r="P1283">
        <f>P1282+0.2</f>
        <v/>
      </c>
      <c r="Q1283">
        <f>Q1282+0.3</f>
        <v/>
      </c>
      <c r="R1283">
        <f>R1282+0.05</f>
        <v/>
      </c>
      <c r="S1283">
        <f>S1282+0.01</f>
        <v/>
      </c>
      <c r="T1283">
        <f>T1282+0.7</f>
        <v/>
      </c>
      <c r="U1283">
        <f>U1282+1.1</f>
        <v/>
      </c>
      <c r="V1283">
        <f>V1282+0.25</f>
        <v/>
      </c>
      <c r="W1283">
        <f>W1282+0.5</f>
        <v/>
      </c>
    </row>
    <row r="1284">
      <c r="E1284">
        <f>O1284=ROUND(1273*0.1,10)</f>
        <v/>
      </c>
      <c r="F1284">
        <f>P1284=ROUND(1273*0.2,10)</f>
        <v/>
      </c>
      <c r="G1284">
        <f>Q1284=ROUND(1273*0.3,10)</f>
        <v/>
      </c>
      <c r="H1284">
        <f>R1284=ROUND(1273*0.05,10)</f>
        <v/>
      </c>
      <c r="I1284">
        <f>S1284=ROUND(1273*0.01,10)</f>
        <v/>
      </c>
      <c r="J1284">
        <f>T1284=ROUND(1273*0.7,10)</f>
        <v/>
      </c>
      <c r="K1284">
        <f>U1284=ROUND(1273*1.1,10)</f>
        <v/>
      </c>
      <c r="L1284">
        <f>V1284=ROUND(1273*0.25,10)</f>
        <v/>
      </c>
      <c r="M1284">
        <f>W1284=ROUND(1273*0.5,10)</f>
        <v/>
      </c>
      <c r="O1284">
        <f>O1283+0.1</f>
        <v/>
      </c>
      <c r="P1284">
        <f>P1283+0.2</f>
        <v/>
      </c>
      <c r="Q1284">
        <f>Q1283+0.3</f>
        <v/>
      </c>
      <c r="R1284">
        <f>R1283+0.05</f>
        <v/>
      </c>
      <c r="S1284">
        <f>S1283+0.01</f>
        <v/>
      </c>
      <c r="T1284">
        <f>T1283+0.7</f>
        <v/>
      </c>
      <c r="U1284">
        <f>U1283+1.1</f>
        <v/>
      </c>
      <c r="V1284">
        <f>V1283+0.25</f>
        <v/>
      </c>
      <c r="W1284">
        <f>W1283+0.5</f>
        <v/>
      </c>
    </row>
    <row r="1285">
      <c r="E1285">
        <f>O1285=ROUND(1274*0.1,10)</f>
        <v/>
      </c>
      <c r="F1285">
        <f>P1285=ROUND(1274*0.2,10)</f>
        <v/>
      </c>
      <c r="G1285">
        <f>Q1285=ROUND(1274*0.3,10)</f>
        <v/>
      </c>
      <c r="H1285">
        <f>R1285=ROUND(1274*0.05,10)</f>
        <v/>
      </c>
      <c r="I1285">
        <f>S1285=ROUND(1274*0.01,10)</f>
        <v/>
      </c>
      <c r="J1285">
        <f>T1285=ROUND(1274*0.7,10)</f>
        <v/>
      </c>
      <c r="K1285">
        <f>U1285=ROUND(1274*1.1,10)</f>
        <v/>
      </c>
      <c r="L1285">
        <f>V1285=ROUND(1274*0.25,10)</f>
        <v/>
      </c>
      <c r="M1285">
        <f>W1285=ROUND(1274*0.5,10)</f>
        <v/>
      </c>
      <c r="O1285">
        <f>O1284+0.1</f>
        <v/>
      </c>
      <c r="P1285">
        <f>P1284+0.2</f>
        <v/>
      </c>
      <c r="Q1285">
        <f>Q1284+0.3</f>
        <v/>
      </c>
      <c r="R1285">
        <f>R1284+0.05</f>
        <v/>
      </c>
      <c r="S1285">
        <f>S1284+0.01</f>
        <v/>
      </c>
      <c r="T1285">
        <f>T1284+0.7</f>
        <v/>
      </c>
      <c r="U1285">
        <f>U1284+1.1</f>
        <v/>
      </c>
      <c r="V1285">
        <f>V1284+0.25</f>
        <v/>
      </c>
      <c r="W1285">
        <f>W1284+0.5</f>
        <v/>
      </c>
    </row>
    <row r="1286">
      <c r="E1286">
        <f>O1286=ROUND(1275*0.1,10)</f>
        <v/>
      </c>
      <c r="F1286">
        <f>P1286=ROUND(1275*0.2,10)</f>
        <v/>
      </c>
      <c r="G1286">
        <f>Q1286=ROUND(1275*0.3,10)</f>
        <v/>
      </c>
      <c r="H1286">
        <f>R1286=ROUND(1275*0.05,10)</f>
        <v/>
      </c>
      <c r="I1286">
        <f>S1286=ROUND(1275*0.01,10)</f>
        <v/>
      </c>
      <c r="J1286">
        <f>T1286=ROUND(1275*0.7,10)</f>
        <v/>
      </c>
      <c r="K1286">
        <f>U1286=ROUND(1275*1.1,10)</f>
        <v/>
      </c>
      <c r="L1286">
        <f>V1286=ROUND(1275*0.25,10)</f>
        <v/>
      </c>
      <c r="M1286">
        <f>W1286=ROUND(1275*0.5,10)</f>
        <v/>
      </c>
      <c r="O1286">
        <f>O1285+0.1</f>
        <v/>
      </c>
      <c r="P1286">
        <f>P1285+0.2</f>
        <v/>
      </c>
      <c r="Q1286">
        <f>Q1285+0.3</f>
        <v/>
      </c>
      <c r="R1286">
        <f>R1285+0.05</f>
        <v/>
      </c>
      <c r="S1286">
        <f>S1285+0.01</f>
        <v/>
      </c>
      <c r="T1286">
        <f>T1285+0.7</f>
        <v/>
      </c>
      <c r="U1286">
        <f>U1285+1.1</f>
        <v/>
      </c>
      <c r="V1286">
        <f>V1285+0.25</f>
        <v/>
      </c>
      <c r="W1286">
        <f>W1285+0.5</f>
        <v/>
      </c>
    </row>
    <row r="1287">
      <c r="E1287">
        <f>O1287=ROUND(1276*0.1,10)</f>
        <v/>
      </c>
      <c r="F1287">
        <f>P1287=ROUND(1276*0.2,10)</f>
        <v/>
      </c>
      <c r="G1287">
        <f>Q1287=ROUND(1276*0.3,10)</f>
        <v/>
      </c>
      <c r="H1287">
        <f>R1287=ROUND(1276*0.05,10)</f>
        <v/>
      </c>
      <c r="I1287">
        <f>S1287=ROUND(1276*0.01,10)</f>
        <v/>
      </c>
      <c r="J1287">
        <f>T1287=ROUND(1276*0.7,10)</f>
        <v/>
      </c>
      <c r="K1287">
        <f>U1287=ROUND(1276*1.1,10)</f>
        <v/>
      </c>
      <c r="L1287">
        <f>V1287=ROUND(1276*0.25,10)</f>
        <v/>
      </c>
      <c r="M1287">
        <f>W1287=ROUND(1276*0.5,10)</f>
        <v/>
      </c>
      <c r="O1287">
        <f>O1286+0.1</f>
        <v/>
      </c>
      <c r="P1287">
        <f>P1286+0.2</f>
        <v/>
      </c>
      <c r="Q1287">
        <f>Q1286+0.3</f>
        <v/>
      </c>
      <c r="R1287">
        <f>R1286+0.05</f>
        <v/>
      </c>
      <c r="S1287">
        <f>S1286+0.01</f>
        <v/>
      </c>
      <c r="T1287">
        <f>T1286+0.7</f>
        <v/>
      </c>
      <c r="U1287">
        <f>U1286+1.1</f>
        <v/>
      </c>
      <c r="V1287">
        <f>V1286+0.25</f>
        <v/>
      </c>
      <c r="W1287">
        <f>W1286+0.5</f>
        <v/>
      </c>
    </row>
    <row r="1288">
      <c r="E1288">
        <f>O1288=ROUND(1277*0.1,10)</f>
        <v/>
      </c>
      <c r="F1288">
        <f>P1288=ROUND(1277*0.2,10)</f>
        <v/>
      </c>
      <c r="G1288">
        <f>Q1288=ROUND(1277*0.3,10)</f>
        <v/>
      </c>
      <c r="H1288">
        <f>R1288=ROUND(1277*0.05,10)</f>
        <v/>
      </c>
      <c r="I1288">
        <f>S1288=ROUND(1277*0.01,10)</f>
        <v/>
      </c>
      <c r="J1288">
        <f>T1288=ROUND(1277*0.7,10)</f>
        <v/>
      </c>
      <c r="K1288">
        <f>U1288=ROUND(1277*1.1,10)</f>
        <v/>
      </c>
      <c r="L1288">
        <f>V1288=ROUND(1277*0.25,10)</f>
        <v/>
      </c>
      <c r="M1288">
        <f>W1288=ROUND(1277*0.5,10)</f>
        <v/>
      </c>
      <c r="O1288">
        <f>O1287+0.1</f>
        <v/>
      </c>
      <c r="P1288">
        <f>P1287+0.2</f>
        <v/>
      </c>
      <c r="Q1288">
        <f>Q1287+0.3</f>
        <v/>
      </c>
      <c r="R1288">
        <f>R1287+0.05</f>
        <v/>
      </c>
      <c r="S1288">
        <f>S1287+0.01</f>
        <v/>
      </c>
      <c r="T1288">
        <f>T1287+0.7</f>
        <v/>
      </c>
      <c r="U1288">
        <f>U1287+1.1</f>
        <v/>
      </c>
      <c r="V1288">
        <f>V1287+0.25</f>
        <v/>
      </c>
      <c r="W1288">
        <f>W1287+0.5</f>
        <v/>
      </c>
    </row>
    <row r="1289">
      <c r="E1289">
        <f>O1289=ROUND(1278*0.1,10)</f>
        <v/>
      </c>
      <c r="F1289">
        <f>P1289=ROUND(1278*0.2,10)</f>
        <v/>
      </c>
      <c r="G1289">
        <f>Q1289=ROUND(1278*0.3,10)</f>
        <v/>
      </c>
      <c r="H1289">
        <f>R1289=ROUND(1278*0.05,10)</f>
        <v/>
      </c>
      <c r="I1289">
        <f>S1289=ROUND(1278*0.01,10)</f>
        <v/>
      </c>
      <c r="J1289">
        <f>T1289=ROUND(1278*0.7,10)</f>
        <v/>
      </c>
      <c r="K1289">
        <f>U1289=ROUND(1278*1.1,10)</f>
        <v/>
      </c>
      <c r="L1289">
        <f>V1289=ROUND(1278*0.25,10)</f>
        <v/>
      </c>
      <c r="M1289">
        <f>W1289=ROUND(1278*0.5,10)</f>
        <v/>
      </c>
      <c r="O1289">
        <f>O1288+0.1</f>
        <v/>
      </c>
      <c r="P1289">
        <f>P1288+0.2</f>
        <v/>
      </c>
      <c r="Q1289">
        <f>Q1288+0.3</f>
        <v/>
      </c>
      <c r="R1289">
        <f>R1288+0.05</f>
        <v/>
      </c>
      <c r="S1289">
        <f>S1288+0.01</f>
        <v/>
      </c>
      <c r="T1289">
        <f>T1288+0.7</f>
        <v/>
      </c>
      <c r="U1289">
        <f>U1288+1.1</f>
        <v/>
      </c>
      <c r="V1289">
        <f>V1288+0.25</f>
        <v/>
      </c>
      <c r="W1289">
        <f>W1288+0.5</f>
        <v/>
      </c>
    </row>
    <row r="1290">
      <c r="E1290">
        <f>O1290=ROUND(1279*0.1,10)</f>
        <v/>
      </c>
      <c r="F1290">
        <f>P1290=ROUND(1279*0.2,10)</f>
        <v/>
      </c>
      <c r="G1290">
        <f>Q1290=ROUND(1279*0.3,10)</f>
        <v/>
      </c>
      <c r="H1290">
        <f>R1290=ROUND(1279*0.05,10)</f>
        <v/>
      </c>
      <c r="I1290">
        <f>S1290=ROUND(1279*0.01,10)</f>
        <v/>
      </c>
      <c r="J1290">
        <f>T1290=ROUND(1279*0.7,10)</f>
        <v/>
      </c>
      <c r="K1290">
        <f>U1290=ROUND(1279*1.1,10)</f>
        <v/>
      </c>
      <c r="L1290">
        <f>V1290=ROUND(1279*0.25,10)</f>
        <v/>
      </c>
      <c r="M1290">
        <f>W1290=ROUND(1279*0.5,10)</f>
        <v/>
      </c>
      <c r="O1290">
        <f>O1289+0.1</f>
        <v/>
      </c>
      <c r="P1290">
        <f>P1289+0.2</f>
        <v/>
      </c>
      <c r="Q1290">
        <f>Q1289+0.3</f>
        <v/>
      </c>
      <c r="R1290">
        <f>R1289+0.05</f>
        <v/>
      </c>
      <c r="S1290">
        <f>S1289+0.01</f>
        <v/>
      </c>
      <c r="T1290">
        <f>T1289+0.7</f>
        <v/>
      </c>
      <c r="U1290">
        <f>U1289+1.1</f>
        <v/>
      </c>
      <c r="V1290">
        <f>V1289+0.25</f>
        <v/>
      </c>
      <c r="W1290">
        <f>W1289+0.5</f>
        <v/>
      </c>
    </row>
    <row r="1291">
      <c r="E1291">
        <f>O1291=ROUND(1280*0.1,10)</f>
        <v/>
      </c>
      <c r="F1291">
        <f>P1291=ROUND(1280*0.2,10)</f>
        <v/>
      </c>
      <c r="G1291">
        <f>Q1291=ROUND(1280*0.3,10)</f>
        <v/>
      </c>
      <c r="H1291">
        <f>R1291=ROUND(1280*0.05,10)</f>
        <v/>
      </c>
      <c r="I1291">
        <f>S1291=ROUND(1280*0.01,10)</f>
        <v/>
      </c>
      <c r="J1291">
        <f>T1291=ROUND(1280*0.7,10)</f>
        <v/>
      </c>
      <c r="K1291">
        <f>U1291=ROUND(1280*1.1,10)</f>
        <v/>
      </c>
      <c r="L1291">
        <f>V1291=ROUND(1280*0.25,10)</f>
        <v/>
      </c>
      <c r="M1291">
        <f>W1291=ROUND(1280*0.5,10)</f>
        <v/>
      </c>
      <c r="O1291">
        <f>O1290+0.1</f>
        <v/>
      </c>
      <c r="P1291">
        <f>P1290+0.2</f>
        <v/>
      </c>
      <c r="Q1291">
        <f>Q1290+0.3</f>
        <v/>
      </c>
      <c r="R1291">
        <f>R1290+0.05</f>
        <v/>
      </c>
      <c r="S1291">
        <f>S1290+0.01</f>
        <v/>
      </c>
      <c r="T1291">
        <f>T1290+0.7</f>
        <v/>
      </c>
      <c r="U1291">
        <f>U1290+1.1</f>
        <v/>
      </c>
      <c r="V1291">
        <f>V1290+0.25</f>
        <v/>
      </c>
      <c r="W1291">
        <f>W1290+0.5</f>
        <v/>
      </c>
    </row>
    <row r="1292">
      <c r="E1292">
        <f>O1292=ROUND(1281*0.1,10)</f>
        <v/>
      </c>
      <c r="F1292">
        <f>P1292=ROUND(1281*0.2,10)</f>
        <v/>
      </c>
      <c r="G1292">
        <f>Q1292=ROUND(1281*0.3,10)</f>
        <v/>
      </c>
      <c r="H1292">
        <f>R1292=ROUND(1281*0.05,10)</f>
        <v/>
      </c>
      <c r="I1292">
        <f>S1292=ROUND(1281*0.01,10)</f>
        <v/>
      </c>
      <c r="J1292">
        <f>T1292=ROUND(1281*0.7,10)</f>
        <v/>
      </c>
      <c r="K1292">
        <f>U1292=ROUND(1281*1.1,10)</f>
        <v/>
      </c>
      <c r="L1292">
        <f>V1292=ROUND(1281*0.25,10)</f>
        <v/>
      </c>
      <c r="M1292">
        <f>W1292=ROUND(1281*0.5,10)</f>
        <v/>
      </c>
      <c r="O1292">
        <f>O1291+0.1</f>
        <v/>
      </c>
      <c r="P1292">
        <f>P1291+0.2</f>
        <v/>
      </c>
      <c r="Q1292">
        <f>Q1291+0.3</f>
        <v/>
      </c>
      <c r="R1292">
        <f>R1291+0.05</f>
        <v/>
      </c>
      <c r="S1292">
        <f>S1291+0.01</f>
        <v/>
      </c>
      <c r="T1292">
        <f>T1291+0.7</f>
        <v/>
      </c>
      <c r="U1292">
        <f>U1291+1.1</f>
        <v/>
      </c>
      <c r="V1292">
        <f>V1291+0.25</f>
        <v/>
      </c>
      <c r="W1292">
        <f>W1291+0.5</f>
        <v/>
      </c>
    </row>
    <row r="1293">
      <c r="E1293">
        <f>O1293=ROUND(1282*0.1,10)</f>
        <v/>
      </c>
      <c r="F1293">
        <f>P1293=ROUND(1282*0.2,10)</f>
        <v/>
      </c>
      <c r="G1293">
        <f>Q1293=ROUND(1282*0.3,10)</f>
        <v/>
      </c>
      <c r="H1293">
        <f>R1293=ROUND(1282*0.05,10)</f>
        <v/>
      </c>
      <c r="I1293">
        <f>S1293=ROUND(1282*0.01,10)</f>
        <v/>
      </c>
      <c r="J1293">
        <f>T1293=ROUND(1282*0.7,10)</f>
        <v/>
      </c>
      <c r="K1293">
        <f>U1293=ROUND(1282*1.1,10)</f>
        <v/>
      </c>
      <c r="L1293">
        <f>V1293=ROUND(1282*0.25,10)</f>
        <v/>
      </c>
      <c r="M1293">
        <f>W1293=ROUND(1282*0.5,10)</f>
        <v/>
      </c>
      <c r="O1293">
        <f>O1292+0.1</f>
        <v/>
      </c>
      <c r="P1293">
        <f>P1292+0.2</f>
        <v/>
      </c>
      <c r="Q1293">
        <f>Q1292+0.3</f>
        <v/>
      </c>
      <c r="R1293">
        <f>R1292+0.05</f>
        <v/>
      </c>
      <c r="S1293">
        <f>S1292+0.01</f>
        <v/>
      </c>
      <c r="T1293">
        <f>T1292+0.7</f>
        <v/>
      </c>
      <c r="U1293">
        <f>U1292+1.1</f>
        <v/>
      </c>
      <c r="V1293">
        <f>V1292+0.25</f>
        <v/>
      </c>
      <c r="W1293">
        <f>W1292+0.5</f>
        <v/>
      </c>
    </row>
    <row r="1294">
      <c r="E1294">
        <f>O1294=ROUND(1283*0.1,10)</f>
        <v/>
      </c>
      <c r="F1294">
        <f>P1294=ROUND(1283*0.2,10)</f>
        <v/>
      </c>
      <c r="G1294">
        <f>Q1294=ROUND(1283*0.3,10)</f>
        <v/>
      </c>
      <c r="H1294">
        <f>R1294=ROUND(1283*0.05,10)</f>
        <v/>
      </c>
      <c r="I1294">
        <f>S1294=ROUND(1283*0.01,10)</f>
        <v/>
      </c>
      <c r="J1294">
        <f>T1294=ROUND(1283*0.7,10)</f>
        <v/>
      </c>
      <c r="K1294">
        <f>U1294=ROUND(1283*1.1,10)</f>
        <v/>
      </c>
      <c r="L1294">
        <f>V1294=ROUND(1283*0.25,10)</f>
        <v/>
      </c>
      <c r="M1294">
        <f>W1294=ROUND(1283*0.5,10)</f>
        <v/>
      </c>
      <c r="O1294">
        <f>O1293+0.1</f>
        <v/>
      </c>
      <c r="P1294">
        <f>P1293+0.2</f>
        <v/>
      </c>
      <c r="Q1294">
        <f>Q1293+0.3</f>
        <v/>
      </c>
      <c r="R1294">
        <f>R1293+0.05</f>
        <v/>
      </c>
      <c r="S1294">
        <f>S1293+0.01</f>
        <v/>
      </c>
      <c r="T1294">
        <f>T1293+0.7</f>
        <v/>
      </c>
      <c r="U1294">
        <f>U1293+1.1</f>
        <v/>
      </c>
      <c r="V1294">
        <f>V1293+0.25</f>
        <v/>
      </c>
      <c r="W1294">
        <f>W1293+0.5</f>
        <v/>
      </c>
    </row>
    <row r="1295">
      <c r="E1295">
        <f>O1295=ROUND(1284*0.1,10)</f>
        <v/>
      </c>
      <c r="F1295">
        <f>P1295=ROUND(1284*0.2,10)</f>
        <v/>
      </c>
      <c r="G1295">
        <f>Q1295=ROUND(1284*0.3,10)</f>
        <v/>
      </c>
      <c r="H1295">
        <f>R1295=ROUND(1284*0.05,10)</f>
        <v/>
      </c>
      <c r="I1295">
        <f>S1295=ROUND(1284*0.01,10)</f>
        <v/>
      </c>
      <c r="J1295">
        <f>T1295=ROUND(1284*0.7,10)</f>
        <v/>
      </c>
      <c r="K1295">
        <f>U1295=ROUND(1284*1.1,10)</f>
        <v/>
      </c>
      <c r="L1295">
        <f>V1295=ROUND(1284*0.25,10)</f>
        <v/>
      </c>
      <c r="M1295">
        <f>W1295=ROUND(1284*0.5,10)</f>
        <v/>
      </c>
      <c r="O1295">
        <f>O1294+0.1</f>
        <v/>
      </c>
      <c r="P1295">
        <f>P1294+0.2</f>
        <v/>
      </c>
      <c r="Q1295">
        <f>Q1294+0.3</f>
        <v/>
      </c>
      <c r="R1295">
        <f>R1294+0.05</f>
        <v/>
      </c>
      <c r="S1295">
        <f>S1294+0.01</f>
        <v/>
      </c>
      <c r="T1295">
        <f>T1294+0.7</f>
        <v/>
      </c>
      <c r="U1295">
        <f>U1294+1.1</f>
        <v/>
      </c>
      <c r="V1295">
        <f>V1294+0.25</f>
        <v/>
      </c>
      <c r="W1295">
        <f>W1294+0.5</f>
        <v/>
      </c>
    </row>
    <row r="1296">
      <c r="E1296">
        <f>O1296=ROUND(1285*0.1,10)</f>
        <v/>
      </c>
      <c r="F1296">
        <f>P1296=ROUND(1285*0.2,10)</f>
        <v/>
      </c>
      <c r="G1296">
        <f>Q1296=ROUND(1285*0.3,10)</f>
        <v/>
      </c>
      <c r="H1296">
        <f>R1296=ROUND(1285*0.05,10)</f>
        <v/>
      </c>
      <c r="I1296">
        <f>S1296=ROUND(1285*0.01,10)</f>
        <v/>
      </c>
      <c r="J1296">
        <f>T1296=ROUND(1285*0.7,10)</f>
        <v/>
      </c>
      <c r="K1296">
        <f>U1296=ROUND(1285*1.1,10)</f>
        <v/>
      </c>
      <c r="L1296">
        <f>V1296=ROUND(1285*0.25,10)</f>
        <v/>
      </c>
      <c r="M1296">
        <f>W1296=ROUND(1285*0.5,10)</f>
        <v/>
      </c>
      <c r="O1296">
        <f>O1295+0.1</f>
        <v/>
      </c>
      <c r="P1296">
        <f>P1295+0.2</f>
        <v/>
      </c>
      <c r="Q1296">
        <f>Q1295+0.3</f>
        <v/>
      </c>
      <c r="R1296">
        <f>R1295+0.05</f>
        <v/>
      </c>
      <c r="S1296">
        <f>S1295+0.01</f>
        <v/>
      </c>
      <c r="T1296">
        <f>T1295+0.7</f>
        <v/>
      </c>
      <c r="U1296">
        <f>U1295+1.1</f>
        <v/>
      </c>
      <c r="V1296">
        <f>V1295+0.25</f>
        <v/>
      </c>
      <c r="W1296">
        <f>W1295+0.5</f>
        <v/>
      </c>
    </row>
    <row r="1297">
      <c r="E1297">
        <f>O1297=ROUND(1286*0.1,10)</f>
        <v/>
      </c>
      <c r="F1297">
        <f>P1297=ROUND(1286*0.2,10)</f>
        <v/>
      </c>
      <c r="G1297">
        <f>Q1297=ROUND(1286*0.3,10)</f>
        <v/>
      </c>
      <c r="H1297">
        <f>R1297=ROUND(1286*0.05,10)</f>
        <v/>
      </c>
      <c r="I1297">
        <f>S1297=ROUND(1286*0.01,10)</f>
        <v/>
      </c>
      <c r="J1297">
        <f>T1297=ROUND(1286*0.7,10)</f>
        <v/>
      </c>
      <c r="K1297">
        <f>U1297=ROUND(1286*1.1,10)</f>
        <v/>
      </c>
      <c r="L1297">
        <f>V1297=ROUND(1286*0.25,10)</f>
        <v/>
      </c>
      <c r="M1297">
        <f>W1297=ROUND(1286*0.5,10)</f>
        <v/>
      </c>
      <c r="O1297">
        <f>O1296+0.1</f>
        <v/>
      </c>
      <c r="P1297">
        <f>P1296+0.2</f>
        <v/>
      </c>
      <c r="Q1297">
        <f>Q1296+0.3</f>
        <v/>
      </c>
      <c r="R1297">
        <f>R1296+0.05</f>
        <v/>
      </c>
      <c r="S1297">
        <f>S1296+0.01</f>
        <v/>
      </c>
      <c r="T1297">
        <f>T1296+0.7</f>
        <v/>
      </c>
      <c r="U1297">
        <f>U1296+1.1</f>
        <v/>
      </c>
      <c r="V1297">
        <f>V1296+0.25</f>
        <v/>
      </c>
      <c r="W1297">
        <f>W1296+0.5</f>
        <v/>
      </c>
    </row>
    <row r="1298">
      <c r="E1298">
        <f>O1298=ROUND(1287*0.1,10)</f>
        <v/>
      </c>
      <c r="F1298">
        <f>P1298=ROUND(1287*0.2,10)</f>
        <v/>
      </c>
      <c r="G1298">
        <f>Q1298=ROUND(1287*0.3,10)</f>
        <v/>
      </c>
      <c r="H1298">
        <f>R1298=ROUND(1287*0.05,10)</f>
        <v/>
      </c>
      <c r="I1298">
        <f>S1298=ROUND(1287*0.01,10)</f>
        <v/>
      </c>
      <c r="J1298">
        <f>T1298=ROUND(1287*0.7,10)</f>
        <v/>
      </c>
      <c r="K1298">
        <f>U1298=ROUND(1287*1.1,10)</f>
        <v/>
      </c>
      <c r="L1298">
        <f>V1298=ROUND(1287*0.25,10)</f>
        <v/>
      </c>
      <c r="M1298">
        <f>W1298=ROUND(1287*0.5,10)</f>
        <v/>
      </c>
      <c r="O1298">
        <f>O1297+0.1</f>
        <v/>
      </c>
      <c r="P1298">
        <f>P1297+0.2</f>
        <v/>
      </c>
      <c r="Q1298">
        <f>Q1297+0.3</f>
        <v/>
      </c>
      <c r="R1298">
        <f>R1297+0.05</f>
        <v/>
      </c>
      <c r="S1298">
        <f>S1297+0.01</f>
        <v/>
      </c>
      <c r="T1298">
        <f>T1297+0.7</f>
        <v/>
      </c>
      <c r="U1298">
        <f>U1297+1.1</f>
        <v/>
      </c>
      <c r="V1298">
        <f>V1297+0.25</f>
        <v/>
      </c>
      <c r="W1298">
        <f>W1297+0.5</f>
        <v/>
      </c>
    </row>
    <row r="1299">
      <c r="E1299">
        <f>O1299=ROUND(1288*0.1,10)</f>
        <v/>
      </c>
      <c r="F1299">
        <f>P1299=ROUND(1288*0.2,10)</f>
        <v/>
      </c>
      <c r="G1299">
        <f>Q1299=ROUND(1288*0.3,10)</f>
        <v/>
      </c>
      <c r="H1299">
        <f>R1299=ROUND(1288*0.05,10)</f>
        <v/>
      </c>
      <c r="I1299">
        <f>S1299=ROUND(1288*0.01,10)</f>
        <v/>
      </c>
      <c r="J1299">
        <f>T1299=ROUND(1288*0.7,10)</f>
        <v/>
      </c>
      <c r="K1299">
        <f>U1299=ROUND(1288*1.1,10)</f>
        <v/>
      </c>
      <c r="L1299">
        <f>V1299=ROUND(1288*0.25,10)</f>
        <v/>
      </c>
      <c r="M1299">
        <f>W1299=ROUND(1288*0.5,10)</f>
        <v/>
      </c>
      <c r="O1299">
        <f>O1298+0.1</f>
        <v/>
      </c>
      <c r="P1299">
        <f>P1298+0.2</f>
        <v/>
      </c>
      <c r="Q1299">
        <f>Q1298+0.3</f>
        <v/>
      </c>
      <c r="R1299">
        <f>R1298+0.05</f>
        <v/>
      </c>
      <c r="S1299">
        <f>S1298+0.01</f>
        <v/>
      </c>
      <c r="T1299">
        <f>T1298+0.7</f>
        <v/>
      </c>
      <c r="U1299">
        <f>U1298+1.1</f>
        <v/>
      </c>
      <c r="V1299">
        <f>V1298+0.25</f>
        <v/>
      </c>
      <c r="W1299">
        <f>W1298+0.5</f>
        <v/>
      </c>
    </row>
    <row r="1300">
      <c r="E1300">
        <f>O1300=ROUND(1289*0.1,10)</f>
        <v/>
      </c>
      <c r="F1300">
        <f>P1300=ROUND(1289*0.2,10)</f>
        <v/>
      </c>
      <c r="G1300">
        <f>Q1300=ROUND(1289*0.3,10)</f>
        <v/>
      </c>
      <c r="H1300">
        <f>R1300=ROUND(1289*0.05,10)</f>
        <v/>
      </c>
      <c r="I1300">
        <f>S1300=ROUND(1289*0.01,10)</f>
        <v/>
      </c>
      <c r="J1300">
        <f>T1300=ROUND(1289*0.7,10)</f>
        <v/>
      </c>
      <c r="K1300">
        <f>U1300=ROUND(1289*1.1,10)</f>
        <v/>
      </c>
      <c r="L1300">
        <f>V1300=ROUND(1289*0.25,10)</f>
        <v/>
      </c>
      <c r="M1300">
        <f>W1300=ROUND(1289*0.5,10)</f>
        <v/>
      </c>
      <c r="O1300">
        <f>O1299+0.1</f>
        <v/>
      </c>
      <c r="P1300">
        <f>P1299+0.2</f>
        <v/>
      </c>
      <c r="Q1300">
        <f>Q1299+0.3</f>
        <v/>
      </c>
      <c r="R1300">
        <f>R1299+0.05</f>
        <v/>
      </c>
      <c r="S1300">
        <f>S1299+0.01</f>
        <v/>
      </c>
      <c r="T1300">
        <f>T1299+0.7</f>
        <v/>
      </c>
      <c r="U1300">
        <f>U1299+1.1</f>
        <v/>
      </c>
      <c r="V1300">
        <f>V1299+0.25</f>
        <v/>
      </c>
      <c r="W1300">
        <f>W1299+0.5</f>
        <v/>
      </c>
    </row>
    <row r="1301">
      <c r="E1301">
        <f>O1301=ROUND(1290*0.1,10)</f>
        <v/>
      </c>
      <c r="F1301">
        <f>P1301=ROUND(1290*0.2,10)</f>
        <v/>
      </c>
      <c r="G1301">
        <f>Q1301=ROUND(1290*0.3,10)</f>
        <v/>
      </c>
      <c r="H1301">
        <f>R1301=ROUND(1290*0.05,10)</f>
        <v/>
      </c>
      <c r="I1301">
        <f>S1301=ROUND(1290*0.01,10)</f>
        <v/>
      </c>
      <c r="J1301">
        <f>T1301=ROUND(1290*0.7,10)</f>
        <v/>
      </c>
      <c r="K1301">
        <f>U1301=ROUND(1290*1.1,10)</f>
        <v/>
      </c>
      <c r="L1301">
        <f>V1301=ROUND(1290*0.25,10)</f>
        <v/>
      </c>
      <c r="M1301">
        <f>W1301=ROUND(1290*0.5,10)</f>
        <v/>
      </c>
      <c r="O1301">
        <f>O1300+0.1</f>
        <v/>
      </c>
      <c r="P1301">
        <f>P1300+0.2</f>
        <v/>
      </c>
      <c r="Q1301">
        <f>Q1300+0.3</f>
        <v/>
      </c>
      <c r="R1301">
        <f>R1300+0.05</f>
        <v/>
      </c>
      <c r="S1301">
        <f>S1300+0.01</f>
        <v/>
      </c>
      <c r="T1301">
        <f>T1300+0.7</f>
        <v/>
      </c>
      <c r="U1301">
        <f>U1300+1.1</f>
        <v/>
      </c>
      <c r="V1301">
        <f>V1300+0.25</f>
        <v/>
      </c>
      <c r="W1301">
        <f>W1300+0.5</f>
        <v/>
      </c>
    </row>
    <row r="1302">
      <c r="E1302">
        <f>O1302=ROUND(1291*0.1,10)</f>
        <v/>
      </c>
      <c r="F1302">
        <f>P1302=ROUND(1291*0.2,10)</f>
        <v/>
      </c>
      <c r="G1302">
        <f>Q1302=ROUND(1291*0.3,10)</f>
        <v/>
      </c>
      <c r="H1302">
        <f>R1302=ROUND(1291*0.05,10)</f>
        <v/>
      </c>
      <c r="I1302">
        <f>S1302=ROUND(1291*0.01,10)</f>
        <v/>
      </c>
      <c r="J1302">
        <f>T1302=ROUND(1291*0.7,10)</f>
        <v/>
      </c>
      <c r="K1302">
        <f>U1302=ROUND(1291*1.1,10)</f>
        <v/>
      </c>
      <c r="L1302">
        <f>V1302=ROUND(1291*0.25,10)</f>
        <v/>
      </c>
      <c r="M1302">
        <f>W1302=ROUND(1291*0.5,10)</f>
        <v/>
      </c>
      <c r="O1302">
        <f>O1301+0.1</f>
        <v/>
      </c>
      <c r="P1302">
        <f>P1301+0.2</f>
        <v/>
      </c>
      <c r="Q1302">
        <f>Q1301+0.3</f>
        <v/>
      </c>
      <c r="R1302">
        <f>R1301+0.05</f>
        <v/>
      </c>
      <c r="S1302">
        <f>S1301+0.01</f>
        <v/>
      </c>
      <c r="T1302">
        <f>T1301+0.7</f>
        <v/>
      </c>
      <c r="U1302">
        <f>U1301+1.1</f>
        <v/>
      </c>
      <c r="V1302">
        <f>V1301+0.25</f>
        <v/>
      </c>
      <c r="W1302">
        <f>W1301+0.5</f>
        <v/>
      </c>
    </row>
    <row r="1303">
      <c r="E1303">
        <f>O1303=ROUND(1292*0.1,10)</f>
        <v/>
      </c>
      <c r="F1303">
        <f>P1303=ROUND(1292*0.2,10)</f>
        <v/>
      </c>
      <c r="G1303">
        <f>Q1303=ROUND(1292*0.3,10)</f>
        <v/>
      </c>
      <c r="H1303">
        <f>R1303=ROUND(1292*0.05,10)</f>
        <v/>
      </c>
      <c r="I1303">
        <f>S1303=ROUND(1292*0.01,10)</f>
        <v/>
      </c>
      <c r="J1303">
        <f>T1303=ROUND(1292*0.7,10)</f>
        <v/>
      </c>
      <c r="K1303">
        <f>U1303=ROUND(1292*1.1,10)</f>
        <v/>
      </c>
      <c r="L1303">
        <f>V1303=ROUND(1292*0.25,10)</f>
        <v/>
      </c>
      <c r="M1303">
        <f>W1303=ROUND(1292*0.5,10)</f>
        <v/>
      </c>
      <c r="O1303">
        <f>O1302+0.1</f>
        <v/>
      </c>
      <c r="P1303">
        <f>P1302+0.2</f>
        <v/>
      </c>
      <c r="Q1303">
        <f>Q1302+0.3</f>
        <v/>
      </c>
      <c r="R1303">
        <f>R1302+0.05</f>
        <v/>
      </c>
      <c r="S1303">
        <f>S1302+0.01</f>
        <v/>
      </c>
      <c r="T1303">
        <f>T1302+0.7</f>
        <v/>
      </c>
      <c r="U1303">
        <f>U1302+1.1</f>
        <v/>
      </c>
      <c r="V1303">
        <f>V1302+0.25</f>
        <v/>
      </c>
      <c r="W1303">
        <f>W1302+0.5</f>
        <v/>
      </c>
    </row>
    <row r="1304">
      <c r="E1304">
        <f>O1304=ROUND(1293*0.1,10)</f>
        <v/>
      </c>
      <c r="F1304">
        <f>P1304=ROUND(1293*0.2,10)</f>
        <v/>
      </c>
      <c r="G1304">
        <f>Q1304=ROUND(1293*0.3,10)</f>
        <v/>
      </c>
      <c r="H1304">
        <f>R1304=ROUND(1293*0.05,10)</f>
        <v/>
      </c>
      <c r="I1304">
        <f>S1304=ROUND(1293*0.01,10)</f>
        <v/>
      </c>
      <c r="J1304">
        <f>T1304=ROUND(1293*0.7,10)</f>
        <v/>
      </c>
      <c r="K1304">
        <f>U1304=ROUND(1293*1.1,10)</f>
        <v/>
      </c>
      <c r="L1304">
        <f>V1304=ROUND(1293*0.25,10)</f>
        <v/>
      </c>
      <c r="M1304">
        <f>W1304=ROUND(1293*0.5,10)</f>
        <v/>
      </c>
      <c r="O1304">
        <f>O1303+0.1</f>
        <v/>
      </c>
      <c r="P1304">
        <f>P1303+0.2</f>
        <v/>
      </c>
      <c r="Q1304">
        <f>Q1303+0.3</f>
        <v/>
      </c>
      <c r="R1304">
        <f>R1303+0.05</f>
        <v/>
      </c>
      <c r="S1304">
        <f>S1303+0.01</f>
        <v/>
      </c>
      <c r="T1304">
        <f>T1303+0.7</f>
        <v/>
      </c>
      <c r="U1304">
        <f>U1303+1.1</f>
        <v/>
      </c>
      <c r="V1304">
        <f>V1303+0.25</f>
        <v/>
      </c>
      <c r="W1304">
        <f>W1303+0.5</f>
        <v/>
      </c>
    </row>
    <row r="1305">
      <c r="E1305">
        <f>O1305=ROUND(1294*0.1,10)</f>
        <v/>
      </c>
      <c r="F1305">
        <f>P1305=ROUND(1294*0.2,10)</f>
        <v/>
      </c>
      <c r="G1305">
        <f>Q1305=ROUND(1294*0.3,10)</f>
        <v/>
      </c>
      <c r="H1305">
        <f>R1305=ROUND(1294*0.05,10)</f>
        <v/>
      </c>
      <c r="I1305">
        <f>S1305=ROUND(1294*0.01,10)</f>
        <v/>
      </c>
      <c r="J1305">
        <f>T1305=ROUND(1294*0.7,10)</f>
        <v/>
      </c>
      <c r="K1305">
        <f>U1305=ROUND(1294*1.1,10)</f>
        <v/>
      </c>
      <c r="L1305">
        <f>V1305=ROUND(1294*0.25,10)</f>
        <v/>
      </c>
      <c r="M1305">
        <f>W1305=ROUND(1294*0.5,10)</f>
        <v/>
      </c>
      <c r="O1305">
        <f>O1304+0.1</f>
        <v/>
      </c>
      <c r="P1305">
        <f>P1304+0.2</f>
        <v/>
      </c>
      <c r="Q1305">
        <f>Q1304+0.3</f>
        <v/>
      </c>
      <c r="R1305">
        <f>R1304+0.05</f>
        <v/>
      </c>
      <c r="S1305">
        <f>S1304+0.01</f>
        <v/>
      </c>
      <c r="T1305">
        <f>T1304+0.7</f>
        <v/>
      </c>
      <c r="U1305">
        <f>U1304+1.1</f>
        <v/>
      </c>
      <c r="V1305">
        <f>V1304+0.25</f>
        <v/>
      </c>
      <c r="W1305">
        <f>W1304+0.5</f>
        <v/>
      </c>
    </row>
    <row r="1306">
      <c r="E1306">
        <f>O1306=ROUND(1295*0.1,10)</f>
        <v/>
      </c>
      <c r="F1306">
        <f>P1306=ROUND(1295*0.2,10)</f>
        <v/>
      </c>
      <c r="G1306">
        <f>Q1306=ROUND(1295*0.3,10)</f>
        <v/>
      </c>
      <c r="H1306">
        <f>R1306=ROUND(1295*0.05,10)</f>
        <v/>
      </c>
      <c r="I1306">
        <f>S1306=ROUND(1295*0.01,10)</f>
        <v/>
      </c>
      <c r="J1306">
        <f>T1306=ROUND(1295*0.7,10)</f>
        <v/>
      </c>
      <c r="K1306">
        <f>U1306=ROUND(1295*1.1,10)</f>
        <v/>
      </c>
      <c r="L1306">
        <f>V1306=ROUND(1295*0.25,10)</f>
        <v/>
      </c>
      <c r="M1306">
        <f>W1306=ROUND(1295*0.5,10)</f>
        <v/>
      </c>
      <c r="O1306">
        <f>O1305+0.1</f>
        <v/>
      </c>
      <c r="P1306">
        <f>P1305+0.2</f>
        <v/>
      </c>
      <c r="Q1306">
        <f>Q1305+0.3</f>
        <v/>
      </c>
      <c r="R1306">
        <f>R1305+0.05</f>
        <v/>
      </c>
      <c r="S1306">
        <f>S1305+0.01</f>
        <v/>
      </c>
      <c r="T1306">
        <f>T1305+0.7</f>
        <v/>
      </c>
      <c r="U1306">
        <f>U1305+1.1</f>
        <v/>
      </c>
      <c r="V1306">
        <f>V1305+0.25</f>
        <v/>
      </c>
      <c r="W1306">
        <f>W1305+0.5</f>
        <v/>
      </c>
    </row>
    <row r="1307">
      <c r="E1307">
        <f>O1307=ROUND(1296*0.1,10)</f>
        <v/>
      </c>
      <c r="F1307">
        <f>P1307=ROUND(1296*0.2,10)</f>
        <v/>
      </c>
      <c r="G1307">
        <f>Q1307=ROUND(1296*0.3,10)</f>
        <v/>
      </c>
      <c r="H1307">
        <f>R1307=ROUND(1296*0.05,10)</f>
        <v/>
      </c>
      <c r="I1307">
        <f>S1307=ROUND(1296*0.01,10)</f>
        <v/>
      </c>
      <c r="J1307">
        <f>T1307=ROUND(1296*0.7,10)</f>
        <v/>
      </c>
      <c r="K1307">
        <f>U1307=ROUND(1296*1.1,10)</f>
        <v/>
      </c>
      <c r="L1307">
        <f>V1307=ROUND(1296*0.25,10)</f>
        <v/>
      </c>
      <c r="M1307">
        <f>W1307=ROUND(1296*0.5,10)</f>
        <v/>
      </c>
      <c r="O1307">
        <f>O1306+0.1</f>
        <v/>
      </c>
      <c r="P1307">
        <f>P1306+0.2</f>
        <v/>
      </c>
      <c r="Q1307">
        <f>Q1306+0.3</f>
        <v/>
      </c>
      <c r="R1307">
        <f>R1306+0.05</f>
        <v/>
      </c>
      <c r="S1307">
        <f>S1306+0.01</f>
        <v/>
      </c>
      <c r="T1307">
        <f>T1306+0.7</f>
        <v/>
      </c>
      <c r="U1307">
        <f>U1306+1.1</f>
        <v/>
      </c>
      <c r="V1307">
        <f>V1306+0.25</f>
        <v/>
      </c>
      <c r="W1307">
        <f>W1306+0.5</f>
        <v/>
      </c>
    </row>
    <row r="1308">
      <c r="E1308">
        <f>O1308=ROUND(1297*0.1,10)</f>
        <v/>
      </c>
      <c r="F1308">
        <f>P1308=ROUND(1297*0.2,10)</f>
        <v/>
      </c>
      <c r="G1308">
        <f>Q1308=ROUND(1297*0.3,10)</f>
        <v/>
      </c>
      <c r="H1308">
        <f>R1308=ROUND(1297*0.05,10)</f>
        <v/>
      </c>
      <c r="I1308">
        <f>S1308=ROUND(1297*0.01,10)</f>
        <v/>
      </c>
      <c r="J1308">
        <f>T1308=ROUND(1297*0.7,10)</f>
        <v/>
      </c>
      <c r="K1308">
        <f>U1308=ROUND(1297*1.1,10)</f>
        <v/>
      </c>
      <c r="L1308">
        <f>V1308=ROUND(1297*0.25,10)</f>
        <v/>
      </c>
      <c r="M1308">
        <f>W1308=ROUND(1297*0.5,10)</f>
        <v/>
      </c>
      <c r="O1308">
        <f>O1307+0.1</f>
        <v/>
      </c>
      <c r="P1308">
        <f>P1307+0.2</f>
        <v/>
      </c>
      <c r="Q1308">
        <f>Q1307+0.3</f>
        <v/>
      </c>
      <c r="R1308">
        <f>R1307+0.05</f>
        <v/>
      </c>
      <c r="S1308">
        <f>S1307+0.01</f>
        <v/>
      </c>
      <c r="T1308">
        <f>T1307+0.7</f>
        <v/>
      </c>
      <c r="U1308">
        <f>U1307+1.1</f>
        <v/>
      </c>
      <c r="V1308">
        <f>V1307+0.25</f>
        <v/>
      </c>
      <c r="W1308">
        <f>W1307+0.5</f>
        <v/>
      </c>
    </row>
    <row r="1309">
      <c r="E1309">
        <f>O1309=ROUND(1298*0.1,10)</f>
        <v/>
      </c>
      <c r="F1309">
        <f>P1309=ROUND(1298*0.2,10)</f>
        <v/>
      </c>
      <c r="G1309">
        <f>Q1309=ROUND(1298*0.3,10)</f>
        <v/>
      </c>
      <c r="H1309">
        <f>R1309=ROUND(1298*0.05,10)</f>
        <v/>
      </c>
      <c r="I1309">
        <f>S1309=ROUND(1298*0.01,10)</f>
        <v/>
      </c>
      <c r="J1309">
        <f>T1309=ROUND(1298*0.7,10)</f>
        <v/>
      </c>
      <c r="K1309">
        <f>U1309=ROUND(1298*1.1,10)</f>
        <v/>
      </c>
      <c r="L1309">
        <f>V1309=ROUND(1298*0.25,10)</f>
        <v/>
      </c>
      <c r="M1309">
        <f>W1309=ROUND(1298*0.5,10)</f>
        <v/>
      </c>
      <c r="O1309">
        <f>O1308+0.1</f>
        <v/>
      </c>
      <c r="P1309">
        <f>P1308+0.2</f>
        <v/>
      </c>
      <c r="Q1309">
        <f>Q1308+0.3</f>
        <v/>
      </c>
      <c r="R1309">
        <f>R1308+0.05</f>
        <v/>
      </c>
      <c r="S1309">
        <f>S1308+0.01</f>
        <v/>
      </c>
      <c r="T1309">
        <f>T1308+0.7</f>
        <v/>
      </c>
      <c r="U1309">
        <f>U1308+1.1</f>
        <v/>
      </c>
      <c r="V1309">
        <f>V1308+0.25</f>
        <v/>
      </c>
      <c r="W1309">
        <f>W1308+0.5</f>
        <v/>
      </c>
    </row>
    <row r="1310">
      <c r="E1310">
        <f>O1310=ROUND(1299*0.1,10)</f>
        <v/>
      </c>
      <c r="F1310">
        <f>P1310=ROUND(1299*0.2,10)</f>
        <v/>
      </c>
      <c r="G1310">
        <f>Q1310=ROUND(1299*0.3,10)</f>
        <v/>
      </c>
      <c r="H1310">
        <f>R1310=ROUND(1299*0.05,10)</f>
        <v/>
      </c>
      <c r="I1310">
        <f>S1310=ROUND(1299*0.01,10)</f>
        <v/>
      </c>
      <c r="J1310">
        <f>T1310=ROUND(1299*0.7,10)</f>
        <v/>
      </c>
      <c r="K1310">
        <f>U1310=ROUND(1299*1.1,10)</f>
        <v/>
      </c>
      <c r="L1310">
        <f>V1310=ROUND(1299*0.25,10)</f>
        <v/>
      </c>
      <c r="M1310">
        <f>W1310=ROUND(1299*0.5,10)</f>
        <v/>
      </c>
      <c r="O1310">
        <f>O1309+0.1</f>
        <v/>
      </c>
      <c r="P1310">
        <f>P1309+0.2</f>
        <v/>
      </c>
      <c r="Q1310">
        <f>Q1309+0.3</f>
        <v/>
      </c>
      <c r="R1310">
        <f>R1309+0.05</f>
        <v/>
      </c>
      <c r="S1310">
        <f>S1309+0.01</f>
        <v/>
      </c>
      <c r="T1310">
        <f>T1309+0.7</f>
        <v/>
      </c>
      <c r="U1310">
        <f>U1309+1.1</f>
        <v/>
      </c>
      <c r="V1310">
        <f>V1309+0.25</f>
        <v/>
      </c>
      <c r="W1310">
        <f>W1309+0.5</f>
        <v/>
      </c>
    </row>
    <row r="1311">
      <c r="E1311">
        <f>O1311=ROUND(1300*0.1,10)</f>
        <v/>
      </c>
      <c r="F1311">
        <f>P1311=ROUND(1300*0.2,10)</f>
        <v/>
      </c>
      <c r="G1311">
        <f>Q1311=ROUND(1300*0.3,10)</f>
        <v/>
      </c>
      <c r="H1311">
        <f>R1311=ROUND(1300*0.05,10)</f>
        <v/>
      </c>
      <c r="I1311">
        <f>S1311=ROUND(1300*0.01,10)</f>
        <v/>
      </c>
      <c r="J1311">
        <f>T1311=ROUND(1300*0.7,10)</f>
        <v/>
      </c>
      <c r="K1311">
        <f>U1311=ROUND(1300*1.1,10)</f>
        <v/>
      </c>
      <c r="L1311">
        <f>V1311=ROUND(1300*0.25,10)</f>
        <v/>
      </c>
      <c r="M1311">
        <f>W1311=ROUND(1300*0.5,10)</f>
        <v/>
      </c>
      <c r="O1311">
        <f>O1310+0.1</f>
        <v/>
      </c>
      <c r="P1311">
        <f>P1310+0.2</f>
        <v/>
      </c>
      <c r="Q1311">
        <f>Q1310+0.3</f>
        <v/>
      </c>
      <c r="R1311">
        <f>R1310+0.05</f>
        <v/>
      </c>
      <c r="S1311">
        <f>S1310+0.01</f>
        <v/>
      </c>
      <c r="T1311">
        <f>T1310+0.7</f>
        <v/>
      </c>
      <c r="U1311">
        <f>U1310+1.1</f>
        <v/>
      </c>
      <c r="V1311">
        <f>V1310+0.25</f>
        <v/>
      </c>
      <c r="W1311">
        <f>W1310+0.5</f>
        <v/>
      </c>
    </row>
    <row r="1312">
      <c r="E1312">
        <f>O1312=ROUND(1301*0.1,10)</f>
        <v/>
      </c>
      <c r="F1312">
        <f>P1312=ROUND(1301*0.2,10)</f>
        <v/>
      </c>
      <c r="G1312">
        <f>Q1312=ROUND(1301*0.3,10)</f>
        <v/>
      </c>
      <c r="H1312">
        <f>R1312=ROUND(1301*0.05,10)</f>
        <v/>
      </c>
      <c r="I1312">
        <f>S1312=ROUND(1301*0.01,10)</f>
        <v/>
      </c>
      <c r="J1312">
        <f>T1312=ROUND(1301*0.7,10)</f>
        <v/>
      </c>
      <c r="K1312">
        <f>U1312=ROUND(1301*1.1,10)</f>
        <v/>
      </c>
      <c r="L1312">
        <f>V1312=ROUND(1301*0.25,10)</f>
        <v/>
      </c>
      <c r="M1312">
        <f>W1312=ROUND(1301*0.5,10)</f>
        <v/>
      </c>
      <c r="O1312">
        <f>O1311+0.1</f>
        <v/>
      </c>
      <c r="P1312">
        <f>P1311+0.2</f>
        <v/>
      </c>
      <c r="Q1312">
        <f>Q1311+0.3</f>
        <v/>
      </c>
      <c r="R1312">
        <f>R1311+0.05</f>
        <v/>
      </c>
      <c r="S1312">
        <f>S1311+0.01</f>
        <v/>
      </c>
      <c r="T1312">
        <f>T1311+0.7</f>
        <v/>
      </c>
      <c r="U1312">
        <f>U1311+1.1</f>
        <v/>
      </c>
      <c r="V1312">
        <f>V1311+0.25</f>
        <v/>
      </c>
      <c r="W1312">
        <f>W1311+0.5</f>
        <v/>
      </c>
    </row>
    <row r="1313">
      <c r="E1313">
        <f>O1313=ROUND(1302*0.1,10)</f>
        <v/>
      </c>
      <c r="F1313">
        <f>P1313=ROUND(1302*0.2,10)</f>
        <v/>
      </c>
      <c r="G1313">
        <f>Q1313=ROUND(1302*0.3,10)</f>
        <v/>
      </c>
      <c r="H1313">
        <f>R1313=ROUND(1302*0.05,10)</f>
        <v/>
      </c>
      <c r="I1313">
        <f>S1313=ROUND(1302*0.01,10)</f>
        <v/>
      </c>
      <c r="J1313">
        <f>T1313=ROUND(1302*0.7,10)</f>
        <v/>
      </c>
      <c r="K1313">
        <f>U1313=ROUND(1302*1.1,10)</f>
        <v/>
      </c>
      <c r="L1313">
        <f>V1313=ROUND(1302*0.25,10)</f>
        <v/>
      </c>
      <c r="M1313">
        <f>W1313=ROUND(1302*0.5,10)</f>
        <v/>
      </c>
      <c r="O1313">
        <f>O1312+0.1</f>
        <v/>
      </c>
      <c r="P1313">
        <f>P1312+0.2</f>
        <v/>
      </c>
      <c r="Q1313">
        <f>Q1312+0.3</f>
        <v/>
      </c>
      <c r="R1313">
        <f>R1312+0.05</f>
        <v/>
      </c>
      <c r="S1313">
        <f>S1312+0.01</f>
        <v/>
      </c>
      <c r="T1313">
        <f>T1312+0.7</f>
        <v/>
      </c>
      <c r="U1313">
        <f>U1312+1.1</f>
        <v/>
      </c>
      <c r="V1313">
        <f>V1312+0.25</f>
        <v/>
      </c>
      <c r="W1313">
        <f>W1312+0.5</f>
        <v/>
      </c>
    </row>
    <row r="1314">
      <c r="E1314">
        <f>O1314=ROUND(1303*0.1,10)</f>
        <v/>
      </c>
      <c r="F1314">
        <f>P1314=ROUND(1303*0.2,10)</f>
        <v/>
      </c>
      <c r="G1314">
        <f>Q1314=ROUND(1303*0.3,10)</f>
        <v/>
      </c>
      <c r="H1314">
        <f>R1314=ROUND(1303*0.05,10)</f>
        <v/>
      </c>
      <c r="I1314">
        <f>S1314=ROUND(1303*0.01,10)</f>
        <v/>
      </c>
      <c r="J1314">
        <f>T1314=ROUND(1303*0.7,10)</f>
        <v/>
      </c>
      <c r="K1314">
        <f>U1314=ROUND(1303*1.1,10)</f>
        <v/>
      </c>
      <c r="L1314">
        <f>V1314=ROUND(1303*0.25,10)</f>
        <v/>
      </c>
      <c r="M1314">
        <f>W1314=ROUND(1303*0.5,10)</f>
        <v/>
      </c>
      <c r="O1314">
        <f>O1313+0.1</f>
        <v/>
      </c>
      <c r="P1314">
        <f>P1313+0.2</f>
        <v/>
      </c>
      <c r="Q1314">
        <f>Q1313+0.3</f>
        <v/>
      </c>
      <c r="R1314">
        <f>R1313+0.05</f>
        <v/>
      </c>
      <c r="S1314">
        <f>S1313+0.01</f>
        <v/>
      </c>
      <c r="T1314">
        <f>T1313+0.7</f>
        <v/>
      </c>
      <c r="U1314">
        <f>U1313+1.1</f>
        <v/>
      </c>
      <c r="V1314">
        <f>V1313+0.25</f>
        <v/>
      </c>
      <c r="W1314">
        <f>W1313+0.5</f>
        <v/>
      </c>
    </row>
    <row r="1315">
      <c r="E1315">
        <f>O1315=ROUND(1304*0.1,10)</f>
        <v/>
      </c>
      <c r="F1315">
        <f>P1315=ROUND(1304*0.2,10)</f>
        <v/>
      </c>
      <c r="G1315">
        <f>Q1315=ROUND(1304*0.3,10)</f>
        <v/>
      </c>
      <c r="H1315">
        <f>R1315=ROUND(1304*0.05,10)</f>
        <v/>
      </c>
      <c r="I1315">
        <f>S1315=ROUND(1304*0.01,10)</f>
        <v/>
      </c>
      <c r="J1315">
        <f>T1315=ROUND(1304*0.7,10)</f>
        <v/>
      </c>
      <c r="K1315">
        <f>U1315=ROUND(1304*1.1,10)</f>
        <v/>
      </c>
      <c r="L1315">
        <f>V1315=ROUND(1304*0.25,10)</f>
        <v/>
      </c>
      <c r="M1315">
        <f>W1315=ROUND(1304*0.5,10)</f>
        <v/>
      </c>
      <c r="O1315">
        <f>O1314+0.1</f>
        <v/>
      </c>
      <c r="P1315">
        <f>P1314+0.2</f>
        <v/>
      </c>
      <c r="Q1315">
        <f>Q1314+0.3</f>
        <v/>
      </c>
      <c r="R1315">
        <f>R1314+0.05</f>
        <v/>
      </c>
      <c r="S1315">
        <f>S1314+0.01</f>
        <v/>
      </c>
      <c r="T1315">
        <f>T1314+0.7</f>
        <v/>
      </c>
      <c r="U1315">
        <f>U1314+1.1</f>
        <v/>
      </c>
      <c r="V1315">
        <f>V1314+0.25</f>
        <v/>
      </c>
      <c r="W1315">
        <f>W1314+0.5</f>
        <v/>
      </c>
    </row>
    <row r="1316">
      <c r="E1316">
        <f>O1316=ROUND(1305*0.1,10)</f>
        <v/>
      </c>
      <c r="F1316">
        <f>P1316=ROUND(1305*0.2,10)</f>
        <v/>
      </c>
      <c r="G1316">
        <f>Q1316=ROUND(1305*0.3,10)</f>
        <v/>
      </c>
      <c r="H1316">
        <f>R1316=ROUND(1305*0.05,10)</f>
        <v/>
      </c>
      <c r="I1316">
        <f>S1316=ROUND(1305*0.01,10)</f>
        <v/>
      </c>
      <c r="J1316">
        <f>T1316=ROUND(1305*0.7,10)</f>
        <v/>
      </c>
      <c r="K1316">
        <f>U1316=ROUND(1305*1.1,10)</f>
        <v/>
      </c>
      <c r="L1316">
        <f>V1316=ROUND(1305*0.25,10)</f>
        <v/>
      </c>
      <c r="M1316">
        <f>W1316=ROUND(1305*0.5,10)</f>
        <v/>
      </c>
      <c r="O1316">
        <f>O1315+0.1</f>
        <v/>
      </c>
      <c r="P1316">
        <f>P1315+0.2</f>
        <v/>
      </c>
      <c r="Q1316">
        <f>Q1315+0.3</f>
        <v/>
      </c>
      <c r="R1316">
        <f>R1315+0.05</f>
        <v/>
      </c>
      <c r="S1316">
        <f>S1315+0.01</f>
        <v/>
      </c>
      <c r="T1316">
        <f>T1315+0.7</f>
        <v/>
      </c>
      <c r="U1316">
        <f>U1315+1.1</f>
        <v/>
      </c>
      <c r="V1316">
        <f>V1315+0.25</f>
        <v/>
      </c>
      <c r="W1316">
        <f>W1315+0.5</f>
        <v/>
      </c>
    </row>
    <row r="1317">
      <c r="E1317">
        <f>O1317=ROUND(1306*0.1,10)</f>
        <v/>
      </c>
      <c r="F1317">
        <f>P1317=ROUND(1306*0.2,10)</f>
        <v/>
      </c>
      <c r="G1317">
        <f>Q1317=ROUND(1306*0.3,10)</f>
        <v/>
      </c>
      <c r="H1317">
        <f>R1317=ROUND(1306*0.05,10)</f>
        <v/>
      </c>
      <c r="I1317">
        <f>S1317=ROUND(1306*0.01,10)</f>
        <v/>
      </c>
      <c r="J1317">
        <f>T1317=ROUND(1306*0.7,10)</f>
        <v/>
      </c>
      <c r="K1317">
        <f>U1317=ROUND(1306*1.1,10)</f>
        <v/>
      </c>
      <c r="L1317">
        <f>V1317=ROUND(1306*0.25,10)</f>
        <v/>
      </c>
      <c r="M1317">
        <f>W1317=ROUND(1306*0.5,10)</f>
        <v/>
      </c>
      <c r="O1317">
        <f>O1316+0.1</f>
        <v/>
      </c>
      <c r="P1317">
        <f>P1316+0.2</f>
        <v/>
      </c>
      <c r="Q1317">
        <f>Q1316+0.3</f>
        <v/>
      </c>
      <c r="R1317">
        <f>R1316+0.05</f>
        <v/>
      </c>
      <c r="S1317">
        <f>S1316+0.01</f>
        <v/>
      </c>
      <c r="T1317">
        <f>T1316+0.7</f>
        <v/>
      </c>
      <c r="U1317">
        <f>U1316+1.1</f>
        <v/>
      </c>
      <c r="V1317">
        <f>V1316+0.25</f>
        <v/>
      </c>
      <c r="W1317">
        <f>W1316+0.5</f>
        <v/>
      </c>
    </row>
    <row r="1318">
      <c r="E1318">
        <f>O1318=ROUND(1307*0.1,10)</f>
        <v/>
      </c>
      <c r="F1318">
        <f>P1318=ROUND(1307*0.2,10)</f>
        <v/>
      </c>
      <c r="G1318">
        <f>Q1318=ROUND(1307*0.3,10)</f>
        <v/>
      </c>
      <c r="H1318">
        <f>R1318=ROUND(1307*0.05,10)</f>
        <v/>
      </c>
      <c r="I1318">
        <f>S1318=ROUND(1307*0.01,10)</f>
        <v/>
      </c>
      <c r="J1318">
        <f>T1318=ROUND(1307*0.7,10)</f>
        <v/>
      </c>
      <c r="K1318">
        <f>U1318=ROUND(1307*1.1,10)</f>
        <v/>
      </c>
      <c r="L1318">
        <f>V1318=ROUND(1307*0.25,10)</f>
        <v/>
      </c>
      <c r="M1318">
        <f>W1318=ROUND(1307*0.5,10)</f>
        <v/>
      </c>
      <c r="O1318">
        <f>O1317+0.1</f>
        <v/>
      </c>
      <c r="P1318">
        <f>P1317+0.2</f>
        <v/>
      </c>
      <c r="Q1318">
        <f>Q1317+0.3</f>
        <v/>
      </c>
      <c r="R1318">
        <f>R1317+0.05</f>
        <v/>
      </c>
      <c r="S1318">
        <f>S1317+0.01</f>
        <v/>
      </c>
      <c r="T1318">
        <f>T1317+0.7</f>
        <v/>
      </c>
      <c r="U1318">
        <f>U1317+1.1</f>
        <v/>
      </c>
      <c r="V1318">
        <f>V1317+0.25</f>
        <v/>
      </c>
      <c r="W1318">
        <f>W1317+0.5</f>
        <v/>
      </c>
    </row>
    <row r="1319">
      <c r="E1319">
        <f>O1319=ROUND(1308*0.1,10)</f>
        <v/>
      </c>
      <c r="F1319">
        <f>P1319=ROUND(1308*0.2,10)</f>
        <v/>
      </c>
      <c r="G1319">
        <f>Q1319=ROUND(1308*0.3,10)</f>
        <v/>
      </c>
      <c r="H1319">
        <f>R1319=ROUND(1308*0.05,10)</f>
        <v/>
      </c>
      <c r="I1319">
        <f>S1319=ROUND(1308*0.01,10)</f>
        <v/>
      </c>
      <c r="J1319">
        <f>T1319=ROUND(1308*0.7,10)</f>
        <v/>
      </c>
      <c r="K1319">
        <f>U1319=ROUND(1308*1.1,10)</f>
        <v/>
      </c>
      <c r="L1319">
        <f>V1319=ROUND(1308*0.25,10)</f>
        <v/>
      </c>
      <c r="M1319">
        <f>W1319=ROUND(1308*0.5,10)</f>
        <v/>
      </c>
      <c r="O1319">
        <f>O1318+0.1</f>
        <v/>
      </c>
      <c r="P1319">
        <f>P1318+0.2</f>
        <v/>
      </c>
      <c r="Q1319">
        <f>Q1318+0.3</f>
        <v/>
      </c>
      <c r="R1319">
        <f>R1318+0.05</f>
        <v/>
      </c>
      <c r="S1319">
        <f>S1318+0.01</f>
        <v/>
      </c>
      <c r="T1319">
        <f>T1318+0.7</f>
        <v/>
      </c>
      <c r="U1319">
        <f>U1318+1.1</f>
        <v/>
      </c>
      <c r="V1319">
        <f>V1318+0.25</f>
        <v/>
      </c>
      <c r="W1319">
        <f>W1318+0.5</f>
        <v/>
      </c>
    </row>
    <row r="1320">
      <c r="E1320">
        <f>O1320=ROUND(1309*0.1,10)</f>
        <v/>
      </c>
      <c r="F1320">
        <f>P1320=ROUND(1309*0.2,10)</f>
        <v/>
      </c>
      <c r="G1320">
        <f>Q1320=ROUND(1309*0.3,10)</f>
        <v/>
      </c>
      <c r="H1320">
        <f>R1320=ROUND(1309*0.05,10)</f>
        <v/>
      </c>
      <c r="I1320">
        <f>S1320=ROUND(1309*0.01,10)</f>
        <v/>
      </c>
      <c r="J1320">
        <f>T1320=ROUND(1309*0.7,10)</f>
        <v/>
      </c>
      <c r="K1320">
        <f>U1320=ROUND(1309*1.1,10)</f>
        <v/>
      </c>
      <c r="L1320">
        <f>V1320=ROUND(1309*0.25,10)</f>
        <v/>
      </c>
      <c r="M1320">
        <f>W1320=ROUND(1309*0.5,10)</f>
        <v/>
      </c>
      <c r="O1320">
        <f>O1319+0.1</f>
        <v/>
      </c>
      <c r="P1320">
        <f>P1319+0.2</f>
        <v/>
      </c>
      <c r="Q1320">
        <f>Q1319+0.3</f>
        <v/>
      </c>
      <c r="R1320">
        <f>R1319+0.05</f>
        <v/>
      </c>
      <c r="S1320">
        <f>S1319+0.01</f>
        <v/>
      </c>
      <c r="T1320">
        <f>T1319+0.7</f>
        <v/>
      </c>
      <c r="U1320">
        <f>U1319+1.1</f>
        <v/>
      </c>
      <c r="V1320">
        <f>V1319+0.25</f>
        <v/>
      </c>
      <c r="W1320">
        <f>W1319+0.5</f>
        <v/>
      </c>
    </row>
    <row r="1321">
      <c r="E1321">
        <f>O1321=ROUND(1310*0.1,10)</f>
        <v/>
      </c>
      <c r="F1321">
        <f>P1321=ROUND(1310*0.2,10)</f>
        <v/>
      </c>
      <c r="G1321">
        <f>Q1321=ROUND(1310*0.3,10)</f>
        <v/>
      </c>
      <c r="H1321">
        <f>R1321=ROUND(1310*0.05,10)</f>
        <v/>
      </c>
      <c r="I1321">
        <f>S1321=ROUND(1310*0.01,10)</f>
        <v/>
      </c>
      <c r="J1321">
        <f>T1321=ROUND(1310*0.7,10)</f>
        <v/>
      </c>
      <c r="K1321">
        <f>U1321=ROUND(1310*1.1,10)</f>
        <v/>
      </c>
      <c r="L1321">
        <f>V1321=ROUND(1310*0.25,10)</f>
        <v/>
      </c>
      <c r="M1321">
        <f>W1321=ROUND(1310*0.5,10)</f>
        <v/>
      </c>
      <c r="O1321">
        <f>O1320+0.1</f>
        <v/>
      </c>
      <c r="P1321">
        <f>P1320+0.2</f>
        <v/>
      </c>
      <c r="Q1321">
        <f>Q1320+0.3</f>
        <v/>
      </c>
      <c r="R1321">
        <f>R1320+0.05</f>
        <v/>
      </c>
      <c r="S1321">
        <f>S1320+0.01</f>
        <v/>
      </c>
      <c r="T1321">
        <f>T1320+0.7</f>
        <v/>
      </c>
      <c r="U1321">
        <f>U1320+1.1</f>
        <v/>
      </c>
      <c r="V1321">
        <f>V1320+0.25</f>
        <v/>
      </c>
      <c r="W1321">
        <f>W1320+0.5</f>
        <v/>
      </c>
    </row>
    <row r="1322">
      <c r="E1322">
        <f>O1322=ROUND(1311*0.1,10)</f>
        <v/>
      </c>
      <c r="F1322">
        <f>P1322=ROUND(1311*0.2,10)</f>
        <v/>
      </c>
      <c r="G1322">
        <f>Q1322=ROUND(1311*0.3,10)</f>
        <v/>
      </c>
      <c r="H1322">
        <f>R1322=ROUND(1311*0.05,10)</f>
        <v/>
      </c>
      <c r="I1322">
        <f>S1322=ROUND(1311*0.01,10)</f>
        <v/>
      </c>
      <c r="J1322">
        <f>T1322=ROUND(1311*0.7,10)</f>
        <v/>
      </c>
      <c r="K1322">
        <f>U1322=ROUND(1311*1.1,10)</f>
        <v/>
      </c>
      <c r="L1322">
        <f>V1322=ROUND(1311*0.25,10)</f>
        <v/>
      </c>
      <c r="M1322">
        <f>W1322=ROUND(1311*0.5,10)</f>
        <v/>
      </c>
      <c r="O1322">
        <f>O1321+0.1</f>
        <v/>
      </c>
      <c r="P1322">
        <f>P1321+0.2</f>
        <v/>
      </c>
      <c r="Q1322">
        <f>Q1321+0.3</f>
        <v/>
      </c>
      <c r="R1322">
        <f>R1321+0.05</f>
        <v/>
      </c>
      <c r="S1322">
        <f>S1321+0.01</f>
        <v/>
      </c>
      <c r="T1322">
        <f>T1321+0.7</f>
        <v/>
      </c>
      <c r="U1322">
        <f>U1321+1.1</f>
        <v/>
      </c>
      <c r="V1322">
        <f>V1321+0.25</f>
        <v/>
      </c>
      <c r="W1322">
        <f>W1321+0.5</f>
        <v/>
      </c>
    </row>
    <row r="1323">
      <c r="E1323">
        <f>O1323=ROUND(1312*0.1,10)</f>
        <v/>
      </c>
      <c r="F1323">
        <f>P1323=ROUND(1312*0.2,10)</f>
        <v/>
      </c>
      <c r="G1323">
        <f>Q1323=ROUND(1312*0.3,10)</f>
        <v/>
      </c>
      <c r="H1323">
        <f>R1323=ROUND(1312*0.05,10)</f>
        <v/>
      </c>
      <c r="I1323">
        <f>S1323=ROUND(1312*0.01,10)</f>
        <v/>
      </c>
      <c r="J1323">
        <f>T1323=ROUND(1312*0.7,10)</f>
        <v/>
      </c>
      <c r="K1323">
        <f>U1323=ROUND(1312*1.1,10)</f>
        <v/>
      </c>
      <c r="L1323">
        <f>V1323=ROUND(1312*0.25,10)</f>
        <v/>
      </c>
      <c r="M1323">
        <f>W1323=ROUND(1312*0.5,10)</f>
        <v/>
      </c>
      <c r="O1323">
        <f>O1322+0.1</f>
        <v/>
      </c>
      <c r="P1323">
        <f>P1322+0.2</f>
        <v/>
      </c>
      <c r="Q1323">
        <f>Q1322+0.3</f>
        <v/>
      </c>
      <c r="R1323">
        <f>R1322+0.05</f>
        <v/>
      </c>
      <c r="S1323">
        <f>S1322+0.01</f>
        <v/>
      </c>
      <c r="T1323">
        <f>T1322+0.7</f>
        <v/>
      </c>
      <c r="U1323">
        <f>U1322+1.1</f>
        <v/>
      </c>
      <c r="V1323">
        <f>V1322+0.25</f>
        <v/>
      </c>
      <c r="W1323">
        <f>W1322+0.5</f>
        <v/>
      </c>
    </row>
    <row r="1324">
      <c r="E1324">
        <f>O1324=ROUND(1313*0.1,10)</f>
        <v/>
      </c>
      <c r="F1324">
        <f>P1324=ROUND(1313*0.2,10)</f>
        <v/>
      </c>
      <c r="G1324">
        <f>Q1324=ROUND(1313*0.3,10)</f>
        <v/>
      </c>
      <c r="H1324">
        <f>R1324=ROUND(1313*0.05,10)</f>
        <v/>
      </c>
      <c r="I1324">
        <f>S1324=ROUND(1313*0.01,10)</f>
        <v/>
      </c>
      <c r="J1324">
        <f>T1324=ROUND(1313*0.7,10)</f>
        <v/>
      </c>
      <c r="K1324">
        <f>U1324=ROUND(1313*1.1,10)</f>
        <v/>
      </c>
      <c r="L1324">
        <f>V1324=ROUND(1313*0.25,10)</f>
        <v/>
      </c>
      <c r="M1324">
        <f>W1324=ROUND(1313*0.5,10)</f>
        <v/>
      </c>
      <c r="O1324">
        <f>O1323+0.1</f>
        <v/>
      </c>
      <c r="P1324">
        <f>P1323+0.2</f>
        <v/>
      </c>
      <c r="Q1324">
        <f>Q1323+0.3</f>
        <v/>
      </c>
      <c r="R1324">
        <f>R1323+0.05</f>
        <v/>
      </c>
      <c r="S1324">
        <f>S1323+0.01</f>
        <v/>
      </c>
      <c r="T1324">
        <f>T1323+0.7</f>
        <v/>
      </c>
      <c r="U1324">
        <f>U1323+1.1</f>
        <v/>
      </c>
      <c r="V1324">
        <f>V1323+0.25</f>
        <v/>
      </c>
      <c r="W1324">
        <f>W1323+0.5</f>
        <v/>
      </c>
    </row>
    <row r="1325">
      <c r="E1325">
        <f>O1325=ROUND(1314*0.1,10)</f>
        <v/>
      </c>
      <c r="F1325">
        <f>P1325=ROUND(1314*0.2,10)</f>
        <v/>
      </c>
      <c r="G1325">
        <f>Q1325=ROUND(1314*0.3,10)</f>
        <v/>
      </c>
      <c r="H1325">
        <f>R1325=ROUND(1314*0.05,10)</f>
        <v/>
      </c>
      <c r="I1325">
        <f>S1325=ROUND(1314*0.01,10)</f>
        <v/>
      </c>
      <c r="J1325">
        <f>T1325=ROUND(1314*0.7,10)</f>
        <v/>
      </c>
      <c r="K1325">
        <f>U1325=ROUND(1314*1.1,10)</f>
        <v/>
      </c>
      <c r="L1325">
        <f>V1325=ROUND(1314*0.25,10)</f>
        <v/>
      </c>
      <c r="M1325">
        <f>W1325=ROUND(1314*0.5,10)</f>
        <v/>
      </c>
      <c r="O1325">
        <f>O1324+0.1</f>
        <v/>
      </c>
      <c r="P1325">
        <f>P1324+0.2</f>
        <v/>
      </c>
      <c r="Q1325">
        <f>Q1324+0.3</f>
        <v/>
      </c>
      <c r="R1325">
        <f>R1324+0.05</f>
        <v/>
      </c>
      <c r="S1325">
        <f>S1324+0.01</f>
        <v/>
      </c>
      <c r="T1325">
        <f>T1324+0.7</f>
        <v/>
      </c>
      <c r="U1325">
        <f>U1324+1.1</f>
        <v/>
      </c>
      <c r="V1325">
        <f>V1324+0.25</f>
        <v/>
      </c>
      <c r="W1325">
        <f>W1324+0.5</f>
        <v/>
      </c>
    </row>
    <row r="1326">
      <c r="E1326">
        <f>O1326=ROUND(1315*0.1,10)</f>
        <v/>
      </c>
      <c r="F1326">
        <f>P1326=ROUND(1315*0.2,10)</f>
        <v/>
      </c>
      <c r="G1326">
        <f>Q1326=ROUND(1315*0.3,10)</f>
        <v/>
      </c>
      <c r="H1326">
        <f>R1326=ROUND(1315*0.05,10)</f>
        <v/>
      </c>
      <c r="I1326">
        <f>S1326=ROUND(1315*0.01,10)</f>
        <v/>
      </c>
      <c r="J1326">
        <f>T1326=ROUND(1315*0.7,10)</f>
        <v/>
      </c>
      <c r="K1326">
        <f>U1326=ROUND(1315*1.1,10)</f>
        <v/>
      </c>
      <c r="L1326">
        <f>V1326=ROUND(1315*0.25,10)</f>
        <v/>
      </c>
      <c r="M1326">
        <f>W1326=ROUND(1315*0.5,10)</f>
        <v/>
      </c>
      <c r="O1326">
        <f>O1325+0.1</f>
        <v/>
      </c>
      <c r="P1326">
        <f>P1325+0.2</f>
        <v/>
      </c>
      <c r="Q1326">
        <f>Q1325+0.3</f>
        <v/>
      </c>
      <c r="R1326">
        <f>R1325+0.05</f>
        <v/>
      </c>
      <c r="S1326">
        <f>S1325+0.01</f>
        <v/>
      </c>
      <c r="T1326">
        <f>T1325+0.7</f>
        <v/>
      </c>
      <c r="U1326">
        <f>U1325+1.1</f>
        <v/>
      </c>
      <c r="V1326">
        <f>V1325+0.25</f>
        <v/>
      </c>
      <c r="W1326">
        <f>W1325+0.5</f>
        <v/>
      </c>
    </row>
    <row r="1327">
      <c r="E1327">
        <f>O1327=ROUND(1316*0.1,10)</f>
        <v/>
      </c>
      <c r="F1327">
        <f>P1327=ROUND(1316*0.2,10)</f>
        <v/>
      </c>
      <c r="G1327">
        <f>Q1327=ROUND(1316*0.3,10)</f>
        <v/>
      </c>
      <c r="H1327">
        <f>R1327=ROUND(1316*0.05,10)</f>
        <v/>
      </c>
      <c r="I1327">
        <f>S1327=ROUND(1316*0.01,10)</f>
        <v/>
      </c>
      <c r="J1327">
        <f>T1327=ROUND(1316*0.7,10)</f>
        <v/>
      </c>
      <c r="K1327">
        <f>U1327=ROUND(1316*1.1,10)</f>
        <v/>
      </c>
      <c r="L1327">
        <f>V1327=ROUND(1316*0.25,10)</f>
        <v/>
      </c>
      <c r="M1327">
        <f>W1327=ROUND(1316*0.5,10)</f>
        <v/>
      </c>
      <c r="O1327">
        <f>O1326+0.1</f>
        <v/>
      </c>
      <c r="P1327">
        <f>P1326+0.2</f>
        <v/>
      </c>
      <c r="Q1327">
        <f>Q1326+0.3</f>
        <v/>
      </c>
      <c r="R1327">
        <f>R1326+0.05</f>
        <v/>
      </c>
      <c r="S1327">
        <f>S1326+0.01</f>
        <v/>
      </c>
      <c r="T1327">
        <f>T1326+0.7</f>
        <v/>
      </c>
      <c r="U1327">
        <f>U1326+1.1</f>
        <v/>
      </c>
      <c r="V1327">
        <f>V1326+0.25</f>
        <v/>
      </c>
      <c r="W1327">
        <f>W1326+0.5</f>
        <v/>
      </c>
    </row>
    <row r="1328">
      <c r="E1328">
        <f>O1328=ROUND(1317*0.1,10)</f>
        <v/>
      </c>
      <c r="F1328">
        <f>P1328=ROUND(1317*0.2,10)</f>
        <v/>
      </c>
      <c r="G1328">
        <f>Q1328=ROUND(1317*0.3,10)</f>
        <v/>
      </c>
      <c r="H1328">
        <f>R1328=ROUND(1317*0.05,10)</f>
        <v/>
      </c>
      <c r="I1328">
        <f>S1328=ROUND(1317*0.01,10)</f>
        <v/>
      </c>
      <c r="J1328">
        <f>T1328=ROUND(1317*0.7,10)</f>
        <v/>
      </c>
      <c r="K1328">
        <f>U1328=ROUND(1317*1.1,10)</f>
        <v/>
      </c>
      <c r="L1328">
        <f>V1328=ROUND(1317*0.25,10)</f>
        <v/>
      </c>
      <c r="M1328">
        <f>W1328=ROUND(1317*0.5,10)</f>
        <v/>
      </c>
      <c r="O1328">
        <f>O1327+0.1</f>
        <v/>
      </c>
      <c r="P1328">
        <f>P1327+0.2</f>
        <v/>
      </c>
      <c r="Q1328">
        <f>Q1327+0.3</f>
        <v/>
      </c>
      <c r="R1328">
        <f>R1327+0.05</f>
        <v/>
      </c>
      <c r="S1328">
        <f>S1327+0.01</f>
        <v/>
      </c>
      <c r="T1328">
        <f>T1327+0.7</f>
        <v/>
      </c>
      <c r="U1328">
        <f>U1327+1.1</f>
        <v/>
      </c>
      <c r="V1328">
        <f>V1327+0.25</f>
        <v/>
      </c>
      <c r="W1328">
        <f>W1327+0.5</f>
        <v/>
      </c>
    </row>
    <row r="1329">
      <c r="E1329">
        <f>O1329=ROUND(1318*0.1,10)</f>
        <v/>
      </c>
      <c r="F1329">
        <f>P1329=ROUND(1318*0.2,10)</f>
        <v/>
      </c>
      <c r="G1329">
        <f>Q1329=ROUND(1318*0.3,10)</f>
        <v/>
      </c>
      <c r="H1329">
        <f>R1329=ROUND(1318*0.05,10)</f>
        <v/>
      </c>
      <c r="I1329">
        <f>S1329=ROUND(1318*0.01,10)</f>
        <v/>
      </c>
      <c r="J1329">
        <f>T1329=ROUND(1318*0.7,10)</f>
        <v/>
      </c>
      <c r="K1329">
        <f>U1329=ROUND(1318*1.1,10)</f>
        <v/>
      </c>
      <c r="L1329">
        <f>V1329=ROUND(1318*0.25,10)</f>
        <v/>
      </c>
      <c r="M1329">
        <f>W1329=ROUND(1318*0.5,10)</f>
        <v/>
      </c>
      <c r="O1329">
        <f>O1328+0.1</f>
        <v/>
      </c>
      <c r="P1329">
        <f>P1328+0.2</f>
        <v/>
      </c>
      <c r="Q1329">
        <f>Q1328+0.3</f>
        <v/>
      </c>
      <c r="R1329">
        <f>R1328+0.05</f>
        <v/>
      </c>
      <c r="S1329">
        <f>S1328+0.01</f>
        <v/>
      </c>
      <c r="T1329">
        <f>T1328+0.7</f>
        <v/>
      </c>
      <c r="U1329">
        <f>U1328+1.1</f>
        <v/>
      </c>
      <c r="V1329">
        <f>V1328+0.25</f>
        <v/>
      </c>
      <c r="W1329">
        <f>W1328+0.5</f>
        <v/>
      </c>
    </row>
    <row r="1330">
      <c r="E1330">
        <f>O1330=ROUND(1319*0.1,10)</f>
        <v/>
      </c>
      <c r="F1330">
        <f>P1330=ROUND(1319*0.2,10)</f>
        <v/>
      </c>
      <c r="G1330">
        <f>Q1330=ROUND(1319*0.3,10)</f>
        <v/>
      </c>
      <c r="H1330">
        <f>R1330=ROUND(1319*0.05,10)</f>
        <v/>
      </c>
      <c r="I1330">
        <f>S1330=ROUND(1319*0.01,10)</f>
        <v/>
      </c>
      <c r="J1330">
        <f>T1330=ROUND(1319*0.7,10)</f>
        <v/>
      </c>
      <c r="K1330">
        <f>U1330=ROUND(1319*1.1,10)</f>
        <v/>
      </c>
      <c r="L1330">
        <f>V1330=ROUND(1319*0.25,10)</f>
        <v/>
      </c>
      <c r="M1330">
        <f>W1330=ROUND(1319*0.5,10)</f>
        <v/>
      </c>
      <c r="O1330">
        <f>O1329+0.1</f>
        <v/>
      </c>
      <c r="P1330">
        <f>P1329+0.2</f>
        <v/>
      </c>
      <c r="Q1330">
        <f>Q1329+0.3</f>
        <v/>
      </c>
      <c r="R1330">
        <f>R1329+0.05</f>
        <v/>
      </c>
      <c r="S1330">
        <f>S1329+0.01</f>
        <v/>
      </c>
      <c r="T1330">
        <f>T1329+0.7</f>
        <v/>
      </c>
      <c r="U1330">
        <f>U1329+1.1</f>
        <v/>
      </c>
      <c r="V1330">
        <f>V1329+0.25</f>
        <v/>
      </c>
      <c r="W1330">
        <f>W1329+0.5</f>
        <v/>
      </c>
    </row>
    <row r="1331">
      <c r="E1331">
        <f>O1331=ROUND(1320*0.1,10)</f>
        <v/>
      </c>
      <c r="F1331">
        <f>P1331=ROUND(1320*0.2,10)</f>
        <v/>
      </c>
      <c r="G1331">
        <f>Q1331=ROUND(1320*0.3,10)</f>
        <v/>
      </c>
      <c r="H1331">
        <f>R1331=ROUND(1320*0.05,10)</f>
        <v/>
      </c>
      <c r="I1331">
        <f>S1331=ROUND(1320*0.01,10)</f>
        <v/>
      </c>
      <c r="J1331">
        <f>T1331=ROUND(1320*0.7,10)</f>
        <v/>
      </c>
      <c r="K1331">
        <f>U1331=ROUND(1320*1.1,10)</f>
        <v/>
      </c>
      <c r="L1331">
        <f>V1331=ROUND(1320*0.25,10)</f>
        <v/>
      </c>
      <c r="M1331">
        <f>W1331=ROUND(1320*0.5,10)</f>
        <v/>
      </c>
      <c r="O1331">
        <f>O1330+0.1</f>
        <v/>
      </c>
      <c r="P1331">
        <f>P1330+0.2</f>
        <v/>
      </c>
      <c r="Q1331">
        <f>Q1330+0.3</f>
        <v/>
      </c>
      <c r="R1331">
        <f>R1330+0.05</f>
        <v/>
      </c>
      <c r="S1331">
        <f>S1330+0.01</f>
        <v/>
      </c>
      <c r="T1331">
        <f>T1330+0.7</f>
        <v/>
      </c>
      <c r="U1331">
        <f>U1330+1.1</f>
        <v/>
      </c>
      <c r="V1331">
        <f>V1330+0.25</f>
        <v/>
      </c>
      <c r="W1331">
        <f>W1330+0.5</f>
        <v/>
      </c>
    </row>
    <row r="1332">
      <c r="E1332">
        <f>O1332=ROUND(1321*0.1,10)</f>
        <v/>
      </c>
      <c r="F1332">
        <f>P1332=ROUND(1321*0.2,10)</f>
        <v/>
      </c>
      <c r="G1332">
        <f>Q1332=ROUND(1321*0.3,10)</f>
        <v/>
      </c>
      <c r="H1332">
        <f>R1332=ROUND(1321*0.05,10)</f>
        <v/>
      </c>
      <c r="I1332">
        <f>S1332=ROUND(1321*0.01,10)</f>
        <v/>
      </c>
      <c r="J1332">
        <f>T1332=ROUND(1321*0.7,10)</f>
        <v/>
      </c>
      <c r="K1332">
        <f>U1332=ROUND(1321*1.1,10)</f>
        <v/>
      </c>
      <c r="L1332">
        <f>V1332=ROUND(1321*0.25,10)</f>
        <v/>
      </c>
      <c r="M1332">
        <f>W1332=ROUND(1321*0.5,10)</f>
        <v/>
      </c>
      <c r="O1332">
        <f>O1331+0.1</f>
        <v/>
      </c>
      <c r="P1332">
        <f>P1331+0.2</f>
        <v/>
      </c>
      <c r="Q1332">
        <f>Q1331+0.3</f>
        <v/>
      </c>
      <c r="R1332">
        <f>R1331+0.05</f>
        <v/>
      </c>
      <c r="S1332">
        <f>S1331+0.01</f>
        <v/>
      </c>
      <c r="T1332">
        <f>T1331+0.7</f>
        <v/>
      </c>
      <c r="U1332">
        <f>U1331+1.1</f>
        <v/>
      </c>
      <c r="V1332">
        <f>V1331+0.25</f>
        <v/>
      </c>
      <c r="W1332">
        <f>W1331+0.5</f>
        <v/>
      </c>
    </row>
    <row r="1333">
      <c r="E1333">
        <f>O1333=ROUND(1322*0.1,10)</f>
        <v/>
      </c>
      <c r="F1333">
        <f>P1333=ROUND(1322*0.2,10)</f>
        <v/>
      </c>
      <c r="G1333">
        <f>Q1333=ROUND(1322*0.3,10)</f>
        <v/>
      </c>
      <c r="H1333">
        <f>R1333=ROUND(1322*0.05,10)</f>
        <v/>
      </c>
      <c r="I1333">
        <f>S1333=ROUND(1322*0.01,10)</f>
        <v/>
      </c>
      <c r="J1333">
        <f>T1333=ROUND(1322*0.7,10)</f>
        <v/>
      </c>
      <c r="K1333">
        <f>U1333=ROUND(1322*1.1,10)</f>
        <v/>
      </c>
      <c r="L1333">
        <f>V1333=ROUND(1322*0.25,10)</f>
        <v/>
      </c>
      <c r="M1333">
        <f>W1333=ROUND(1322*0.5,10)</f>
        <v/>
      </c>
      <c r="O1333">
        <f>O1332+0.1</f>
        <v/>
      </c>
      <c r="P1333">
        <f>P1332+0.2</f>
        <v/>
      </c>
      <c r="Q1333">
        <f>Q1332+0.3</f>
        <v/>
      </c>
      <c r="R1333">
        <f>R1332+0.05</f>
        <v/>
      </c>
      <c r="S1333">
        <f>S1332+0.01</f>
        <v/>
      </c>
      <c r="T1333">
        <f>T1332+0.7</f>
        <v/>
      </c>
      <c r="U1333">
        <f>U1332+1.1</f>
        <v/>
      </c>
      <c r="V1333">
        <f>V1332+0.25</f>
        <v/>
      </c>
      <c r="W1333">
        <f>W1332+0.5</f>
        <v/>
      </c>
    </row>
    <row r="1334">
      <c r="E1334">
        <f>O1334=ROUND(1323*0.1,10)</f>
        <v/>
      </c>
      <c r="F1334">
        <f>P1334=ROUND(1323*0.2,10)</f>
        <v/>
      </c>
      <c r="G1334">
        <f>Q1334=ROUND(1323*0.3,10)</f>
        <v/>
      </c>
      <c r="H1334">
        <f>R1334=ROUND(1323*0.05,10)</f>
        <v/>
      </c>
      <c r="I1334">
        <f>S1334=ROUND(1323*0.01,10)</f>
        <v/>
      </c>
      <c r="J1334">
        <f>T1334=ROUND(1323*0.7,10)</f>
        <v/>
      </c>
      <c r="K1334">
        <f>U1334=ROUND(1323*1.1,10)</f>
        <v/>
      </c>
      <c r="L1334">
        <f>V1334=ROUND(1323*0.25,10)</f>
        <v/>
      </c>
      <c r="M1334">
        <f>W1334=ROUND(1323*0.5,10)</f>
        <v/>
      </c>
      <c r="O1334">
        <f>O1333+0.1</f>
        <v/>
      </c>
      <c r="P1334">
        <f>P1333+0.2</f>
        <v/>
      </c>
      <c r="Q1334">
        <f>Q1333+0.3</f>
        <v/>
      </c>
      <c r="R1334">
        <f>R1333+0.05</f>
        <v/>
      </c>
      <c r="S1334">
        <f>S1333+0.01</f>
        <v/>
      </c>
      <c r="T1334">
        <f>T1333+0.7</f>
        <v/>
      </c>
      <c r="U1334">
        <f>U1333+1.1</f>
        <v/>
      </c>
      <c r="V1334">
        <f>V1333+0.25</f>
        <v/>
      </c>
      <c r="W1334">
        <f>W1333+0.5</f>
        <v/>
      </c>
    </row>
    <row r="1335">
      <c r="E1335">
        <f>O1335=ROUND(1324*0.1,10)</f>
        <v/>
      </c>
      <c r="F1335">
        <f>P1335=ROUND(1324*0.2,10)</f>
        <v/>
      </c>
      <c r="G1335">
        <f>Q1335=ROUND(1324*0.3,10)</f>
        <v/>
      </c>
      <c r="H1335">
        <f>R1335=ROUND(1324*0.05,10)</f>
        <v/>
      </c>
      <c r="I1335">
        <f>S1335=ROUND(1324*0.01,10)</f>
        <v/>
      </c>
      <c r="J1335">
        <f>T1335=ROUND(1324*0.7,10)</f>
        <v/>
      </c>
      <c r="K1335">
        <f>U1335=ROUND(1324*1.1,10)</f>
        <v/>
      </c>
      <c r="L1335">
        <f>V1335=ROUND(1324*0.25,10)</f>
        <v/>
      </c>
      <c r="M1335">
        <f>W1335=ROUND(1324*0.5,10)</f>
        <v/>
      </c>
      <c r="O1335">
        <f>O1334+0.1</f>
        <v/>
      </c>
      <c r="P1335">
        <f>P1334+0.2</f>
        <v/>
      </c>
      <c r="Q1335">
        <f>Q1334+0.3</f>
        <v/>
      </c>
      <c r="R1335">
        <f>R1334+0.05</f>
        <v/>
      </c>
      <c r="S1335">
        <f>S1334+0.01</f>
        <v/>
      </c>
      <c r="T1335">
        <f>T1334+0.7</f>
        <v/>
      </c>
      <c r="U1335">
        <f>U1334+1.1</f>
        <v/>
      </c>
      <c r="V1335">
        <f>V1334+0.25</f>
        <v/>
      </c>
      <c r="W1335">
        <f>W1334+0.5</f>
        <v/>
      </c>
    </row>
    <row r="1336">
      <c r="E1336">
        <f>O1336=ROUND(1325*0.1,10)</f>
        <v/>
      </c>
      <c r="F1336">
        <f>P1336=ROUND(1325*0.2,10)</f>
        <v/>
      </c>
      <c r="G1336">
        <f>Q1336=ROUND(1325*0.3,10)</f>
        <v/>
      </c>
      <c r="H1336">
        <f>R1336=ROUND(1325*0.05,10)</f>
        <v/>
      </c>
      <c r="I1336">
        <f>S1336=ROUND(1325*0.01,10)</f>
        <v/>
      </c>
      <c r="J1336">
        <f>T1336=ROUND(1325*0.7,10)</f>
        <v/>
      </c>
      <c r="K1336">
        <f>U1336=ROUND(1325*1.1,10)</f>
        <v/>
      </c>
      <c r="L1336">
        <f>V1336=ROUND(1325*0.25,10)</f>
        <v/>
      </c>
      <c r="M1336">
        <f>W1336=ROUND(1325*0.5,10)</f>
        <v/>
      </c>
      <c r="O1336">
        <f>O1335+0.1</f>
        <v/>
      </c>
      <c r="P1336">
        <f>P1335+0.2</f>
        <v/>
      </c>
      <c r="Q1336">
        <f>Q1335+0.3</f>
        <v/>
      </c>
      <c r="R1336">
        <f>R1335+0.05</f>
        <v/>
      </c>
      <c r="S1336">
        <f>S1335+0.01</f>
        <v/>
      </c>
      <c r="T1336">
        <f>T1335+0.7</f>
        <v/>
      </c>
      <c r="U1336">
        <f>U1335+1.1</f>
        <v/>
      </c>
      <c r="V1336">
        <f>V1335+0.25</f>
        <v/>
      </c>
      <c r="W1336">
        <f>W1335+0.5</f>
        <v/>
      </c>
    </row>
    <row r="1337">
      <c r="E1337">
        <f>O1337=ROUND(1326*0.1,10)</f>
        <v/>
      </c>
      <c r="F1337">
        <f>P1337=ROUND(1326*0.2,10)</f>
        <v/>
      </c>
      <c r="G1337">
        <f>Q1337=ROUND(1326*0.3,10)</f>
        <v/>
      </c>
      <c r="H1337">
        <f>R1337=ROUND(1326*0.05,10)</f>
        <v/>
      </c>
      <c r="I1337">
        <f>S1337=ROUND(1326*0.01,10)</f>
        <v/>
      </c>
      <c r="J1337">
        <f>T1337=ROUND(1326*0.7,10)</f>
        <v/>
      </c>
      <c r="K1337">
        <f>U1337=ROUND(1326*1.1,10)</f>
        <v/>
      </c>
      <c r="L1337">
        <f>V1337=ROUND(1326*0.25,10)</f>
        <v/>
      </c>
      <c r="M1337">
        <f>W1337=ROUND(1326*0.5,10)</f>
        <v/>
      </c>
      <c r="O1337">
        <f>O1336+0.1</f>
        <v/>
      </c>
      <c r="P1337">
        <f>P1336+0.2</f>
        <v/>
      </c>
      <c r="Q1337">
        <f>Q1336+0.3</f>
        <v/>
      </c>
      <c r="R1337">
        <f>R1336+0.05</f>
        <v/>
      </c>
      <c r="S1337">
        <f>S1336+0.01</f>
        <v/>
      </c>
      <c r="T1337">
        <f>T1336+0.7</f>
        <v/>
      </c>
      <c r="U1337">
        <f>U1336+1.1</f>
        <v/>
      </c>
      <c r="V1337">
        <f>V1336+0.25</f>
        <v/>
      </c>
      <c r="W1337">
        <f>W1336+0.5</f>
        <v/>
      </c>
    </row>
    <row r="1338">
      <c r="E1338">
        <f>O1338=ROUND(1327*0.1,10)</f>
        <v/>
      </c>
      <c r="F1338">
        <f>P1338=ROUND(1327*0.2,10)</f>
        <v/>
      </c>
      <c r="G1338">
        <f>Q1338=ROUND(1327*0.3,10)</f>
        <v/>
      </c>
      <c r="H1338">
        <f>R1338=ROUND(1327*0.05,10)</f>
        <v/>
      </c>
      <c r="I1338">
        <f>S1338=ROUND(1327*0.01,10)</f>
        <v/>
      </c>
      <c r="J1338">
        <f>T1338=ROUND(1327*0.7,10)</f>
        <v/>
      </c>
      <c r="K1338">
        <f>U1338=ROUND(1327*1.1,10)</f>
        <v/>
      </c>
      <c r="L1338">
        <f>V1338=ROUND(1327*0.25,10)</f>
        <v/>
      </c>
      <c r="M1338">
        <f>W1338=ROUND(1327*0.5,10)</f>
        <v/>
      </c>
      <c r="O1338">
        <f>O1337+0.1</f>
        <v/>
      </c>
      <c r="P1338">
        <f>P1337+0.2</f>
        <v/>
      </c>
      <c r="Q1338">
        <f>Q1337+0.3</f>
        <v/>
      </c>
      <c r="R1338">
        <f>R1337+0.05</f>
        <v/>
      </c>
      <c r="S1338">
        <f>S1337+0.01</f>
        <v/>
      </c>
      <c r="T1338">
        <f>T1337+0.7</f>
        <v/>
      </c>
      <c r="U1338">
        <f>U1337+1.1</f>
        <v/>
      </c>
      <c r="V1338">
        <f>V1337+0.25</f>
        <v/>
      </c>
      <c r="W1338">
        <f>W1337+0.5</f>
        <v/>
      </c>
    </row>
    <row r="1339">
      <c r="E1339">
        <f>O1339=ROUND(1328*0.1,10)</f>
        <v/>
      </c>
      <c r="F1339">
        <f>P1339=ROUND(1328*0.2,10)</f>
        <v/>
      </c>
      <c r="G1339">
        <f>Q1339=ROUND(1328*0.3,10)</f>
        <v/>
      </c>
      <c r="H1339">
        <f>R1339=ROUND(1328*0.05,10)</f>
        <v/>
      </c>
      <c r="I1339">
        <f>S1339=ROUND(1328*0.01,10)</f>
        <v/>
      </c>
      <c r="J1339">
        <f>T1339=ROUND(1328*0.7,10)</f>
        <v/>
      </c>
      <c r="K1339">
        <f>U1339=ROUND(1328*1.1,10)</f>
        <v/>
      </c>
      <c r="L1339">
        <f>V1339=ROUND(1328*0.25,10)</f>
        <v/>
      </c>
      <c r="M1339">
        <f>W1339=ROUND(1328*0.5,10)</f>
        <v/>
      </c>
      <c r="O1339">
        <f>O1338+0.1</f>
        <v/>
      </c>
      <c r="P1339">
        <f>P1338+0.2</f>
        <v/>
      </c>
      <c r="Q1339">
        <f>Q1338+0.3</f>
        <v/>
      </c>
      <c r="R1339">
        <f>R1338+0.05</f>
        <v/>
      </c>
      <c r="S1339">
        <f>S1338+0.01</f>
        <v/>
      </c>
      <c r="T1339">
        <f>T1338+0.7</f>
        <v/>
      </c>
      <c r="U1339">
        <f>U1338+1.1</f>
        <v/>
      </c>
      <c r="V1339">
        <f>V1338+0.25</f>
        <v/>
      </c>
      <c r="W1339">
        <f>W1338+0.5</f>
        <v/>
      </c>
    </row>
    <row r="1340">
      <c r="E1340">
        <f>O1340=ROUND(1329*0.1,10)</f>
        <v/>
      </c>
      <c r="F1340">
        <f>P1340=ROUND(1329*0.2,10)</f>
        <v/>
      </c>
      <c r="G1340">
        <f>Q1340=ROUND(1329*0.3,10)</f>
        <v/>
      </c>
      <c r="H1340">
        <f>R1340=ROUND(1329*0.05,10)</f>
        <v/>
      </c>
      <c r="I1340">
        <f>S1340=ROUND(1329*0.01,10)</f>
        <v/>
      </c>
      <c r="J1340">
        <f>T1340=ROUND(1329*0.7,10)</f>
        <v/>
      </c>
      <c r="K1340">
        <f>U1340=ROUND(1329*1.1,10)</f>
        <v/>
      </c>
      <c r="L1340">
        <f>V1340=ROUND(1329*0.25,10)</f>
        <v/>
      </c>
      <c r="M1340">
        <f>W1340=ROUND(1329*0.5,10)</f>
        <v/>
      </c>
      <c r="O1340">
        <f>O1339+0.1</f>
        <v/>
      </c>
      <c r="P1340">
        <f>P1339+0.2</f>
        <v/>
      </c>
      <c r="Q1340">
        <f>Q1339+0.3</f>
        <v/>
      </c>
      <c r="R1340">
        <f>R1339+0.05</f>
        <v/>
      </c>
      <c r="S1340">
        <f>S1339+0.01</f>
        <v/>
      </c>
      <c r="T1340">
        <f>T1339+0.7</f>
        <v/>
      </c>
      <c r="U1340">
        <f>U1339+1.1</f>
        <v/>
      </c>
      <c r="V1340">
        <f>V1339+0.25</f>
        <v/>
      </c>
      <c r="W1340">
        <f>W1339+0.5</f>
        <v/>
      </c>
    </row>
    <row r="1341">
      <c r="E1341">
        <f>O1341=ROUND(1330*0.1,10)</f>
        <v/>
      </c>
      <c r="F1341">
        <f>P1341=ROUND(1330*0.2,10)</f>
        <v/>
      </c>
      <c r="G1341">
        <f>Q1341=ROUND(1330*0.3,10)</f>
        <v/>
      </c>
      <c r="H1341">
        <f>R1341=ROUND(1330*0.05,10)</f>
        <v/>
      </c>
      <c r="I1341">
        <f>S1341=ROUND(1330*0.01,10)</f>
        <v/>
      </c>
      <c r="J1341">
        <f>T1341=ROUND(1330*0.7,10)</f>
        <v/>
      </c>
      <c r="K1341">
        <f>U1341=ROUND(1330*1.1,10)</f>
        <v/>
      </c>
      <c r="L1341">
        <f>V1341=ROUND(1330*0.25,10)</f>
        <v/>
      </c>
      <c r="M1341">
        <f>W1341=ROUND(1330*0.5,10)</f>
        <v/>
      </c>
      <c r="O1341">
        <f>O1340+0.1</f>
        <v/>
      </c>
      <c r="P1341">
        <f>P1340+0.2</f>
        <v/>
      </c>
      <c r="Q1341">
        <f>Q1340+0.3</f>
        <v/>
      </c>
      <c r="R1341">
        <f>R1340+0.05</f>
        <v/>
      </c>
      <c r="S1341">
        <f>S1340+0.01</f>
        <v/>
      </c>
      <c r="T1341">
        <f>T1340+0.7</f>
        <v/>
      </c>
      <c r="U1341">
        <f>U1340+1.1</f>
        <v/>
      </c>
      <c r="V1341">
        <f>V1340+0.25</f>
        <v/>
      </c>
      <c r="W1341">
        <f>W1340+0.5</f>
        <v/>
      </c>
    </row>
    <row r="1342">
      <c r="E1342">
        <f>O1342=ROUND(1331*0.1,10)</f>
        <v/>
      </c>
      <c r="F1342">
        <f>P1342=ROUND(1331*0.2,10)</f>
        <v/>
      </c>
      <c r="G1342">
        <f>Q1342=ROUND(1331*0.3,10)</f>
        <v/>
      </c>
      <c r="H1342">
        <f>R1342=ROUND(1331*0.05,10)</f>
        <v/>
      </c>
      <c r="I1342">
        <f>S1342=ROUND(1331*0.01,10)</f>
        <v/>
      </c>
      <c r="J1342">
        <f>T1342=ROUND(1331*0.7,10)</f>
        <v/>
      </c>
      <c r="K1342">
        <f>U1342=ROUND(1331*1.1,10)</f>
        <v/>
      </c>
      <c r="L1342">
        <f>V1342=ROUND(1331*0.25,10)</f>
        <v/>
      </c>
      <c r="M1342">
        <f>W1342=ROUND(1331*0.5,10)</f>
        <v/>
      </c>
      <c r="O1342">
        <f>O1341+0.1</f>
        <v/>
      </c>
      <c r="P1342">
        <f>P1341+0.2</f>
        <v/>
      </c>
      <c r="Q1342">
        <f>Q1341+0.3</f>
        <v/>
      </c>
      <c r="R1342">
        <f>R1341+0.05</f>
        <v/>
      </c>
      <c r="S1342">
        <f>S1341+0.01</f>
        <v/>
      </c>
      <c r="T1342">
        <f>T1341+0.7</f>
        <v/>
      </c>
      <c r="U1342">
        <f>U1341+1.1</f>
        <v/>
      </c>
      <c r="V1342">
        <f>V1341+0.25</f>
        <v/>
      </c>
      <c r="W1342">
        <f>W1341+0.5</f>
        <v/>
      </c>
    </row>
    <row r="1343">
      <c r="E1343">
        <f>O1343=ROUND(1332*0.1,10)</f>
        <v/>
      </c>
      <c r="F1343">
        <f>P1343=ROUND(1332*0.2,10)</f>
        <v/>
      </c>
      <c r="G1343">
        <f>Q1343=ROUND(1332*0.3,10)</f>
        <v/>
      </c>
      <c r="H1343">
        <f>R1343=ROUND(1332*0.05,10)</f>
        <v/>
      </c>
      <c r="I1343">
        <f>S1343=ROUND(1332*0.01,10)</f>
        <v/>
      </c>
      <c r="J1343">
        <f>T1343=ROUND(1332*0.7,10)</f>
        <v/>
      </c>
      <c r="K1343">
        <f>U1343=ROUND(1332*1.1,10)</f>
        <v/>
      </c>
      <c r="L1343">
        <f>V1343=ROUND(1332*0.25,10)</f>
        <v/>
      </c>
      <c r="M1343">
        <f>W1343=ROUND(1332*0.5,10)</f>
        <v/>
      </c>
      <c r="O1343">
        <f>O1342+0.1</f>
        <v/>
      </c>
      <c r="P1343">
        <f>P1342+0.2</f>
        <v/>
      </c>
      <c r="Q1343">
        <f>Q1342+0.3</f>
        <v/>
      </c>
      <c r="R1343">
        <f>R1342+0.05</f>
        <v/>
      </c>
      <c r="S1343">
        <f>S1342+0.01</f>
        <v/>
      </c>
      <c r="T1343">
        <f>T1342+0.7</f>
        <v/>
      </c>
      <c r="U1343">
        <f>U1342+1.1</f>
        <v/>
      </c>
      <c r="V1343">
        <f>V1342+0.25</f>
        <v/>
      </c>
      <c r="W1343">
        <f>W1342+0.5</f>
        <v/>
      </c>
    </row>
    <row r="1344">
      <c r="E1344">
        <f>O1344=ROUND(1333*0.1,10)</f>
        <v/>
      </c>
      <c r="F1344">
        <f>P1344=ROUND(1333*0.2,10)</f>
        <v/>
      </c>
      <c r="G1344">
        <f>Q1344=ROUND(1333*0.3,10)</f>
        <v/>
      </c>
      <c r="H1344">
        <f>R1344=ROUND(1333*0.05,10)</f>
        <v/>
      </c>
      <c r="I1344">
        <f>S1344=ROUND(1333*0.01,10)</f>
        <v/>
      </c>
      <c r="J1344">
        <f>T1344=ROUND(1333*0.7,10)</f>
        <v/>
      </c>
      <c r="K1344">
        <f>U1344=ROUND(1333*1.1,10)</f>
        <v/>
      </c>
      <c r="L1344">
        <f>V1344=ROUND(1333*0.25,10)</f>
        <v/>
      </c>
      <c r="M1344">
        <f>W1344=ROUND(1333*0.5,10)</f>
        <v/>
      </c>
      <c r="O1344">
        <f>O1343+0.1</f>
        <v/>
      </c>
      <c r="P1344">
        <f>P1343+0.2</f>
        <v/>
      </c>
      <c r="Q1344">
        <f>Q1343+0.3</f>
        <v/>
      </c>
      <c r="R1344">
        <f>R1343+0.05</f>
        <v/>
      </c>
      <c r="S1344">
        <f>S1343+0.01</f>
        <v/>
      </c>
      <c r="T1344">
        <f>T1343+0.7</f>
        <v/>
      </c>
      <c r="U1344">
        <f>U1343+1.1</f>
        <v/>
      </c>
      <c r="V1344">
        <f>V1343+0.25</f>
        <v/>
      </c>
      <c r="W1344">
        <f>W1343+0.5</f>
        <v/>
      </c>
    </row>
    <row r="1345">
      <c r="E1345">
        <f>O1345=ROUND(1334*0.1,10)</f>
        <v/>
      </c>
      <c r="F1345">
        <f>P1345=ROUND(1334*0.2,10)</f>
        <v/>
      </c>
      <c r="G1345">
        <f>Q1345=ROUND(1334*0.3,10)</f>
        <v/>
      </c>
      <c r="H1345">
        <f>R1345=ROUND(1334*0.05,10)</f>
        <v/>
      </c>
      <c r="I1345">
        <f>S1345=ROUND(1334*0.01,10)</f>
        <v/>
      </c>
      <c r="J1345">
        <f>T1345=ROUND(1334*0.7,10)</f>
        <v/>
      </c>
      <c r="K1345">
        <f>U1345=ROUND(1334*1.1,10)</f>
        <v/>
      </c>
      <c r="L1345">
        <f>V1345=ROUND(1334*0.25,10)</f>
        <v/>
      </c>
      <c r="M1345">
        <f>W1345=ROUND(1334*0.5,10)</f>
        <v/>
      </c>
      <c r="O1345">
        <f>O1344+0.1</f>
        <v/>
      </c>
      <c r="P1345">
        <f>P1344+0.2</f>
        <v/>
      </c>
      <c r="Q1345">
        <f>Q1344+0.3</f>
        <v/>
      </c>
      <c r="R1345">
        <f>R1344+0.05</f>
        <v/>
      </c>
      <c r="S1345">
        <f>S1344+0.01</f>
        <v/>
      </c>
      <c r="T1345">
        <f>T1344+0.7</f>
        <v/>
      </c>
      <c r="U1345">
        <f>U1344+1.1</f>
        <v/>
      </c>
      <c r="V1345">
        <f>V1344+0.25</f>
        <v/>
      </c>
      <c r="W1345">
        <f>W1344+0.5</f>
        <v/>
      </c>
    </row>
    <row r="1346">
      <c r="E1346">
        <f>O1346=ROUND(1335*0.1,10)</f>
        <v/>
      </c>
      <c r="F1346">
        <f>P1346=ROUND(1335*0.2,10)</f>
        <v/>
      </c>
      <c r="G1346">
        <f>Q1346=ROUND(1335*0.3,10)</f>
        <v/>
      </c>
      <c r="H1346">
        <f>R1346=ROUND(1335*0.05,10)</f>
        <v/>
      </c>
      <c r="I1346">
        <f>S1346=ROUND(1335*0.01,10)</f>
        <v/>
      </c>
      <c r="J1346">
        <f>T1346=ROUND(1335*0.7,10)</f>
        <v/>
      </c>
      <c r="K1346">
        <f>U1346=ROUND(1335*1.1,10)</f>
        <v/>
      </c>
      <c r="L1346">
        <f>V1346=ROUND(1335*0.25,10)</f>
        <v/>
      </c>
      <c r="M1346">
        <f>W1346=ROUND(1335*0.5,10)</f>
        <v/>
      </c>
      <c r="O1346">
        <f>O1345+0.1</f>
        <v/>
      </c>
      <c r="P1346">
        <f>P1345+0.2</f>
        <v/>
      </c>
      <c r="Q1346">
        <f>Q1345+0.3</f>
        <v/>
      </c>
      <c r="R1346">
        <f>R1345+0.05</f>
        <v/>
      </c>
      <c r="S1346">
        <f>S1345+0.01</f>
        <v/>
      </c>
      <c r="T1346">
        <f>T1345+0.7</f>
        <v/>
      </c>
      <c r="U1346">
        <f>U1345+1.1</f>
        <v/>
      </c>
      <c r="V1346">
        <f>V1345+0.25</f>
        <v/>
      </c>
      <c r="W1346">
        <f>W1345+0.5</f>
        <v/>
      </c>
    </row>
    <row r="1347">
      <c r="E1347">
        <f>O1347=ROUND(1336*0.1,10)</f>
        <v/>
      </c>
      <c r="F1347">
        <f>P1347=ROUND(1336*0.2,10)</f>
        <v/>
      </c>
      <c r="G1347">
        <f>Q1347=ROUND(1336*0.3,10)</f>
        <v/>
      </c>
      <c r="H1347">
        <f>R1347=ROUND(1336*0.05,10)</f>
        <v/>
      </c>
      <c r="I1347">
        <f>S1347=ROUND(1336*0.01,10)</f>
        <v/>
      </c>
      <c r="J1347">
        <f>T1347=ROUND(1336*0.7,10)</f>
        <v/>
      </c>
      <c r="K1347">
        <f>U1347=ROUND(1336*1.1,10)</f>
        <v/>
      </c>
      <c r="L1347">
        <f>V1347=ROUND(1336*0.25,10)</f>
        <v/>
      </c>
      <c r="M1347">
        <f>W1347=ROUND(1336*0.5,10)</f>
        <v/>
      </c>
      <c r="O1347">
        <f>O1346+0.1</f>
        <v/>
      </c>
      <c r="P1347">
        <f>P1346+0.2</f>
        <v/>
      </c>
      <c r="Q1347">
        <f>Q1346+0.3</f>
        <v/>
      </c>
      <c r="R1347">
        <f>R1346+0.05</f>
        <v/>
      </c>
      <c r="S1347">
        <f>S1346+0.01</f>
        <v/>
      </c>
      <c r="T1347">
        <f>T1346+0.7</f>
        <v/>
      </c>
      <c r="U1347">
        <f>U1346+1.1</f>
        <v/>
      </c>
      <c r="V1347">
        <f>V1346+0.25</f>
        <v/>
      </c>
      <c r="W1347">
        <f>W1346+0.5</f>
        <v/>
      </c>
    </row>
    <row r="1348">
      <c r="E1348">
        <f>O1348=ROUND(1337*0.1,10)</f>
        <v/>
      </c>
      <c r="F1348">
        <f>P1348=ROUND(1337*0.2,10)</f>
        <v/>
      </c>
      <c r="G1348">
        <f>Q1348=ROUND(1337*0.3,10)</f>
        <v/>
      </c>
      <c r="H1348">
        <f>R1348=ROUND(1337*0.05,10)</f>
        <v/>
      </c>
      <c r="I1348">
        <f>S1348=ROUND(1337*0.01,10)</f>
        <v/>
      </c>
      <c r="J1348">
        <f>T1348=ROUND(1337*0.7,10)</f>
        <v/>
      </c>
      <c r="K1348">
        <f>U1348=ROUND(1337*1.1,10)</f>
        <v/>
      </c>
      <c r="L1348">
        <f>V1348=ROUND(1337*0.25,10)</f>
        <v/>
      </c>
      <c r="M1348">
        <f>W1348=ROUND(1337*0.5,10)</f>
        <v/>
      </c>
      <c r="O1348">
        <f>O1347+0.1</f>
        <v/>
      </c>
      <c r="P1348">
        <f>P1347+0.2</f>
        <v/>
      </c>
      <c r="Q1348">
        <f>Q1347+0.3</f>
        <v/>
      </c>
      <c r="R1348">
        <f>R1347+0.05</f>
        <v/>
      </c>
      <c r="S1348">
        <f>S1347+0.01</f>
        <v/>
      </c>
      <c r="T1348">
        <f>T1347+0.7</f>
        <v/>
      </c>
      <c r="U1348">
        <f>U1347+1.1</f>
        <v/>
      </c>
      <c r="V1348">
        <f>V1347+0.25</f>
        <v/>
      </c>
      <c r="W1348">
        <f>W1347+0.5</f>
        <v/>
      </c>
    </row>
    <row r="1349">
      <c r="E1349">
        <f>O1349=ROUND(1338*0.1,10)</f>
        <v/>
      </c>
      <c r="F1349">
        <f>P1349=ROUND(1338*0.2,10)</f>
        <v/>
      </c>
      <c r="G1349">
        <f>Q1349=ROUND(1338*0.3,10)</f>
        <v/>
      </c>
      <c r="H1349">
        <f>R1349=ROUND(1338*0.05,10)</f>
        <v/>
      </c>
      <c r="I1349">
        <f>S1349=ROUND(1338*0.01,10)</f>
        <v/>
      </c>
      <c r="J1349">
        <f>T1349=ROUND(1338*0.7,10)</f>
        <v/>
      </c>
      <c r="K1349">
        <f>U1349=ROUND(1338*1.1,10)</f>
        <v/>
      </c>
      <c r="L1349">
        <f>V1349=ROUND(1338*0.25,10)</f>
        <v/>
      </c>
      <c r="M1349">
        <f>W1349=ROUND(1338*0.5,10)</f>
        <v/>
      </c>
      <c r="O1349">
        <f>O1348+0.1</f>
        <v/>
      </c>
      <c r="P1349">
        <f>P1348+0.2</f>
        <v/>
      </c>
      <c r="Q1349">
        <f>Q1348+0.3</f>
        <v/>
      </c>
      <c r="R1349">
        <f>R1348+0.05</f>
        <v/>
      </c>
      <c r="S1349">
        <f>S1348+0.01</f>
        <v/>
      </c>
      <c r="T1349">
        <f>T1348+0.7</f>
        <v/>
      </c>
      <c r="U1349">
        <f>U1348+1.1</f>
        <v/>
      </c>
      <c r="V1349">
        <f>V1348+0.25</f>
        <v/>
      </c>
      <c r="W1349">
        <f>W1348+0.5</f>
        <v/>
      </c>
    </row>
    <row r="1350">
      <c r="E1350">
        <f>O1350=ROUND(1339*0.1,10)</f>
        <v/>
      </c>
      <c r="F1350">
        <f>P1350=ROUND(1339*0.2,10)</f>
        <v/>
      </c>
      <c r="G1350">
        <f>Q1350=ROUND(1339*0.3,10)</f>
        <v/>
      </c>
      <c r="H1350">
        <f>R1350=ROUND(1339*0.05,10)</f>
        <v/>
      </c>
      <c r="I1350">
        <f>S1350=ROUND(1339*0.01,10)</f>
        <v/>
      </c>
      <c r="J1350">
        <f>T1350=ROUND(1339*0.7,10)</f>
        <v/>
      </c>
      <c r="K1350">
        <f>U1350=ROUND(1339*1.1,10)</f>
        <v/>
      </c>
      <c r="L1350">
        <f>V1350=ROUND(1339*0.25,10)</f>
        <v/>
      </c>
      <c r="M1350">
        <f>W1350=ROUND(1339*0.5,10)</f>
        <v/>
      </c>
      <c r="O1350">
        <f>O1349+0.1</f>
        <v/>
      </c>
      <c r="P1350">
        <f>P1349+0.2</f>
        <v/>
      </c>
      <c r="Q1350">
        <f>Q1349+0.3</f>
        <v/>
      </c>
      <c r="R1350">
        <f>R1349+0.05</f>
        <v/>
      </c>
      <c r="S1350">
        <f>S1349+0.01</f>
        <v/>
      </c>
      <c r="T1350">
        <f>T1349+0.7</f>
        <v/>
      </c>
      <c r="U1350">
        <f>U1349+1.1</f>
        <v/>
      </c>
      <c r="V1350">
        <f>V1349+0.25</f>
        <v/>
      </c>
      <c r="W1350">
        <f>W1349+0.5</f>
        <v/>
      </c>
    </row>
    <row r="1351">
      <c r="E1351">
        <f>O1351=ROUND(1340*0.1,10)</f>
        <v/>
      </c>
      <c r="F1351">
        <f>P1351=ROUND(1340*0.2,10)</f>
        <v/>
      </c>
      <c r="G1351">
        <f>Q1351=ROUND(1340*0.3,10)</f>
        <v/>
      </c>
      <c r="H1351">
        <f>R1351=ROUND(1340*0.05,10)</f>
        <v/>
      </c>
      <c r="I1351">
        <f>S1351=ROUND(1340*0.01,10)</f>
        <v/>
      </c>
      <c r="J1351">
        <f>T1351=ROUND(1340*0.7,10)</f>
        <v/>
      </c>
      <c r="K1351">
        <f>U1351=ROUND(1340*1.1,10)</f>
        <v/>
      </c>
      <c r="L1351">
        <f>V1351=ROUND(1340*0.25,10)</f>
        <v/>
      </c>
      <c r="M1351">
        <f>W1351=ROUND(1340*0.5,10)</f>
        <v/>
      </c>
      <c r="O1351">
        <f>O1350+0.1</f>
        <v/>
      </c>
      <c r="P1351">
        <f>P1350+0.2</f>
        <v/>
      </c>
      <c r="Q1351">
        <f>Q1350+0.3</f>
        <v/>
      </c>
      <c r="R1351">
        <f>R1350+0.05</f>
        <v/>
      </c>
      <c r="S1351">
        <f>S1350+0.01</f>
        <v/>
      </c>
      <c r="T1351">
        <f>T1350+0.7</f>
        <v/>
      </c>
      <c r="U1351">
        <f>U1350+1.1</f>
        <v/>
      </c>
      <c r="V1351">
        <f>V1350+0.25</f>
        <v/>
      </c>
      <c r="W1351">
        <f>W1350+0.5</f>
        <v/>
      </c>
    </row>
    <row r="1352">
      <c r="E1352">
        <f>O1352=ROUND(1341*0.1,10)</f>
        <v/>
      </c>
      <c r="F1352">
        <f>P1352=ROUND(1341*0.2,10)</f>
        <v/>
      </c>
      <c r="G1352">
        <f>Q1352=ROUND(1341*0.3,10)</f>
        <v/>
      </c>
      <c r="H1352">
        <f>R1352=ROUND(1341*0.05,10)</f>
        <v/>
      </c>
      <c r="I1352">
        <f>S1352=ROUND(1341*0.01,10)</f>
        <v/>
      </c>
      <c r="J1352">
        <f>T1352=ROUND(1341*0.7,10)</f>
        <v/>
      </c>
      <c r="K1352">
        <f>U1352=ROUND(1341*1.1,10)</f>
        <v/>
      </c>
      <c r="L1352">
        <f>V1352=ROUND(1341*0.25,10)</f>
        <v/>
      </c>
      <c r="M1352">
        <f>W1352=ROUND(1341*0.5,10)</f>
        <v/>
      </c>
      <c r="O1352">
        <f>O1351+0.1</f>
        <v/>
      </c>
      <c r="P1352">
        <f>P1351+0.2</f>
        <v/>
      </c>
      <c r="Q1352">
        <f>Q1351+0.3</f>
        <v/>
      </c>
      <c r="R1352">
        <f>R1351+0.05</f>
        <v/>
      </c>
      <c r="S1352">
        <f>S1351+0.01</f>
        <v/>
      </c>
      <c r="T1352">
        <f>T1351+0.7</f>
        <v/>
      </c>
      <c r="U1352">
        <f>U1351+1.1</f>
        <v/>
      </c>
      <c r="V1352">
        <f>V1351+0.25</f>
        <v/>
      </c>
      <c r="W1352">
        <f>W1351+0.5</f>
        <v/>
      </c>
    </row>
    <row r="1353">
      <c r="E1353">
        <f>O1353=ROUND(1342*0.1,10)</f>
        <v/>
      </c>
      <c r="F1353">
        <f>P1353=ROUND(1342*0.2,10)</f>
        <v/>
      </c>
      <c r="G1353">
        <f>Q1353=ROUND(1342*0.3,10)</f>
        <v/>
      </c>
      <c r="H1353">
        <f>R1353=ROUND(1342*0.05,10)</f>
        <v/>
      </c>
      <c r="I1353">
        <f>S1353=ROUND(1342*0.01,10)</f>
        <v/>
      </c>
      <c r="J1353">
        <f>T1353=ROUND(1342*0.7,10)</f>
        <v/>
      </c>
      <c r="K1353">
        <f>U1353=ROUND(1342*1.1,10)</f>
        <v/>
      </c>
      <c r="L1353">
        <f>V1353=ROUND(1342*0.25,10)</f>
        <v/>
      </c>
      <c r="M1353">
        <f>W1353=ROUND(1342*0.5,10)</f>
        <v/>
      </c>
      <c r="O1353">
        <f>O1352+0.1</f>
        <v/>
      </c>
      <c r="P1353">
        <f>P1352+0.2</f>
        <v/>
      </c>
      <c r="Q1353">
        <f>Q1352+0.3</f>
        <v/>
      </c>
      <c r="R1353">
        <f>R1352+0.05</f>
        <v/>
      </c>
      <c r="S1353">
        <f>S1352+0.01</f>
        <v/>
      </c>
      <c r="T1353">
        <f>T1352+0.7</f>
        <v/>
      </c>
      <c r="U1353">
        <f>U1352+1.1</f>
        <v/>
      </c>
      <c r="V1353">
        <f>V1352+0.25</f>
        <v/>
      </c>
      <c r="W1353">
        <f>W1352+0.5</f>
        <v/>
      </c>
    </row>
    <row r="1354">
      <c r="E1354">
        <f>O1354=ROUND(1343*0.1,10)</f>
        <v/>
      </c>
      <c r="F1354">
        <f>P1354=ROUND(1343*0.2,10)</f>
        <v/>
      </c>
      <c r="G1354">
        <f>Q1354=ROUND(1343*0.3,10)</f>
        <v/>
      </c>
      <c r="H1354">
        <f>R1354=ROUND(1343*0.05,10)</f>
        <v/>
      </c>
      <c r="I1354">
        <f>S1354=ROUND(1343*0.01,10)</f>
        <v/>
      </c>
      <c r="J1354">
        <f>T1354=ROUND(1343*0.7,10)</f>
        <v/>
      </c>
      <c r="K1354">
        <f>U1354=ROUND(1343*1.1,10)</f>
        <v/>
      </c>
      <c r="L1354">
        <f>V1354=ROUND(1343*0.25,10)</f>
        <v/>
      </c>
      <c r="M1354">
        <f>W1354=ROUND(1343*0.5,10)</f>
        <v/>
      </c>
      <c r="O1354">
        <f>O1353+0.1</f>
        <v/>
      </c>
      <c r="P1354">
        <f>P1353+0.2</f>
        <v/>
      </c>
      <c r="Q1354">
        <f>Q1353+0.3</f>
        <v/>
      </c>
      <c r="R1354">
        <f>R1353+0.05</f>
        <v/>
      </c>
      <c r="S1354">
        <f>S1353+0.01</f>
        <v/>
      </c>
      <c r="T1354">
        <f>T1353+0.7</f>
        <v/>
      </c>
      <c r="U1354">
        <f>U1353+1.1</f>
        <v/>
      </c>
      <c r="V1354">
        <f>V1353+0.25</f>
        <v/>
      </c>
      <c r="W1354">
        <f>W1353+0.5</f>
        <v/>
      </c>
    </row>
    <row r="1355">
      <c r="E1355">
        <f>O1355=ROUND(1344*0.1,10)</f>
        <v/>
      </c>
      <c r="F1355">
        <f>P1355=ROUND(1344*0.2,10)</f>
        <v/>
      </c>
      <c r="G1355">
        <f>Q1355=ROUND(1344*0.3,10)</f>
        <v/>
      </c>
      <c r="H1355">
        <f>R1355=ROUND(1344*0.05,10)</f>
        <v/>
      </c>
      <c r="I1355">
        <f>S1355=ROUND(1344*0.01,10)</f>
        <v/>
      </c>
      <c r="J1355">
        <f>T1355=ROUND(1344*0.7,10)</f>
        <v/>
      </c>
      <c r="K1355">
        <f>U1355=ROUND(1344*1.1,10)</f>
        <v/>
      </c>
      <c r="L1355">
        <f>V1355=ROUND(1344*0.25,10)</f>
        <v/>
      </c>
      <c r="M1355">
        <f>W1355=ROUND(1344*0.5,10)</f>
        <v/>
      </c>
      <c r="O1355">
        <f>O1354+0.1</f>
        <v/>
      </c>
      <c r="P1355">
        <f>P1354+0.2</f>
        <v/>
      </c>
      <c r="Q1355">
        <f>Q1354+0.3</f>
        <v/>
      </c>
      <c r="R1355">
        <f>R1354+0.05</f>
        <v/>
      </c>
      <c r="S1355">
        <f>S1354+0.01</f>
        <v/>
      </c>
      <c r="T1355">
        <f>T1354+0.7</f>
        <v/>
      </c>
      <c r="U1355">
        <f>U1354+1.1</f>
        <v/>
      </c>
      <c r="V1355">
        <f>V1354+0.25</f>
        <v/>
      </c>
      <c r="W1355">
        <f>W1354+0.5</f>
        <v/>
      </c>
    </row>
    <row r="1356">
      <c r="E1356">
        <f>O1356=ROUND(1345*0.1,10)</f>
        <v/>
      </c>
      <c r="F1356">
        <f>P1356=ROUND(1345*0.2,10)</f>
        <v/>
      </c>
      <c r="G1356">
        <f>Q1356=ROUND(1345*0.3,10)</f>
        <v/>
      </c>
      <c r="H1356">
        <f>R1356=ROUND(1345*0.05,10)</f>
        <v/>
      </c>
      <c r="I1356">
        <f>S1356=ROUND(1345*0.01,10)</f>
        <v/>
      </c>
      <c r="J1356">
        <f>T1356=ROUND(1345*0.7,10)</f>
        <v/>
      </c>
      <c r="K1356">
        <f>U1356=ROUND(1345*1.1,10)</f>
        <v/>
      </c>
      <c r="L1356">
        <f>V1356=ROUND(1345*0.25,10)</f>
        <v/>
      </c>
      <c r="M1356">
        <f>W1356=ROUND(1345*0.5,10)</f>
        <v/>
      </c>
      <c r="O1356">
        <f>O1355+0.1</f>
        <v/>
      </c>
      <c r="P1356">
        <f>P1355+0.2</f>
        <v/>
      </c>
      <c r="Q1356">
        <f>Q1355+0.3</f>
        <v/>
      </c>
      <c r="R1356">
        <f>R1355+0.05</f>
        <v/>
      </c>
      <c r="S1356">
        <f>S1355+0.01</f>
        <v/>
      </c>
      <c r="T1356">
        <f>T1355+0.7</f>
        <v/>
      </c>
      <c r="U1356">
        <f>U1355+1.1</f>
        <v/>
      </c>
      <c r="V1356">
        <f>V1355+0.25</f>
        <v/>
      </c>
      <c r="W1356">
        <f>W1355+0.5</f>
        <v/>
      </c>
    </row>
    <row r="1357">
      <c r="E1357">
        <f>O1357=ROUND(1346*0.1,10)</f>
        <v/>
      </c>
      <c r="F1357">
        <f>P1357=ROUND(1346*0.2,10)</f>
        <v/>
      </c>
      <c r="G1357">
        <f>Q1357=ROUND(1346*0.3,10)</f>
        <v/>
      </c>
      <c r="H1357">
        <f>R1357=ROUND(1346*0.05,10)</f>
        <v/>
      </c>
      <c r="I1357">
        <f>S1357=ROUND(1346*0.01,10)</f>
        <v/>
      </c>
      <c r="J1357">
        <f>T1357=ROUND(1346*0.7,10)</f>
        <v/>
      </c>
      <c r="K1357">
        <f>U1357=ROUND(1346*1.1,10)</f>
        <v/>
      </c>
      <c r="L1357">
        <f>V1357=ROUND(1346*0.25,10)</f>
        <v/>
      </c>
      <c r="M1357">
        <f>W1357=ROUND(1346*0.5,10)</f>
        <v/>
      </c>
      <c r="O1357">
        <f>O1356+0.1</f>
        <v/>
      </c>
      <c r="P1357">
        <f>P1356+0.2</f>
        <v/>
      </c>
      <c r="Q1357">
        <f>Q1356+0.3</f>
        <v/>
      </c>
      <c r="R1357">
        <f>R1356+0.05</f>
        <v/>
      </c>
      <c r="S1357">
        <f>S1356+0.01</f>
        <v/>
      </c>
      <c r="T1357">
        <f>T1356+0.7</f>
        <v/>
      </c>
      <c r="U1357">
        <f>U1356+1.1</f>
        <v/>
      </c>
      <c r="V1357">
        <f>V1356+0.25</f>
        <v/>
      </c>
      <c r="W1357">
        <f>W1356+0.5</f>
        <v/>
      </c>
    </row>
    <row r="1358">
      <c r="E1358">
        <f>O1358=ROUND(1347*0.1,10)</f>
        <v/>
      </c>
      <c r="F1358">
        <f>P1358=ROUND(1347*0.2,10)</f>
        <v/>
      </c>
      <c r="G1358">
        <f>Q1358=ROUND(1347*0.3,10)</f>
        <v/>
      </c>
      <c r="H1358">
        <f>R1358=ROUND(1347*0.05,10)</f>
        <v/>
      </c>
      <c r="I1358">
        <f>S1358=ROUND(1347*0.01,10)</f>
        <v/>
      </c>
      <c r="J1358">
        <f>T1358=ROUND(1347*0.7,10)</f>
        <v/>
      </c>
      <c r="K1358">
        <f>U1358=ROUND(1347*1.1,10)</f>
        <v/>
      </c>
      <c r="L1358">
        <f>V1358=ROUND(1347*0.25,10)</f>
        <v/>
      </c>
      <c r="M1358">
        <f>W1358=ROUND(1347*0.5,10)</f>
        <v/>
      </c>
      <c r="O1358">
        <f>O1357+0.1</f>
        <v/>
      </c>
      <c r="P1358">
        <f>P1357+0.2</f>
        <v/>
      </c>
      <c r="Q1358">
        <f>Q1357+0.3</f>
        <v/>
      </c>
      <c r="R1358">
        <f>R1357+0.05</f>
        <v/>
      </c>
      <c r="S1358">
        <f>S1357+0.01</f>
        <v/>
      </c>
      <c r="T1358">
        <f>T1357+0.7</f>
        <v/>
      </c>
      <c r="U1358">
        <f>U1357+1.1</f>
        <v/>
      </c>
      <c r="V1358">
        <f>V1357+0.25</f>
        <v/>
      </c>
      <c r="W1358">
        <f>W1357+0.5</f>
        <v/>
      </c>
    </row>
    <row r="1359">
      <c r="E1359">
        <f>O1359=ROUND(1348*0.1,10)</f>
        <v/>
      </c>
      <c r="F1359">
        <f>P1359=ROUND(1348*0.2,10)</f>
        <v/>
      </c>
      <c r="G1359">
        <f>Q1359=ROUND(1348*0.3,10)</f>
        <v/>
      </c>
      <c r="H1359">
        <f>R1359=ROUND(1348*0.05,10)</f>
        <v/>
      </c>
      <c r="I1359">
        <f>S1359=ROUND(1348*0.01,10)</f>
        <v/>
      </c>
      <c r="J1359">
        <f>T1359=ROUND(1348*0.7,10)</f>
        <v/>
      </c>
      <c r="K1359">
        <f>U1359=ROUND(1348*1.1,10)</f>
        <v/>
      </c>
      <c r="L1359">
        <f>V1359=ROUND(1348*0.25,10)</f>
        <v/>
      </c>
      <c r="M1359">
        <f>W1359=ROUND(1348*0.5,10)</f>
        <v/>
      </c>
      <c r="O1359">
        <f>O1358+0.1</f>
        <v/>
      </c>
      <c r="P1359">
        <f>P1358+0.2</f>
        <v/>
      </c>
      <c r="Q1359">
        <f>Q1358+0.3</f>
        <v/>
      </c>
      <c r="R1359">
        <f>R1358+0.05</f>
        <v/>
      </c>
      <c r="S1359">
        <f>S1358+0.01</f>
        <v/>
      </c>
      <c r="T1359">
        <f>T1358+0.7</f>
        <v/>
      </c>
      <c r="U1359">
        <f>U1358+1.1</f>
        <v/>
      </c>
      <c r="V1359">
        <f>V1358+0.25</f>
        <v/>
      </c>
      <c r="W1359">
        <f>W1358+0.5</f>
        <v/>
      </c>
    </row>
    <row r="1360">
      <c r="E1360">
        <f>O1360=ROUND(1349*0.1,10)</f>
        <v/>
      </c>
      <c r="F1360">
        <f>P1360=ROUND(1349*0.2,10)</f>
        <v/>
      </c>
      <c r="G1360">
        <f>Q1360=ROUND(1349*0.3,10)</f>
        <v/>
      </c>
      <c r="H1360">
        <f>R1360=ROUND(1349*0.05,10)</f>
        <v/>
      </c>
      <c r="I1360">
        <f>S1360=ROUND(1349*0.01,10)</f>
        <v/>
      </c>
      <c r="J1360">
        <f>T1360=ROUND(1349*0.7,10)</f>
        <v/>
      </c>
      <c r="K1360">
        <f>U1360=ROUND(1349*1.1,10)</f>
        <v/>
      </c>
      <c r="L1360">
        <f>V1360=ROUND(1349*0.25,10)</f>
        <v/>
      </c>
      <c r="M1360">
        <f>W1360=ROUND(1349*0.5,10)</f>
        <v/>
      </c>
      <c r="O1360">
        <f>O1359+0.1</f>
        <v/>
      </c>
      <c r="P1360">
        <f>P1359+0.2</f>
        <v/>
      </c>
      <c r="Q1360">
        <f>Q1359+0.3</f>
        <v/>
      </c>
      <c r="R1360">
        <f>R1359+0.05</f>
        <v/>
      </c>
      <c r="S1360">
        <f>S1359+0.01</f>
        <v/>
      </c>
      <c r="T1360">
        <f>T1359+0.7</f>
        <v/>
      </c>
      <c r="U1360">
        <f>U1359+1.1</f>
        <v/>
      </c>
      <c r="V1360">
        <f>V1359+0.25</f>
        <v/>
      </c>
      <c r="W1360">
        <f>W1359+0.5</f>
        <v/>
      </c>
    </row>
    <row r="1361">
      <c r="E1361">
        <f>O1361=ROUND(1350*0.1,10)</f>
        <v/>
      </c>
      <c r="F1361">
        <f>P1361=ROUND(1350*0.2,10)</f>
        <v/>
      </c>
      <c r="G1361">
        <f>Q1361=ROUND(1350*0.3,10)</f>
        <v/>
      </c>
      <c r="H1361">
        <f>R1361=ROUND(1350*0.05,10)</f>
        <v/>
      </c>
      <c r="I1361">
        <f>S1361=ROUND(1350*0.01,10)</f>
        <v/>
      </c>
      <c r="J1361">
        <f>T1361=ROUND(1350*0.7,10)</f>
        <v/>
      </c>
      <c r="K1361">
        <f>U1361=ROUND(1350*1.1,10)</f>
        <v/>
      </c>
      <c r="L1361">
        <f>V1361=ROUND(1350*0.25,10)</f>
        <v/>
      </c>
      <c r="M1361">
        <f>W1361=ROUND(1350*0.5,10)</f>
        <v/>
      </c>
      <c r="O1361">
        <f>O1360+0.1</f>
        <v/>
      </c>
      <c r="P1361">
        <f>P1360+0.2</f>
        <v/>
      </c>
      <c r="Q1361">
        <f>Q1360+0.3</f>
        <v/>
      </c>
      <c r="R1361">
        <f>R1360+0.05</f>
        <v/>
      </c>
      <c r="S1361">
        <f>S1360+0.01</f>
        <v/>
      </c>
      <c r="T1361">
        <f>T1360+0.7</f>
        <v/>
      </c>
      <c r="U1361">
        <f>U1360+1.1</f>
        <v/>
      </c>
      <c r="V1361">
        <f>V1360+0.25</f>
        <v/>
      </c>
      <c r="W1361">
        <f>W1360+0.5</f>
        <v/>
      </c>
    </row>
    <row r="1362">
      <c r="E1362">
        <f>O1362=ROUND(1351*0.1,10)</f>
        <v/>
      </c>
      <c r="F1362">
        <f>P1362=ROUND(1351*0.2,10)</f>
        <v/>
      </c>
      <c r="G1362">
        <f>Q1362=ROUND(1351*0.3,10)</f>
        <v/>
      </c>
      <c r="H1362">
        <f>R1362=ROUND(1351*0.05,10)</f>
        <v/>
      </c>
      <c r="I1362">
        <f>S1362=ROUND(1351*0.01,10)</f>
        <v/>
      </c>
      <c r="J1362">
        <f>T1362=ROUND(1351*0.7,10)</f>
        <v/>
      </c>
      <c r="K1362">
        <f>U1362=ROUND(1351*1.1,10)</f>
        <v/>
      </c>
      <c r="L1362">
        <f>V1362=ROUND(1351*0.25,10)</f>
        <v/>
      </c>
      <c r="M1362">
        <f>W1362=ROUND(1351*0.5,10)</f>
        <v/>
      </c>
      <c r="O1362">
        <f>O1361+0.1</f>
        <v/>
      </c>
      <c r="P1362">
        <f>P1361+0.2</f>
        <v/>
      </c>
      <c r="Q1362">
        <f>Q1361+0.3</f>
        <v/>
      </c>
      <c r="R1362">
        <f>R1361+0.05</f>
        <v/>
      </c>
      <c r="S1362">
        <f>S1361+0.01</f>
        <v/>
      </c>
      <c r="T1362">
        <f>T1361+0.7</f>
        <v/>
      </c>
      <c r="U1362">
        <f>U1361+1.1</f>
        <v/>
      </c>
      <c r="V1362">
        <f>V1361+0.25</f>
        <v/>
      </c>
      <c r="W1362">
        <f>W1361+0.5</f>
        <v/>
      </c>
    </row>
    <row r="1363">
      <c r="E1363">
        <f>O1363=ROUND(1352*0.1,10)</f>
        <v/>
      </c>
      <c r="F1363">
        <f>P1363=ROUND(1352*0.2,10)</f>
        <v/>
      </c>
      <c r="G1363">
        <f>Q1363=ROUND(1352*0.3,10)</f>
        <v/>
      </c>
      <c r="H1363">
        <f>R1363=ROUND(1352*0.05,10)</f>
        <v/>
      </c>
      <c r="I1363">
        <f>S1363=ROUND(1352*0.01,10)</f>
        <v/>
      </c>
      <c r="J1363">
        <f>T1363=ROUND(1352*0.7,10)</f>
        <v/>
      </c>
      <c r="K1363">
        <f>U1363=ROUND(1352*1.1,10)</f>
        <v/>
      </c>
      <c r="L1363">
        <f>V1363=ROUND(1352*0.25,10)</f>
        <v/>
      </c>
      <c r="M1363">
        <f>W1363=ROUND(1352*0.5,10)</f>
        <v/>
      </c>
      <c r="O1363">
        <f>O1362+0.1</f>
        <v/>
      </c>
      <c r="P1363">
        <f>P1362+0.2</f>
        <v/>
      </c>
      <c r="Q1363">
        <f>Q1362+0.3</f>
        <v/>
      </c>
      <c r="R1363">
        <f>R1362+0.05</f>
        <v/>
      </c>
      <c r="S1363">
        <f>S1362+0.01</f>
        <v/>
      </c>
      <c r="T1363">
        <f>T1362+0.7</f>
        <v/>
      </c>
      <c r="U1363">
        <f>U1362+1.1</f>
        <v/>
      </c>
      <c r="V1363">
        <f>V1362+0.25</f>
        <v/>
      </c>
      <c r="W1363">
        <f>W1362+0.5</f>
        <v/>
      </c>
    </row>
    <row r="1364">
      <c r="E1364">
        <f>O1364=ROUND(1353*0.1,10)</f>
        <v/>
      </c>
      <c r="F1364">
        <f>P1364=ROUND(1353*0.2,10)</f>
        <v/>
      </c>
      <c r="G1364">
        <f>Q1364=ROUND(1353*0.3,10)</f>
        <v/>
      </c>
      <c r="H1364">
        <f>R1364=ROUND(1353*0.05,10)</f>
        <v/>
      </c>
      <c r="I1364">
        <f>S1364=ROUND(1353*0.01,10)</f>
        <v/>
      </c>
      <c r="J1364">
        <f>T1364=ROUND(1353*0.7,10)</f>
        <v/>
      </c>
      <c r="K1364">
        <f>U1364=ROUND(1353*1.1,10)</f>
        <v/>
      </c>
      <c r="L1364">
        <f>V1364=ROUND(1353*0.25,10)</f>
        <v/>
      </c>
      <c r="M1364">
        <f>W1364=ROUND(1353*0.5,10)</f>
        <v/>
      </c>
      <c r="O1364">
        <f>O1363+0.1</f>
        <v/>
      </c>
      <c r="P1364">
        <f>P1363+0.2</f>
        <v/>
      </c>
      <c r="Q1364">
        <f>Q1363+0.3</f>
        <v/>
      </c>
      <c r="R1364">
        <f>R1363+0.05</f>
        <v/>
      </c>
      <c r="S1364">
        <f>S1363+0.01</f>
        <v/>
      </c>
      <c r="T1364">
        <f>T1363+0.7</f>
        <v/>
      </c>
      <c r="U1364">
        <f>U1363+1.1</f>
        <v/>
      </c>
      <c r="V1364">
        <f>V1363+0.25</f>
        <v/>
      </c>
      <c r="W1364">
        <f>W1363+0.5</f>
        <v/>
      </c>
    </row>
    <row r="1365">
      <c r="E1365">
        <f>O1365=ROUND(1354*0.1,10)</f>
        <v/>
      </c>
      <c r="F1365">
        <f>P1365=ROUND(1354*0.2,10)</f>
        <v/>
      </c>
      <c r="G1365">
        <f>Q1365=ROUND(1354*0.3,10)</f>
        <v/>
      </c>
      <c r="H1365">
        <f>R1365=ROUND(1354*0.05,10)</f>
        <v/>
      </c>
      <c r="I1365">
        <f>S1365=ROUND(1354*0.01,10)</f>
        <v/>
      </c>
      <c r="J1365">
        <f>T1365=ROUND(1354*0.7,10)</f>
        <v/>
      </c>
      <c r="K1365">
        <f>U1365=ROUND(1354*1.1,10)</f>
        <v/>
      </c>
      <c r="L1365">
        <f>V1365=ROUND(1354*0.25,10)</f>
        <v/>
      </c>
      <c r="M1365">
        <f>W1365=ROUND(1354*0.5,10)</f>
        <v/>
      </c>
      <c r="O1365">
        <f>O1364+0.1</f>
        <v/>
      </c>
      <c r="P1365">
        <f>P1364+0.2</f>
        <v/>
      </c>
      <c r="Q1365">
        <f>Q1364+0.3</f>
        <v/>
      </c>
      <c r="R1365">
        <f>R1364+0.05</f>
        <v/>
      </c>
      <c r="S1365">
        <f>S1364+0.01</f>
        <v/>
      </c>
      <c r="T1365">
        <f>T1364+0.7</f>
        <v/>
      </c>
      <c r="U1365">
        <f>U1364+1.1</f>
        <v/>
      </c>
      <c r="V1365">
        <f>V1364+0.25</f>
        <v/>
      </c>
      <c r="W1365">
        <f>W1364+0.5</f>
        <v/>
      </c>
    </row>
    <row r="1366">
      <c r="E1366">
        <f>O1366=ROUND(1355*0.1,10)</f>
        <v/>
      </c>
      <c r="F1366">
        <f>P1366=ROUND(1355*0.2,10)</f>
        <v/>
      </c>
      <c r="G1366">
        <f>Q1366=ROUND(1355*0.3,10)</f>
        <v/>
      </c>
      <c r="H1366">
        <f>R1366=ROUND(1355*0.05,10)</f>
        <v/>
      </c>
      <c r="I1366">
        <f>S1366=ROUND(1355*0.01,10)</f>
        <v/>
      </c>
      <c r="J1366">
        <f>T1366=ROUND(1355*0.7,10)</f>
        <v/>
      </c>
      <c r="K1366">
        <f>U1366=ROUND(1355*1.1,10)</f>
        <v/>
      </c>
      <c r="L1366">
        <f>V1366=ROUND(1355*0.25,10)</f>
        <v/>
      </c>
      <c r="M1366">
        <f>W1366=ROUND(1355*0.5,10)</f>
        <v/>
      </c>
      <c r="O1366">
        <f>O1365+0.1</f>
        <v/>
      </c>
      <c r="P1366">
        <f>P1365+0.2</f>
        <v/>
      </c>
      <c r="Q1366">
        <f>Q1365+0.3</f>
        <v/>
      </c>
      <c r="R1366">
        <f>R1365+0.05</f>
        <v/>
      </c>
      <c r="S1366">
        <f>S1365+0.01</f>
        <v/>
      </c>
      <c r="T1366">
        <f>T1365+0.7</f>
        <v/>
      </c>
      <c r="U1366">
        <f>U1365+1.1</f>
        <v/>
      </c>
      <c r="V1366">
        <f>V1365+0.25</f>
        <v/>
      </c>
      <c r="W1366">
        <f>W1365+0.5</f>
        <v/>
      </c>
    </row>
    <row r="1367">
      <c r="E1367">
        <f>O1367=ROUND(1356*0.1,10)</f>
        <v/>
      </c>
      <c r="F1367">
        <f>P1367=ROUND(1356*0.2,10)</f>
        <v/>
      </c>
      <c r="G1367">
        <f>Q1367=ROUND(1356*0.3,10)</f>
        <v/>
      </c>
      <c r="H1367">
        <f>R1367=ROUND(1356*0.05,10)</f>
        <v/>
      </c>
      <c r="I1367">
        <f>S1367=ROUND(1356*0.01,10)</f>
        <v/>
      </c>
      <c r="J1367">
        <f>T1367=ROUND(1356*0.7,10)</f>
        <v/>
      </c>
      <c r="K1367">
        <f>U1367=ROUND(1356*1.1,10)</f>
        <v/>
      </c>
      <c r="L1367">
        <f>V1367=ROUND(1356*0.25,10)</f>
        <v/>
      </c>
      <c r="M1367">
        <f>W1367=ROUND(1356*0.5,10)</f>
        <v/>
      </c>
      <c r="O1367">
        <f>O1366+0.1</f>
        <v/>
      </c>
      <c r="P1367">
        <f>P1366+0.2</f>
        <v/>
      </c>
      <c r="Q1367">
        <f>Q1366+0.3</f>
        <v/>
      </c>
      <c r="R1367">
        <f>R1366+0.05</f>
        <v/>
      </c>
      <c r="S1367">
        <f>S1366+0.01</f>
        <v/>
      </c>
      <c r="T1367">
        <f>T1366+0.7</f>
        <v/>
      </c>
      <c r="U1367">
        <f>U1366+1.1</f>
        <v/>
      </c>
      <c r="V1367">
        <f>V1366+0.25</f>
        <v/>
      </c>
      <c r="W1367">
        <f>W1366+0.5</f>
        <v/>
      </c>
    </row>
    <row r="1368">
      <c r="E1368">
        <f>O1368=ROUND(1357*0.1,10)</f>
        <v/>
      </c>
      <c r="F1368">
        <f>P1368=ROUND(1357*0.2,10)</f>
        <v/>
      </c>
      <c r="G1368">
        <f>Q1368=ROUND(1357*0.3,10)</f>
        <v/>
      </c>
      <c r="H1368">
        <f>R1368=ROUND(1357*0.05,10)</f>
        <v/>
      </c>
      <c r="I1368">
        <f>S1368=ROUND(1357*0.01,10)</f>
        <v/>
      </c>
      <c r="J1368">
        <f>T1368=ROUND(1357*0.7,10)</f>
        <v/>
      </c>
      <c r="K1368">
        <f>U1368=ROUND(1357*1.1,10)</f>
        <v/>
      </c>
      <c r="L1368">
        <f>V1368=ROUND(1357*0.25,10)</f>
        <v/>
      </c>
      <c r="M1368">
        <f>W1368=ROUND(1357*0.5,10)</f>
        <v/>
      </c>
      <c r="O1368">
        <f>O1367+0.1</f>
        <v/>
      </c>
      <c r="P1368">
        <f>P1367+0.2</f>
        <v/>
      </c>
      <c r="Q1368">
        <f>Q1367+0.3</f>
        <v/>
      </c>
      <c r="R1368">
        <f>R1367+0.05</f>
        <v/>
      </c>
      <c r="S1368">
        <f>S1367+0.01</f>
        <v/>
      </c>
      <c r="T1368">
        <f>T1367+0.7</f>
        <v/>
      </c>
      <c r="U1368">
        <f>U1367+1.1</f>
        <v/>
      </c>
      <c r="V1368">
        <f>V1367+0.25</f>
        <v/>
      </c>
      <c r="W1368">
        <f>W1367+0.5</f>
        <v/>
      </c>
    </row>
    <row r="1369">
      <c r="E1369">
        <f>O1369=ROUND(1358*0.1,10)</f>
        <v/>
      </c>
      <c r="F1369">
        <f>P1369=ROUND(1358*0.2,10)</f>
        <v/>
      </c>
      <c r="G1369">
        <f>Q1369=ROUND(1358*0.3,10)</f>
        <v/>
      </c>
      <c r="H1369">
        <f>R1369=ROUND(1358*0.05,10)</f>
        <v/>
      </c>
      <c r="I1369">
        <f>S1369=ROUND(1358*0.01,10)</f>
        <v/>
      </c>
      <c r="J1369">
        <f>T1369=ROUND(1358*0.7,10)</f>
        <v/>
      </c>
      <c r="K1369">
        <f>U1369=ROUND(1358*1.1,10)</f>
        <v/>
      </c>
      <c r="L1369">
        <f>V1369=ROUND(1358*0.25,10)</f>
        <v/>
      </c>
      <c r="M1369">
        <f>W1369=ROUND(1358*0.5,10)</f>
        <v/>
      </c>
      <c r="O1369">
        <f>O1368+0.1</f>
        <v/>
      </c>
      <c r="P1369">
        <f>P1368+0.2</f>
        <v/>
      </c>
      <c r="Q1369">
        <f>Q1368+0.3</f>
        <v/>
      </c>
      <c r="R1369">
        <f>R1368+0.05</f>
        <v/>
      </c>
      <c r="S1369">
        <f>S1368+0.01</f>
        <v/>
      </c>
      <c r="T1369">
        <f>T1368+0.7</f>
        <v/>
      </c>
      <c r="U1369">
        <f>U1368+1.1</f>
        <v/>
      </c>
      <c r="V1369">
        <f>V1368+0.25</f>
        <v/>
      </c>
      <c r="W1369">
        <f>W1368+0.5</f>
        <v/>
      </c>
    </row>
    <row r="1370">
      <c r="E1370">
        <f>O1370=ROUND(1359*0.1,10)</f>
        <v/>
      </c>
      <c r="F1370">
        <f>P1370=ROUND(1359*0.2,10)</f>
        <v/>
      </c>
      <c r="G1370">
        <f>Q1370=ROUND(1359*0.3,10)</f>
        <v/>
      </c>
      <c r="H1370">
        <f>R1370=ROUND(1359*0.05,10)</f>
        <v/>
      </c>
      <c r="I1370">
        <f>S1370=ROUND(1359*0.01,10)</f>
        <v/>
      </c>
      <c r="J1370">
        <f>T1370=ROUND(1359*0.7,10)</f>
        <v/>
      </c>
      <c r="K1370">
        <f>U1370=ROUND(1359*1.1,10)</f>
        <v/>
      </c>
      <c r="L1370">
        <f>V1370=ROUND(1359*0.25,10)</f>
        <v/>
      </c>
      <c r="M1370">
        <f>W1370=ROUND(1359*0.5,10)</f>
        <v/>
      </c>
      <c r="O1370">
        <f>O1369+0.1</f>
        <v/>
      </c>
      <c r="P1370">
        <f>P1369+0.2</f>
        <v/>
      </c>
      <c r="Q1370">
        <f>Q1369+0.3</f>
        <v/>
      </c>
      <c r="R1370">
        <f>R1369+0.05</f>
        <v/>
      </c>
      <c r="S1370">
        <f>S1369+0.01</f>
        <v/>
      </c>
      <c r="T1370">
        <f>T1369+0.7</f>
        <v/>
      </c>
      <c r="U1370">
        <f>U1369+1.1</f>
        <v/>
      </c>
      <c r="V1370">
        <f>V1369+0.25</f>
        <v/>
      </c>
      <c r="W1370">
        <f>W1369+0.5</f>
        <v/>
      </c>
    </row>
    <row r="1371">
      <c r="E1371">
        <f>O1371=ROUND(1360*0.1,10)</f>
        <v/>
      </c>
      <c r="F1371">
        <f>P1371=ROUND(1360*0.2,10)</f>
        <v/>
      </c>
      <c r="G1371">
        <f>Q1371=ROUND(1360*0.3,10)</f>
        <v/>
      </c>
      <c r="H1371">
        <f>R1371=ROUND(1360*0.05,10)</f>
        <v/>
      </c>
      <c r="I1371">
        <f>S1371=ROUND(1360*0.01,10)</f>
        <v/>
      </c>
      <c r="J1371">
        <f>T1371=ROUND(1360*0.7,10)</f>
        <v/>
      </c>
      <c r="K1371">
        <f>U1371=ROUND(1360*1.1,10)</f>
        <v/>
      </c>
      <c r="L1371">
        <f>V1371=ROUND(1360*0.25,10)</f>
        <v/>
      </c>
      <c r="M1371">
        <f>W1371=ROUND(1360*0.5,10)</f>
        <v/>
      </c>
      <c r="O1371">
        <f>O1370+0.1</f>
        <v/>
      </c>
      <c r="P1371">
        <f>P1370+0.2</f>
        <v/>
      </c>
      <c r="Q1371">
        <f>Q1370+0.3</f>
        <v/>
      </c>
      <c r="R1371">
        <f>R1370+0.05</f>
        <v/>
      </c>
      <c r="S1371">
        <f>S1370+0.01</f>
        <v/>
      </c>
      <c r="T1371">
        <f>T1370+0.7</f>
        <v/>
      </c>
      <c r="U1371">
        <f>U1370+1.1</f>
        <v/>
      </c>
      <c r="V1371">
        <f>V1370+0.25</f>
        <v/>
      </c>
      <c r="W1371">
        <f>W1370+0.5</f>
        <v/>
      </c>
    </row>
    <row r="1372">
      <c r="E1372">
        <f>O1372=ROUND(1361*0.1,10)</f>
        <v/>
      </c>
      <c r="F1372">
        <f>P1372=ROUND(1361*0.2,10)</f>
        <v/>
      </c>
      <c r="G1372">
        <f>Q1372=ROUND(1361*0.3,10)</f>
        <v/>
      </c>
      <c r="H1372">
        <f>R1372=ROUND(1361*0.05,10)</f>
        <v/>
      </c>
      <c r="I1372">
        <f>S1372=ROUND(1361*0.01,10)</f>
        <v/>
      </c>
      <c r="J1372">
        <f>T1372=ROUND(1361*0.7,10)</f>
        <v/>
      </c>
      <c r="K1372">
        <f>U1372=ROUND(1361*1.1,10)</f>
        <v/>
      </c>
      <c r="L1372">
        <f>V1372=ROUND(1361*0.25,10)</f>
        <v/>
      </c>
      <c r="M1372">
        <f>W1372=ROUND(1361*0.5,10)</f>
        <v/>
      </c>
      <c r="O1372">
        <f>O1371+0.1</f>
        <v/>
      </c>
      <c r="P1372">
        <f>P1371+0.2</f>
        <v/>
      </c>
      <c r="Q1372">
        <f>Q1371+0.3</f>
        <v/>
      </c>
      <c r="R1372">
        <f>R1371+0.05</f>
        <v/>
      </c>
      <c r="S1372">
        <f>S1371+0.01</f>
        <v/>
      </c>
      <c r="T1372">
        <f>T1371+0.7</f>
        <v/>
      </c>
      <c r="U1372">
        <f>U1371+1.1</f>
        <v/>
      </c>
      <c r="V1372">
        <f>V1371+0.25</f>
        <v/>
      </c>
      <c r="W1372">
        <f>W1371+0.5</f>
        <v/>
      </c>
    </row>
    <row r="1373">
      <c r="E1373">
        <f>O1373=ROUND(1362*0.1,10)</f>
        <v/>
      </c>
      <c r="F1373">
        <f>P1373=ROUND(1362*0.2,10)</f>
        <v/>
      </c>
      <c r="G1373">
        <f>Q1373=ROUND(1362*0.3,10)</f>
        <v/>
      </c>
      <c r="H1373">
        <f>R1373=ROUND(1362*0.05,10)</f>
        <v/>
      </c>
      <c r="I1373">
        <f>S1373=ROUND(1362*0.01,10)</f>
        <v/>
      </c>
      <c r="J1373">
        <f>T1373=ROUND(1362*0.7,10)</f>
        <v/>
      </c>
      <c r="K1373">
        <f>U1373=ROUND(1362*1.1,10)</f>
        <v/>
      </c>
      <c r="L1373">
        <f>V1373=ROUND(1362*0.25,10)</f>
        <v/>
      </c>
      <c r="M1373">
        <f>W1373=ROUND(1362*0.5,10)</f>
        <v/>
      </c>
      <c r="O1373">
        <f>O1372+0.1</f>
        <v/>
      </c>
      <c r="P1373">
        <f>P1372+0.2</f>
        <v/>
      </c>
      <c r="Q1373">
        <f>Q1372+0.3</f>
        <v/>
      </c>
      <c r="R1373">
        <f>R1372+0.05</f>
        <v/>
      </c>
      <c r="S1373">
        <f>S1372+0.01</f>
        <v/>
      </c>
      <c r="T1373">
        <f>T1372+0.7</f>
        <v/>
      </c>
      <c r="U1373">
        <f>U1372+1.1</f>
        <v/>
      </c>
      <c r="V1373">
        <f>V1372+0.25</f>
        <v/>
      </c>
      <c r="W1373">
        <f>W1372+0.5</f>
        <v/>
      </c>
    </row>
    <row r="1374">
      <c r="E1374">
        <f>O1374=ROUND(1363*0.1,10)</f>
        <v/>
      </c>
      <c r="F1374">
        <f>P1374=ROUND(1363*0.2,10)</f>
        <v/>
      </c>
      <c r="G1374">
        <f>Q1374=ROUND(1363*0.3,10)</f>
        <v/>
      </c>
      <c r="H1374">
        <f>R1374=ROUND(1363*0.05,10)</f>
        <v/>
      </c>
      <c r="I1374">
        <f>S1374=ROUND(1363*0.01,10)</f>
        <v/>
      </c>
      <c r="J1374">
        <f>T1374=ROUND(1363*0.7,10)</f>
        <v/>
      </c>
      <c r="K1374">
        <f>U1374=ROUND(1363*1.1,10)</f>
        <v/>
      </c>
      <c r="L1374">
        <f>V1374=ROUND(1363*0.25,10)</f>
        <v/>
      </c>
      <c r="M1374">
        <f>W1374=ROUND(1363*0.5,10)</f>
        <v/>
      </c>
      <c r="O1374">
        <f>O1373+0.1</f>
        <v/>
      </c>
      <c r="P1374">
        <f>P1373+0.2</f>
        <v/>
      </c>
      <c r="Q1374">
        <f>Q1373+0.3</f>
        <v/>
      </c>
      <c r="R1374">
        <f>R1373+0.05</f>
        <v/>
      </c>
      <c r="S1374">
        <f>S1373+0.01</f>
        <v/>
      </c>
      <c r="T1374">
        <f>T1373+0.7</f>
        <v/>
      </c>
      <c r="U1374">
        <f>U1373+1.1</f>
        <v/>
      </c>
      <c r="V1374">
        <f>V1373+0.25</f>
        <v/>
      </c>
      <c r="W1374">
        <f>W1373+0.5</f>
        <v/>
      </c>
    </row>
    <row r="1375">
      <c r="E1375">
        <f>O1375=ROUND(1364*0.1,10)</f>
        <v/>
      </c>
      <c r="F1375">
        <f>P1375=ROUND(1364*0.2,10)</f>
        <v/>
      </c>
      <c r="G1375">
        <f>Q1375=ROUND(1364*0.3,10)</f>
        <v/>
      </c>
      <c r="H1375">
        <f>R1375=ROUND(1364*0.05,10)</f>
        <v/>
      </c>
      <c r="I1375">
        <f>S1375=ROUND(1364*0.01,10)</f>
        <v/>
      </c>
      <c r="J1375">
        <f>T1375=ROUND(1364*0.7,10)</f>
        <v/>
      </c>
      <c r="K1375">
        <f>U1375=ROUND(1364*1.1,10)</f>
        <v/>
      </c>
      <c r="L1375">
        <f>V1375=ROUND(1364*0.25,10)</f>
        <v/>
      </c>
      <c r="M1375">
        <f>W1375=ROUND(1364*0.5,10)</f>
        <v/>
      </c>
      <c r="O1375">
        <f>O1374+0.1</f>
        <v/>
      </c>
      <c r="P1375">
        <f>P1374+0.2</f>
        <v/>
      </c>
      <c r="Q1375">
        <f>Q1374+0.3</f>
        <v/>
      </c>
      <c r="R1375">
        <f>R1374+0.05</f>
        <v/>
      </c>
      <c r="S1375">
        <f>S1374+0.01</f>
        <v/>
      </c>
      <c r="T1375">
        <f>T1374+0.7</f>
        <v/>
      </c>
      <c r="U1375">
        <f>U1374+1.1</f>
        <v/>
      </c>
      <c r="V1375">
        <f>V1374+0.25</f>
        <v/>
      </c>
      <c r="W1375">
        <f>W1374+0.5</f>
        <v/>
      </c>
    </row>
    <row r="1376">
      <c r="E1376">
        <f>O1376=ROUND(1365*0.1,10)</f>
        <v/>
      </c>
      <c r="F1376">
        <f>P1376=ROUND(1365*0.2,10)</f>
        <v/>
      </c>
      <c r="G1376">
        <f>Q1376=ROUND(1365*0.3,10)</f>
        <v/>
      </c>
      <c r="H1376">
        <f>R1376=ROUND(1365*0.05,10)</f>
        <v/>
      </c>
      <c r="I1376">
        <f>S1376=ROUND(1365*0.01,10)</f>
        <v/>
      </c>
      <c r="J1376">
        <f>T1376=ROUND(1365*0.7,10)</f>
        <v/>
      </c>
      <c r="K1376">
        <f>U1376=ROUND(1365*1.1,10)</f>
        <v/>
      </c>
      <c r="L1376">
        <f>V1376=ROUND(1365*0.25,10)</f>
        <v/>
      </c>
      <c r="M1376">
        <f>W1376=ROUND(1365*0.5,10)</f>
        <v/>
      </c>
      <c r="O1376">
        <f>O1375+0.1</f>
        <v/>
      </c>
      <c r="P1376">
        <f>P1375+0.2</f>
        <v/>
      </c>
      <c r="Q1376">
        <f>Q1375+0.3</f>
        <v/>
      </c>
      <c r="R1376">
        <f>R1375+0.05</f>
        <v/>
      </c>
      <c r="S1376">
        <f>S1375+0.01</f>
        <v/>
      </c>
      <c r="T1376">
        <f>T1375+0.7</f>
        <v/>
      </c>
      <c r="U1376">
        <f>U1375+1.1</f>
        <v/>
      </c>
      <c r="V1376">
        <f>V1375+0.25</f>
        <v/>
      </c>
      <c r="W1376">
        <f>W1375+0.5</f>
        <v/>
      </c>
    </row>
    <row r="1377">
      <c r="E1377">
        <f>O1377=ROUND(1366*0.1,10)</f>
        <v/>
      </c>
      <c r="F1377">
        <f>P1377=ROUND(1366*0.2,10)</f>
        <v/>
      </c>
      <c r="G1377">
        <f>Q1377=ROUND(1366*0.3,10)</f>
        <v/>
      </c>
      <c r="H1377">
        <f>R1377=ROUND(1366*0.05,10)</f>
        <v/>
      </c>
      <c r="I1377">
        <f>S1377=ROUND(1366*0.01,10)</f>
        <v/>
      </c>
      <c r="J1377">
        <f>T1377=ROUND(1366*0.7,10)</f>
        <v/>
      </c>
      <c r="K1377">
        <f>U1377=ROUND(1366*1.1,10)</f>
        <v/>
      </c>
      <c r="L1377">
        <f>V1377=ROUND(1366*0.25,10)</f>
        <v/>
      </c>
      <c r="M1377">
        <f>W1377=ROUND(1366*0.5,10)</f>
        <v/>
      </c>
      <c r="O1377">
        <f>O1376+0.1</f>
        <v/>
      </c>
      <c r="P1377">
        <f>P1376+0.2</f>
        <v/>
      </c>
      <c r="Q1377">
        <f>Q1376+0.3</f>
        <v/>
      </c>
      <c r="R1377">
        <f>R1376+0.05</f>
        <v/>
      </c>
      <c r="S1377">
        <f>S1376+0.01</f>
        <v/>
      </c>
      <c r="T1377">
        <f>T1376+0.7</f>
        <v/>
      </c>
      <c r="U1377">
        <f>U1376+1.1</f>
        <v/>
      </c>
      <c r="V1377">
        <f>V1376+0.25</f>
        <v/>
      </c>
      <c r="W1377">
        <f>W1376+0.5</f>
        <v/>
      </c>
    </row>
    <row r="1378">
      <c r="E1378">
        <f>O1378=ROUND(1367*0.1,10)</f>
        <v/>
      </c>
      <c r="F1378">
        <f>P1378=ROUND(1367*0.2,10)</f>
        <v/>
      </c>
      <c r="G1378">
        <f>Q1378=ROUND(1367*0.3,10)</f>
        <v/>
      </c>
      <c r="H1378">
        <f>R1378=ROUND(1367*0.05,10)</f>
        <v/>
      </c>
      <c r="I1378">
        <f>S1378=ROUND(1367*0.01,10)</f>
        <v/>
      </c>
      <c r="J1378">
        <f>T1378=ROUND(1367*0.7,10)</f>
        <v/>
      </c>
      <c r="K1378">
        <f>U1378=ROUND(1367*1.1,10)</f>
        <v/>
      </c>
      <c r="L1378">
        <f>V1378=ROUND(1367*0.25,10)</f>
        <v/>
      </c>
      <c r="M1378">
        <f>W1378=ROUND(1367*0.5,10)</f>
        <v/>
      </c>
      <c r="O1378">
        <f>O1377+0.1</f>
        <v/>
      </c>
      <c r="P1378">
        <f>P1377+0.2</f>
        <v/>
      </c>
      <c r="Q1378">
        <f>Q1377+0.3</f>
        <v/>
      </c>
      <c r="R1378">
        <f>R1377+0.05</f>
        <v/>
      </c>
      <c r="S1378">
        <f>S1377+0.01</f>
        <v/>
      </c>
      <c r="T1378">
        <f>T1377+0.7</f>
        <v/>
      </c>
      <c r="U1378">
        <f>U1377+1.1</f>
        <v/>
      </c>
      <c r="V1378">
        <f>V1377+0.25</f>
        <v/>
      </c>
      <c r="W1378">
        <f>W1377+0.5</f>
        <v/>
      </c>
    </row>
    <row r="1379">
      <c r="E1379">
        <f>O1379=ROUND(1368*0.1,10)</f>
        <v/>
      </c>
      <c r="F1379">
        <f>P1379=ROUND(1368*0.2,10)</f>
        <v/>
      </c>
      <c r="G1379">
        <f>Q1379=ROUND(1368*0.3,10)</f>
        <v/>
      </c>
      <c r="H1379">
        <f>R1379=ROUND(1368*0.05,10)</f>
        <v/>
      </c>
      <c r="I1379">
        <f>S1379=ROUND(1368*0.01,10)</f>
        <v/>
      </c>
      <c r="J1379">
        <f>T1379=ROUND(1368*0.7,10)</f>
        <v/>
      </c>
      <c r="K1379">
        <f>U1379=ROUND(1368*1.1,10)</f>
        <v/>
      </c>
      <c r="L1379">
        <f>V1379=ROUND(1368*0.25,10)</f>
        <v/>
      </c>
      <c r="M1379">
        <f>W1379=ROUND(1368*0.5,10)</f>
        <v/>
      </c>
      <c r="O1379">
        <f>O1378+0.1</f>
        <v/>
      </c>
      <c r="P1379">
        <f>P1378+0.2</f>
        <v/>
      </c>
      <c r="Q1379">
        <f>Q1378+0.3</f>
        <v/>
      </c>
      <c r="R1379">
        <f>R1378+0.05</f>
        <v/>
      </c>
      <c r="S1379">
        <f>S1378+0.01</f>
        <v/>
      </c>
      <c r="T1379">
        <f>T1378+0.7</f>
        <v/>
      </c>
      <c r="U1379">
        <f>U1378+1.1</f>
        <v/>
      </c>
      <c r="V1379">
        <f>V1378+0.25</f>
        <v/>
      </c>
      <c r="W1379">
        <f>W1378+0.5</f>
        <v/>
      </c>
    </row>
    <row r="1380">
      <c r="E1380">
        <f>O1380=ROUND(1369*0.1,10)</f>
        <v/>
      </c>
      <c r="F1380">
        <f>P1380=ROUND(1369*0.2,10)</f>
        <v/>
      </c>
      <c r="G1380">
        <f>Q1380=ROUND(1369*0.3,10)</f>
        <v/>
      </c>
      <c r="H1380">
        <f>R1380=ROUND(1369*0.05,10)</f>
        <v/>
      </c>
      <c r="I1380">
        <f>S1380=ROUND(1369*0.01,10)</f>
        <v/>
      </c>
      <c r="J1380">
        <f>T1380=ROUND(1369*0.7,10)</f>
        <v/>
      </c>
      <c r="K1380">
        <f>U1380=ROUND(1369*1.1,10)</f>
        <v/>
      </c>
      <c r="L1380">
        <f>V1380=ROUND(1369*0.25,10)</f>
        <v/>
      </c>
      <c r="M1380">
        <f>W1380=ROUND(1369*0.5,10)</f>
        <v/>
      </c>
      <c r="O1380">
        <f>O1379+0.1</f>
        <v/>
      </c>
      <c r="P1380">
        <f>P1379+0.2</f>
        <v/>
      </c>
      <c r="Q1380">
        <f>Q1379+0.3</f>
        <v/>
      </c>
      <c r="R1380">
        <f>R1379+0.05</f>
        <v/>
      </c>
      <c r="S1380">
        <f>S1379+0.01</f>
        <v/>
      </c>
      <c r="T1380">
        <f>T1379+0.7</f>
        <v/>
      </c>
      <c r="U1380">
        <f>U1379+1.1</f>
        <v/>
      </c>
      <c r="V1380">
        <f>V1379+0.25</f>
        <v/>
      </c>
      <c r="W1380">
        <f>W1379+0.5</f>
        <v/>
      </c>
    </row>
    <row r="1381">
      <c r="E1381">
        <f>O1381=ROUND(1370*0.1,10)</f>
        <v/>
      </c>
      <c r="F1381">
        <f>P1381=ROUND(1370*0.2,10)</f>
        <v/>
      </c>
      <c r="G1381">
        <f>Q1381=ROUND(1370*0.3,10)</f>
        <v/>
      </c>
      <c r="H1381">
        <f>R1381=ROUND(1370*0.05,10)</f>
        <v/>
      </c>
      <c r="I1381">
        <f>S1381=ROUND(1370*0.01,10)</f>
        <v/>
      </c>
      <c r="J1381">
        <f>T1381=ROUND(1370*0.7,10)</f>
        <v/>
      </c>
      <c r="K1381">
        <f>U1381=ROUND(1370*1.1,10)</f>
        <v/>
      </c>
      <c r="L1381">
        <f>V1381=ROUND(1370*0.25,10)</f>
        <v/>
      </c>
      <c r="M1381">
        <f>W1381=ROUND(1370*0.5,10)</f>
        <v/>
      </c>
      <c r="O1381">
        <f>O1380+0.1</f>
        <v/>
      </c>
      <c r="P1381">
        <f>P1380+0.2</f>
        <v/>
      </c>
      <c r="Q1381">
        <f>Q1380+0.3</f>
        <v/>
      </c>
      <c r="R1381">
        <f>R1380+0.05</f>
        <v/>
      </c>
      <c r="S1381">
        <f>S1380+0.01</f>
        <v/>
      </c>
      <c r="T1381">
        <f>T1380+0.7</f>
        <v/>
      </c>
      <c r="U1381">
        <f>U1380+1.1</f>
        <v/>
      </c>
      <c r="V1381">
        <f>V1380+0.25</f>
        <v/>
      </c>
      <c r="W1381">
        <f>W1380+0.5</f>
        <v/>
      </c>
    </row>
    <row r="1382">
      <c r="E1382">
        <f>O1382=ROUND(1371*0.1,10)</f>
        <v/>
      </c>
      <c r="F1382">
        <f>P1382=ROUND(1371*0.2,10)</f>
        <v/>
      </c>
      <c r="G1382">
        <f>Q1382=ROUND(1371*0.3,10)</f>
        <v/>
      </c>
      <c r="H1382">
        <f>R1382=ROUND(1371*0.05,10)</f>
        <v/>
      </c>
      <c r="I1382">
        <f>S1382=ROUND(1371*0.01,10)</f>
        <v/>
      </c>
      <c r="J1382">
        <f>T1382=ROUND(1371*0.7,10)</f>
        <v/>
      </c>
      <c r="K1382">
        <f>U1382=ROUND(1371*1.1,10)</f>
        <v/>
      </c>
      <c r="L1382">
        <f>V1382=ROUND(1371*0.25,10)</f>
        <v/>
      </c>
      <c r="M1382">
        <f>W1382=ROUND(1371*0.5,10)</f>
        <v/>
      </c>
      <c r="O1382">
        <f>O1381+0.1</f>
        <v/>
      </c>
      <c r="P1382">
        <f>P1381+0.2</f>
        <v/>
      </c>
      <c r="Q1382">
        <f>Q1381+0.3</f>
        <v/>
      </c>
      <c r="R1382">
        <f>R1381+0.05</f>
        <v/>
      </c>
      <c r="S1382">
        <f>S1381+0.01</f>
        <v/>
      </c>
      <c r="T1382">
        <f>T1381+0.7</f>
        <v/>
      </c>
      <c r="U1382">
        <f>U1381+1.1</f>
        <v/>
      </c>
      <c r="V1382">
        <f>V1381+0.25</f>
        <v/>
      </c>
      <c r="W1382">
        <f>W1381+0.5</f>
        <v/>
      </c>
    </row>
    <row r="1383">
      <c r="E1383">
        <f>O1383=ROUND(1372*0.1,10)</f>
        <v/>
      </c>
      <c r="F1383">
        <f>P1383=ROUND(1372*0.2,10)</f>
        <v/>
      </c>
      <c r="G1383">
        <f>Q1383=ROUND(1372*0.3,10)</f>
        <v/>
      </c>
      <c r="H1383">
        <f>R1383=ROUND(1372*0.05,10)</f>
        <v/>
      </c>
      <c r="I1383">
        <f>S1383=ROUND(1372*0.01,10)</f>
        <v/>
      </c>
      <c r="J1383">
        <f>T1383=ROUND(1372*0.7,10)</f>
        <v/>
      </c>
      <c r="K1383">
        <f>U1383=ROUND(1372*1.1,10)</f>
        <v/>
      </c>
      <c r="L1383">
        <f>V1383=ROUND(1372*0.25,10)</f>
        <v/>
      </c>
      <c r="M1383">
        <f>W1383=ROUND(1372*0.5,10)</f>
        <v/>
      </c>
      <c r="O1383">
        <f>O1382+0.1</f>
        <v/>
      </c>
      <c r="P1383">
        <f>P1382+0.2</f>
        <v/>
      </c>
      <c r="Q1383">
        <f>Q1382+0.3</f>
        <v/>
      </c>
      <c r="R1383">
        <f>R1382+0.05</f>
        <v/>
      </c>
      <c r="S1383">
        <f>S1382+0.01</f>
        <v/>
      </c>
      <c r="T1383">
        <f>T1382+0.7</f>
        <v/>
      </c>
      <c r="U1383">
        <f>U1382+1.1</f>
        <v/>
      </c>
      <c r="V1383">
        <f>V1382+0.25</f>
        <v/>
      </c>
      <c r="W1383">
        <f>W1382+0.5</f>
        <v/>
      </c>
    </row>
    <row r="1384">
      <c r="E1384">
        <f>O1384=ROUND(1373*0.1,10)</f>
        <v/>
      </c>
      <c r="F1384">
        <f>P1384=ROUND(1373*0.2,10)</f>
        <v/>
      </c>
      <c r="G1384">
        <f>Q1384=ROUND(1373*0.3,10)</f>
        <v/>
      </c>
      <c r="H1384">
        <f>R1384=ROUND(1373*0.05,10)</f>
        <v/>
      </c>
      <c r="I1384">
        <f>S1384=ROUND(1373*0.01,10)</f>
        <v/>
      </c>
      <c r="J1384">
        <f>T1384=ROUND(1373*0.7,10)</f>
        <v/>
      </c>
      <c r="K1384">
        <f>U1384=ROUND(1373*1.1,10)</f>
        <v/>
      </c>
      <c r="L1384">
        <f>V1384=ROUND(1373*0.25,10)</f>
        <v/>
      </c>
      <c r="M1384">
        <f>W1384=ROUND(1373*0.5,10)</f>
        <v/>
      </c>
      <c r="O1384">
        <f>O1383+0.1</f>
        <v/>
      </c>
      <c r="P1384">
        <f>P1383+0.2</f>
        <v/>
      </c>
      <c r="Q1384">
        <f>Q1383+0.3</f>
        <v/>
      </c>
      <c r="R1384">
        <f>R1383+0.05</f>
        <v/>
      </c>
      <c r="S1384">
        <f>S1383+0.01</f>
        <v/>
      </c>
      <c r="T1384">
        <f>T1383+0.7</f>
        <v/>
      </c>
      <c r="U1384">
        <f>U1383+1.1</f>
        <v/>
      </c>
      <c r="V1384">
        <f>V1383+0.25</f>
        <v/>
      </c>
      <c r="W1384">
        <f>W1383+0.5</f>
        <v/>
      </c>
    </row>
    <row r="1385">
      <c r="E1385">
        <f>O1385=ROUND(1374*0.1,10)</f>
        <v/>
      </c>
      <c r="F1385">
        <f>P1385=ROUND(1374*0.2,10)</f>
        <v/>
      </c>
      <c r="G1385">
        <f>Q1385=ROUND(1374*0.3,10)</f>
        <v/>
      </c>
      <c r="H1385">
        <f>R1385=ROUND(1374*0.05,10)</f>
        <v/>
      </c>
      <c r="I1385">
        <f>S1385=ROUND(1374*0.01,10)</f>
        <v/>
      </c>
      <c r="J1385">
        <f>T1385=ROUND(1374*0.7,10)</f>
        <v/>
      </c>
      <c r="K1385">
        <f>U1385=ROUND(1374*1.1,10)</f>
        <v/>
      </c>
      <c r="L1385">
        <f>V1385=ROUND(1374*0.25,10)</f>
        <v/>
      </c>
      <c r="M1385">
        <f>W1385=ROUND(1374*0.5,10)</f>
        <v/>
      </c>
      <c r="O1385">
        <f>O1384+0.1</f>
        <v/>
      </c>
      <c r="P1385">
        <f>P1384+0.2</f>
        <v/>
      </c>
      <c r="Q1385">
        <f>Q1384+0.3</f>
        <v/>
      </c>
      <c r="R1385">
        <f>R1384+0.05</f>
        <v/>
      </c>
      <c r="S1385">
        <f>S1384+0.01</f>
        <v/>
      </c>
      <c r="T1385">
        <f>T1384+0.7</f>
        <v/>
      </c>
      <c r="U1385">
        <f>U1384+1.1</f>
        <v/>
      </c>
      <c r="V1385">
        <f>V1384+0.25</f>
        <v/>
      </c>
      <c r="W1385">
        <f>W1384+0.5</f>
        <v/>
      </c>
    </row>
    <row r="1386">
      <c r="E1386">
        <f>O1386=ROUND(1375*0.1,10)</f>
        <v/>
      </c>
      <c r="F1386">
        <f>P1386=ROUND(1375*0.2,10)</f>
        <v/>
      </c>
      <c r="G1386">
        <f>Q1386=ROUND(1375*0.3,10)</f>
        <v/>
      </c>
      <c r="H1386">
        <f>R1386=ROUND(1375*0.05,10)</f>
        <v/>
      </c>
      <c r="I1386">
        <f>S1386=ROUND(1375*0.01,10)</f>
        <v/>
      </c>
      <c r="J1386">
        <f>T1386=ROUND(1375*0.7,10)</f>
        <v/>
      </c>
      <c r="K1386">
        <f>U1386=ROUND(1375*1.1,10)</f>
        <v/>
      </c>
      <c r="L1386">
        <f>V1386=ROUND(1375*0.25,10)</f>
        <v/>
      </c>
      <c r="M1386">
        <f>W1386=ROUND(1375*0.5,10)</f>
        <v/>
      </c>
      <c r="O1386">
        <f>O1385+0.1</f>
        <v/>
      </c>
      <c r="P1386">
        <f>P1385+0.2</f>
        <v/>
      </c>
      <c r="Q1386">
        <f>Q1385+0.3</f>
        <v/>
      </c>
      <c r="R1386">
        <f>R1385+0.05</f>
        <v/>
      </c>
      <c r="S1386">
        <f>S1385+0.01</f>
        <v/>
      </c>
      <c r="T1386">
        <f>T1385+0.7</f>
        <v/>
      </c>
      <c r="U1386">
        <f>U1385+1.1</f>
        <v/>
      </c>
      <c r="V1386">
        <f>V1385+0.25</f>
        <v/>
      </c>
      <c r="W1386">
        <f>W1385+0.5</f>
        <v/>
      </c>
    </row>
    <row r="1387">
      <c r="E1387">
        <f>O1387=ROUND(1376*0.1,10)</f>
        <v/>
      </c>
      <c r="F1387">
        <f>P1387=ROUND(1376*0.2,10)</f>
        <v/>
      </c>
      <c r="G1387">
        <f>Q1387=ROUND(1376*0.3,10)</f>
        <v/>
      </c>
      <c r="H1387">
        <f>R1387=ROUND(1376*0.05,10)</f>
        <v/>
      </c>
      <c r="I1387">
        <f>S1387=ROUND(1376*0.01,10)</f>
        <v/>
      </c>
      <c r="J1387">
        <f>T1387=ROUND(1376*0.7,10)</f>
        <v/>
      </c>
      <c r="K1387">
        <f>U1387=ROUND(1376*1.1,10)</f>
        <v/>
      </c>
      <c r="L1387">
        <f>V1387=ROUND(1376*0.25,10)</f>
        <v/>
      </c>
      <c r="M1387">
        <f>W1387=ROUND(1376*0.5,10)</f>
        <v/>
      </c>
      <c r="O1387">
        <f>O1386+0.1</f>
        <v/>
      </c>
      <c r="P1387">
        <f>P1386+0.2</f>
        <v/>
      </c>
      <c r="Q1387">
        <f>Q1386+0.3</f>
        <v/>
      </c>
      <c r="R1387">
        <f>R1386+0.05</f>
        <v/>
      </c>
      <c r="S1387">
        <f>S1386+0.01</f>
        <v/>
      </c>
      <c r="T1387">
        <f>T1386+0.7</f>
        <v/>
      </c>
      <c r="U1387">
        <f>U1386+1.1</f>
        <v/>
      </c>
      <c r="V1387">
        <f>V1386+0.25</f>
        <v/>
      </c>
      <c r="W1387">
        <f>W1386+0.5</f>
        <v/>
      </c>
    </row>
    <row r="1388">
      <c r="E1388">
        <f>O1388=ROUND(1377*0.1,10)</f>
        <v/>
      </c>
      <c r="F1388">
        <f>P1388=ROUND(1377*0.2,10)</f>
        <v/>
      </c>
      <c r="G1388">
        <f>Q1388=ROUND(1377*0.3,10)</f>
        <v/>
      </c>
      <c r="H1388">
        <f>R1388=ROUND(1377*0.05,10)</f>
        <v/>
      </c>
      <c r="I1388">
        <f>S1388=ROUND(1377*0.01,10)</f>
        <v/>
      </c>
      <c r="J1388">
        <f>T1388=ROUND(1377*0.7,10)</f>
        <v/>
      </c>
      <c r="K1388">
        <f>U1388=ROUND(1377*1.1,10)</f>
        <v/>
      </c>
      <c r="L1388">
        <f>V1388=ROUND(1377*0.25,10)</f>
        <v/>
      </c>
      <c r="M1388">
        <f>W1388=ROUND(1377*0.5,10)</f>
        <v/>
      </c>
      <c r="O1388">
        <f>O1387+0.1</f>
        <v/>
      </c>
      <c r="P1388">
        <f>P1387+0.2</f>
        <v/>
      </c>
      <c r="Q1388">
        <f>Q1387+0.3</f>
        <v/>
      </c>
      <c r="R1388">
        <f>R1387+0.05</f>
        <v/>
      </c>
      <c r="S1388">
        <f>S1387+0.01</f>
        <v/>
      </c>
      <c r="T1388">
        <f>T1387+0.7</f>
        <v/>
      </c>
      <c r="U1388">
        <f>U1387+1.1</f>
        <v/>
      </c>
      <c r="V1388">
        <f>V1387+0.25</f>
        <v/>
      </c>
      <c r="W1388">
        <f>W1387+0.5</f>
        <v/>
      </c>
    </row>
    <row r="1389">
      <c r="E1389">
        <f>O1389=ROUND(1378*0.1,10)</f>
        <v/>
      </c>
      <c r="F1389">
        <f>P1389=ROUND(1378*0.2,10)</f>
        <v/>
      </c>
      <c r="G1389">
        <f>Q1389=ROUND(1378*0.3,10)</f>
        <v/>
      </c>
      <c r="H1389">
        <f>R1389=ROUND(1378*0.05,10)</f>
        <v/>
      </c>
      <c r="I1389">
        <f>S1389=ROUND(1378*0.01,10)</f>
        <v/>
      </c>
      <c r="J1389">
        <f>T1389=ROUND(1378*0.7,10)</f>
        <v/>
      </c>
      <c r="K1389">
        <f>U1389=ROUND(1378*1.1,10)</f>
        <v/>
      </c>
      <c r="L1389">
        <f>V1389=ROUND(1378*0.25,10)</f>
        <v/>
      </c>
      <c r="M1389">
        <f>W1389=ROUND(1378*0.5,10)</f>
        <v/>
      </c>
      <c r="O1389">
        <f>O1388+0.1</f>
        <v/>
      </c>
      <c r="P1389">
        <f>P1388+0.2</f>
        <v/>
      </c>
      <c r="Q1389">
        <f>Q1388+0.3</f>
        <v/>
      </c>
      <c r="R1389">
        <f>R1388+0.05</f>
        <v/>
      </c>
      <c r="S1389">
        <f>S1388+0.01</f>
        <v/>
      </c>
      <c r="T1389">
        <f>T1388+0.7</f>
        <v/>
      </c>
      <c r="U1389">
        <f>U1388+1.1</f>
        <v/>
      </c>
      <c r="V1389">
        <f>V1388+0.25</f>
        <v/>
      </c>
      <c r="W1389">
        <f>W1388+0.5</f>
        <v/>
      </c>
    </row>
    <row r="1390">
      <c r="E1390">
        <f>O1390=ROUND(1379*0.1,10)</f>
        <v/>
      </c>
      <c r="F1390">
        <f>P1390=ROUND(1379*0.2,10)</f>
        <v/>
      </c>
      <c r="G1390">
        <f>Q1390=ROUND(1379*0.3,10)</f>
        <v/>
      </c>
      <c r="H1390">
        <f>R1390=ROUND(1379*0.05,10)</f>
        <v/>
      </c>
      <c r="I1390">
        <f>S1390=ROUND(1379*0.01,10)</f>
        <v/>
      </c>
      <c r="J1390">
        <f>T1390=ROUND(1379*0.7,10)</f>
        <v/>
      </c>
      <c r="K1390">
        <f>U1390=ROUND(1379*1.1,10)</f>
        <v/>
      </c>
      <c r="L1390">
        <f>V1390=ROUND(1379*0.25,10)</f>
        <v/>
      </c>
      <c r="M1390">
        <f>W1390=ROUND(1379*0.5,10)</f>
        <v/>
      </c>
      <c r="O1390">
        <f>O1389+0.1</f>
        <v/>
      </c>
      <c r="P1390">
        <f>P1389+0.2</f>
        <v/>
      </c>
      <c r="Q1390">
        <f>Q1389+0.3</f>
        <v/>
      </c>
      <c r="R1390">
        <f>R1389+0.05</f>
        <v/>
      </c>
      <c r="S1390">
        <f>S1389+0.01</f>
        <v/>
      </c>
      <c r="T1390">
        <f>T1389+0.7</f>
        <v/>
      </c>
      <c r="U1390">
        <f>U1389+1.1</f>
        <v/>
      </c>
      <c r="V1390">
        <f>V1389+0.25</f>
        <v/>
      </c>
      <c r="W1390">
        <f>W1389+0.5</f>
        <v/>
      </c>
    </row>
    <row r="1391">
      <c r="E1391">
        <f>O1391=ROUND(1380*0.1,10)</f>
        <v/>
      </c>
      <c r="F1391">
        <f>P1391=ROUND(1380*0.2,10)</f>
        <v/>
      </c>
      <c r="G1391">
        <f>Q1391=ROUND(1380*0.3,10)</f>
        <v/>
      </c>
      <c r="H1391">
        <f>R1391=ROUND(1380*0.05,10)</f>
        <v/>
      </c>
      <c r="I1391">
        <f>S1391=ROUND(1380*0.01,10)</f>
        <v/>
      </c>
      <c r="J1391">
        <f>T1391=ROUND(1380*0.7,10)</f>
        <v/>
      </c>
      <c r="K1391">
        <f>U1391=ROUND(1380*1.1,10)</f>
        <v/>
      </c>
      <c r="L1391">
        <f>V1391=ROUND(1380*0.25,10)</f>
        <v/>
      </c>
      <c r="M1391">
        <f>W1391=ROUND(1380*0.5,10)</f>
        <v/>
      </c>
      <c r="O1391">
        <f>O1390+0.1</f>
        <v/>
      </c>
      <c r="P1391">
        <f>P1390+0.2</f>
        <v/>
      </c>
      <c r="Q1391">
        <f>Q1390+0.3</f>
        <v/>
      </c>
      <c r="R1391">
        <f>R1390+0.05</f>
        <v/>
      </c>
      <c r="S1391">
        <f>S1390+0.01</f>
        <v/>
      </c>
      <c r="T1391">
        <f>T1390+0.7</f>
        <v/>
      </c>
      <c r="U1391">
        <f>U1390+1.1</f>
        <v/>
      </c>
      <c r="V1391">
        <f>V1390+0.25</f>
        <v/>
      </c>
      <c r="W1391">
        <f>W1390+0.5</f>
        <v/>
      </c>
    </row>
    <row r="1392">
      <c r="E1392">
        <f>O1392=ROUND(1381*0.1,10)</f>
        <v/>
      </c>
      <c r="F1392">
        <f>P1392=ROUND(1381*0.2,10)</f>
        <v/>
      </c>
      <c r="G1392">
        <f>Q1392=ROUND(1381*0.3,10)</f>
        <v/>
      </c>
      <c r="H1392">
        <f>R1392=ROUND(1381*0.05,10)</f>
        <v/>
      </c>
      <c r="I1392">
        <f>S1392=ROUND(1381*0.01,10)</f>
        <v/>
      </c>
      <c r="J1392">
        <f>T1392=ROUND(1381*0.7,10)</f>
        <v/>
      </c>
      <c r="K1392">
        <f>U1392=ROUND(1381*1.1,10)</f>
        <v/>
      </c>
      <c r="L1392">
        <f>V1392=ROUND(1381*0.25,10)</f>
        <v/>
      </c>
      <c r="M1392">
        <f>W1392=ROUND(1381*0.5,10)</f>
        <v/>
      </c>
      <c r="O1392">
        <f>O1391+0.1</f>
        <v/>
      </c>
      <c r="P1392">
        <f>P1391+0.2</f>
        <v/>
      </c>
      <c r="Q1392">
        <f>Q1391+0.3</f>
        <v/>
      </c>
      <c r="R1392">
        <f>R1391+0.05</f>
        <v/>
      </c>
      <c r="S1392">
        <f>S1391+0.01</f>
        <v/>
      </c>
      <c r="T1392">
        <f>T1391+0.7</f>
        <v/>
      </c>
      <c r="U1392">
        <f>U1391+1.1</f>
        <v/>
      </c>
      <c r="V1392">
        <f>V1391+0.25</f>
        <v/>
      </c>
      <c r="W1392">
        <f>W1391+0.5</f>
        <v/>
      </c>
    </row>
    <row r="1393">
      <c r="E1393">
        <f>O1393=ROUND(1382*0.1,10)</f>
        <v/>
      </c>
      <c r="F1393">
        <f>P1393=ROUND(1382*0.2,10)</f>
        <v/>
      </c>
      <c r="G1393">
        <f>Q1393=ROUND(1382*0.3,10)</f>
        <v/>
      </c>
      <c r="H1393">
        <f>R1393=ROUND(1382*0.05,10)</f>
        <v/>
      </c>
      <c r="I1393">
        <f>S1393=ROUND(1382*0.01,10)</f>
        <v/>
      </c>
      <c r="J1393">
        <f>T1393=ROUND(1382*0.7,10)</f>
        <v/>
      </c>
      <c r="K1393">
        <f>U1393=ROUND(1382*1.1,10)</f>
        <v/>
      </c>
      <c r="L1393">
        <f>V1393=ROUND(1382*0.25,10)</f>
        <v/>
      </c>
      <c r="M1393">
        <f>W1393=ROUND(1382*0.5,10)</f>
        <v/>
      </c>
      <c r="O1393">
        <f>O1392+0.1</f>
        <v/>
      </c>
      <c r="P1393">
        <f>P1392+0.2</f>
        <v/>
      </c>
      <c r="Q1393">
        <f>Q1392+0.3</f>
        <v/>
      </c>
      <c r="R1393">
        <f>R1392+0.05</f>
        <v/>
      </c>
      <c r="S1393">
        <f>S1392+0.01</f>
        <v/>
      </c>
      <c r="T1393">
        <f>T1392+0.7</f>
        <v/>
      </c>
      <c r="U1393">
        <f>U1392+1.1</f>
        <v/>
      </c>
      <c r="V1393">
        <f>V1392+0.25</f>
        <v/>
      </c>
      <c r="W1393">
        <f>W1392+0.5</f>
        <v/>
      </c>
    </row>
    <row r="1394">
      <c r="E1394">
        <f>O1394=ROUND(1383*0.1,10)</f>
        <v/>
      </c>
      <c r="F1394">
        <f>P1394=ROUND(1383*0.2,10)</f>
        <v/>
      </c>
      <c r="G1394">
        <f>Q1394=ROUND(1383*0.3,10)</f>
        <v/>
      </c>
      <c r="H1394">
        <f>R1394=ROUND(1383*0.05,10)</f>
        <v/>
      </c>
      <c r="I1394">
        <f>S1394=ROUND(1383*0.01,10)</f>
        <v/>
      </c>
      <c r="J1394">
        <f>T1394=ROUND(1383*0.7,10)</f>
        <v/>
      </c>
      <c r="K1394">
        <f>U1394=ROUND(1383*1.1,10)</f>
        <v/>
      </c>
      <c r="L1394">
        <f>V1394=ROUND(1383*0.25,10)</f>
        <v/>
      </c>
      <c r="M1394">
        <f>W1394=ROUND(1383*0.5,10)</f>
        <v/>
      </c>
      <c r="O1394">
        <f>O1393+0.1</f>
        <v/>
      </c>
      <c r="P1394">
        <f>P1393+0.2</f>
        <v/>
      </c>
      <c r="Q1394">
        <f>Q1393+0.3</f>
        <v/>
      </c>
      <c r="R1394">
        <f>R1393+0.05</f>
        <v/>
      </c>
      <c r="S1394">
        <f>S1393+0.01</f>
        <v/>
      </c>
      <c r="T1394">
        <f>T1393+0.7</f>
        <v/>
      </c>
      <c r="U1394">
        <f>U1393+1.1</f>
        <v/>
      </c>
      <c r="V1394">
        <f>V1393+0.25</f>
        <v/>
      </c>
      <c r="W1394">
        <f>W1393+0.5</f>
        <v/>
      </c>
    </row>
    <row r="1395">
      <c r="E1395">
        <f>O1395=ROUND(1384*0.1,10)</f>
        <v/>
      </c>
      <c r="F1395">
        <f>P1395=ROUND(1384*0.2,10)</f>
        <v/>
      </c>
      <c r="G1395">
        <f>Q1395=ROUND(1384*0.3,10)</f>
        <v/>
      </c>
      <c r="H1395">
        <f>R1395=ROUND(1384*0.05,10)</f>
        <v/>
      </c>
      <c r="I1395">
        <f>S1395=ROUND(1384*0.01,10)</f>
        <v/>
      </c>
      <c r="J1395">
        <f>T1395=ROUND(1384*0.7,10)</f>
        <v/>
      </c>
      <c r="K1395">
        <f>U1395=ROUND(1384*1.1,10)</f>
        <v/>
      </c>
      <c r="L1395">
        <f>V1395=ROUND(1384*0.25,10)</f>
        <v/>
      </c>
      <c r="M1395">
        <f>W1395=ROUND(1384*0.5,10)</f>
        <v/>
      </c>
      <c r="O1395">
        <f>O1394+0.1</f>
        <v/>
      </c>
      <c r="P1395">
        <f>P1394+0.2</f>
        <v/>
      </c>
      <c r="Q1395">
        <f>Q1394+0.3</f>
        <v/>
      </c>
      <c r="R1395">
        <f>R1394+0.05</f>
        <v/>
      </c>
      <c r="S1395">
        <f>S1394+0.01</f>
        <v/>
      </c>
      <c r="T1395">
        <f>T1394+0.7</f>
        <v/>
      </c>
      <c r="U1395">
        <f>U1394+1.1</f>
        <v/>
      </c>
      <c r="V1395">
        <f>V1394+0.25</f>
        <v/>
      </c>
      <c r="W1395">
        <f>W1394+0.5</f>
        <v/>
      </c>
    </row>
    <row r="1396">
      <c r="E1396">
        <f>O1396=ROUND(1385*0.1,10)</f>
        <v/>
      </c>
      <c r="F1396">
        <f>P1396=ROUND(1385*0.2,10)</f>
        <v/>
      </c>
      <c r="G1396">
        <f>Q1396=ROUND(1385*0.3,10)</f>
        <v/>
      </c>
      <c r="H1396">
        <f>R1396=ROUND(1385*0.05,10)</f>
        <v/>
      </c>
      <c r="I1396">
        <f>S1396=ROUND(1385*0.01,10)</f>
        <v/>
      </c>
      <c r="J1396">
        <f>T1396=ROUND(1385*0.7,10)</f>
        <v/>
      </c>
      <c r="K1396">
        <f>U1396=ROUND(1385*1.1,10)</f>
        <v/>
      </c>
      <c r="L1396">
        <f>V1396=ROUND(1385*0.25,10)</f>
        <v/>
      </c>
      <c r="M1396">
        <f>W1396=ROUND(1385*0.5,10)</f>
        <v/>
      </c>
      <c r="O1396">
        <f>O1395+0.1</f>
        <v/>
      </c>
      <c r="P1396">
        <f>P1395+0.2</f>
        <v/>
      </c>
      <c r="Q1396">
        <f>Q1395+0.3</f>
        <v/>
      </c>
      <c r="R1396">
        <f>R1395+0.05</f>
        <v/>
      </c>
      <c r="S1396">
        <f>S1395+0.01</f>
        <v/>
      </c>
      <c r="T1396">
        <f>T1395+0.7</f>
        <v/>
      </c>
      <c r="U1396">
        <f>U1395+1.1</f>
        <v/>
      </c>
      <c r="V1396">
        <f>V1395+0.25</f>
        <v/>
      </c>
      <c r="W1396">
        <f>W1395+0.5</f>
        <v/>
      </c>
    </row>
    <row r="1397">
      <c r="E1397">
        <f>O1397=ROUND(1386*0.1,10)</f>
        <v/>
      </c>
      <c r="F1397">
        <f>P1397=ROUND(1386*0.2,10)</f>
        <v/>
      </c>
      <c r="G1397">
        <f>Q1397=ROUND(1386*0.3,10)</f>
        <v/>
      </c>
      <c r="H1397">
        <f>R1397=ROUND(1386*0.05,10)</f>
        <v/>
      </c>
      <c r="I1397">
        <f>S1397=ROUND(1386*0.01,10)</f>
        <v/>
      </c>
      <c r="J1397">
        <f>T1397=ROUND(1386*0.7,10)</f>
        <v/>
      </c>
      <c r="K1397">
        <f>U1397=ROUND(1386*1.1,10)</f>
        <v/>
      </c>
      <c r="L1397">
        <f>V1397=ROUND(1386*0.25,10)</f>
        <v/>
      </c>
      <c r="M1397">
        <f>W1397=ROUND(1386*0.5,10)</f>
        <v/>
      </c>
      <c r="O1397">
        <f>O1396+0.1</f>
        <v/>
      </c>
      <c r="P1397">
        <f>P1396+0.2</f>
        <v/>
      </c>
      <c r="Q1397">
        <f>Q1396+0.3</f>
        <v/>
      </c>
      <c r="R1397">
        <f>R1396+0.05</f>
        <v/>
      </c>
      <c r="S1397">
        <f>S1396+0.01</f>
        <v/>
      </c>
      <c r="T1397">
        <f>T1396+0.7</f>
        <v/>
      </c>
      <c r="U1397">
        <f>U1396+1.1</f>
        <v/>
      </c>
      <c r="V1397">
        <f>V1396+0.25</f>
        <v/>
      </c>
      <c r="W1397">
        <f>W1396+0.5</f>
        <v/>
      </c>
    </row>
    <row r="1398">
      <c r="E1398">
        <f>O1398=ROUND(1387*0.1,10)</f>
        <v/>
      </c>
      <c r="F1398">
        <f>P1398=ROUND(1387*0.2,10)</f>
        <v/>
      </c>
      <c r="G1398">
        <f>Q1398=ROUND(1387*0.3,10)</f>
        <v/>
      </c>
      <c r="H1398">
        <f>R1398=ROUND(1387*0.05,10)</f>
        <v/>
      </c>
      <c r="I1398">
        <f>S1398=ROUND(1387*0.01,10)</f>
        <v/>
      </c>
      <c r="J1398">
        <f>T1398=ROUND(1387*0.7,10)</f>
        <v/>
      </c>
      <c r="K1398">
        <f>U1398=ROUND(1387*1.1,10)</f>
        <v/>
      </c>
      <c r="L1398">
        <f>V1398=ROUND(1387*0.25,10)</f>
        <v/>
      </c>
      <c r="M1398">
        <f>W1398=ROUND(1387*0.5,10)</f>
        <v/>
      </c>
      <c r="O1398">
        <f>O1397+0.1</f>
        <v/>
      </c>
      <c r="P1398">
        <f>P1397+0.2</f>
        <v/>
      </c>
      <c r="Q1398">
        <f>Q1397+0.3</f>
        <v/>
      </c>
      <c r="R1398">
        <f>R1397+0.05</f>
        <v/>
      </c>
      <c r="S1398">
        <f>S1397+0.01</f>
        <v/>
      </c>
      <c r="T1398">
        <f>T1397+0.7</f>
        <v/>
      </c>
      <c r="U1398">
        <f>U1397+1.1</f>
        <v/>
      </c>
      <c r="V1398">
        <f>V1397+0.25</f>
        <v/>
      </c>
      <c r="W1398">
        <f>W1397+0.5</f>
        <v/>
      </c>
    </row>
    <row r="1399">
      <c r="E1399">
        <f>O1399=ROUND(1388*0.1,10)</f>
        <v/>
      </c>
      <c r="F1399">
        <f>P1399=ROUND(1388*0.2,10)</f>
        <v/>
      </c>
      <c r="G1399">
        <f>Q1399=ROUND(1388*0.3,10)</f>
        <v/>
      </c>
      <c r="H1399">
        <f>R1399=ROUND(1388*0.05,10)</f>
        <v/>
      </c>
      <c r="I1399">
        <f>S1399=ROUND(1388*0.01,10)</f>
        <v/>
      </c>
      <c r="J1399">
        <f>T1399=ROUND(1388*0.7,10)</f>
        <v/>
      </c>
      <c r="K1399">
        <f>U1399=ROUND(1388*1.1,10)</f>
        <v/>
      </c>
      <c r="L1399">
        <f>V1399=ROUND(1388*0.25,10)</f>
        <v/>
      </c>
      <c r="M1399">
        <f>W1399=ROUND(1388*0.5,10)</f>
        <v/>
      </c>
      <c r="O1399">
        <f>O1398+0.1</f>
        <v/>
      </c>
      <c r="P1399">
        <f>P1398+0.2</f>
        <v/>
      </c>
      <c r="Q1399">
        <f>Q1398+0.3</f>
        <v/>
      </c>
      <c r="R1399">
        <f>R1398+0.05</f>
        <v/>
      </c>
      <c r="S1399">
        <f>S1398+0.01</f>
        <v/>
      </c>
      <c r="T1399">
        <f>T1398+0.7</f>
        <v/>
      </c>
      <c r="U1399">
        <f>U1398+1.1</f>
        <v/>
      </c>
      <c r="V1399">
        <f>V1398+0.25</f>
        <v/>
      </c>
      <c r="W1399">
        <f>W1398+0.5</f>
        <v/>
      </c>
    </row>
    <row r="1400">
      <c r="E1400">
        <f>O1400=ROUND(1389*0.1,10)</f>
        <v/>
      </c>
      <c r="F1400">
        <f>P1400=ROUND(1389*0.2,10)</f>
        <v/>
      </c>
      <c r="G1400">
        <f>Q1400=ROUND(1389*0.3,10)</f>
        <v/>
      </c>
      <c r="H1400">
        <f>R1400=ROUND(1389*0.05,10)</f>
        <v/>
      </c>
      <c r="I1400">
        <f>S1400=ROUND(1389*0.01,10)</f>
        <v/>
      </c>
      <c r="J1400">
        <f>T1400=ROUND(1389*0.7,10)</f>
        <v/>
      </c>
      <c r="K1400">
        <f>U1400=ROUND(1389*1.1,10)</f>
        <v/>
      </c>
      <c r="L1400">
        <f>V1400=ROUND(1389*0.25,10)</f>
        <v/>
      </c>
      <c r="M1400">
        <f>W1400=ROUND(1389*0.5,10)</f>
        <v/>
      </c>
      <c r="O1400">
        <f>O1399+0.1</f>
        <v/>
      </c>
      <c r="P1400">
        <f>P1399+0.2</f>
        <v/>
      </c>
      <c r="Q1400">
        <f>Q1399+0.3</f>
        <v/>
      </c>
      <c r="R1400">
        <f>R1399+0.05</f>
        <v/>
      </c>
      <c r="S1400">
        <f>S1399+0.01</f>
        <v/>
      </c>
      <c r="T1400">
        <f>T1399+0.7</f>
        <v/>
      </c>
      <c r="U1400">
        <f>U1399+1.1</f>
        <v/>
      </c>
      <c r="V1400">
        <f>V1399+0.25</f>
        <v/>
      </c>
      <c r="W1400">
        <f>W1399+0.5</f>
        <v/>
      </c>
    </row>
    <row r="1401">
      <c r="E1401">
        <f>O1401=ROUND(1390*0.1,10)</f>
        <v/>
      </c>
      <c r="F1401">
        <f>P1401=ROUND(1390*0.2,10)</f>
        <v/>
      </c>
      <c r="G1401">
        <f>Q1401=ROUND(1390*0.3,10)</f>
        <v/>
      </c>
      <c r="H1401">
        <f>R1401=ROUND(1390*0.05,10)</f>
        <v/>
      </c>
      <c r="I1401">
        <f>S1401=ROUND(1390*0.01,10)</f>
        <v/>
      </c>
      <c r="J1401">
        <f>T1401=ROUND(1390*0.7,10)</f>
        <v/>
      </c>
      <c r="K1401">
        <f>U1401=ROUND(1390*1.1,10)</f>
        <v/>
      </c>
      <c r="L1401">
        <f>V1401=ROUND(1390*0.25,10)</f>
        <v/>
      </c>
      <c r="M1401">
        <f>W1401=ROUND(1390*0.5,10)</f>
        <v/>
      </c>
      <c r="O1401">
        <f>O1400+0.1</f>
        <v/>
      </c>
      <c r="P1401">
        <f>P1400+0.2</f>
        <v/>
      </c>
      <c r="Q1401">
        <f>Q1400+0.3</f>
        <v/>
      </c>
      <c r="R1401">
        <f>R1400+0.05</f>
        <v/>
      </c>
      <c r="S1401">
        <f>S1400+0.01</f>
        <v/>
      </c>
      <c r="T1401">
        <f>T1400+0.7</f>
        <v/>
      </c>
      <c r="U1401">
        <f>U1400+1.1</f>
        <v/>
      </c>
      <c r="V1401">
        <f>V1400+0.25</f>
        <v/>
      </c>
      <c r="W1401">
        <f>W1400+0.5</f>
        <v/>
      </c>
    </row>
    <row r="1402">
      <c r="E1402">
        <f>O1402=ROUND(1391*0.1,10)</f>
        <v/>
      </c>
      <c r="F1402">
        <f>P1402=ROUND(1391*0.2,10)</f>
        <v/>
      </c>
      <c r="G1402">
        <f>Q1402=ROUND(1391*0.3,10)</f>
        <v/>
      </c>
      <c r="H1402">
        <f>R1402=ROUND(1391*0.05,10)</f>
        <v/>
      </c>
      <c r="I1402">
        <f>S1402=ROUND(1391*0.01,10)</f>
        <v/>
      </c>
      <c r="J1402">
        <f>T1402=ROUND(1391*0.7,10)</f>
        <v/>
      </c>
      <c r="K1402">
        <f>U1402=ROUND(1391*1.1,10)</f>
        <v/>
      </c>
      <c r="L1402">
        <f>V1402=ROUND(1391*0.25,10)</f>
        <v/>
      </c>
      <c r="M1402">
        <f>W1402=ROUND(1391*0.5,10)</f>
        <v/>
      </c>
      <c r="O1402">
        <f>O1401+0.1</f>
        <v/>
      </c>
      <c r="P1402">
        <f>P1401+0.2</f>
        <v/>
      </c>
      <c r="Q1402">
        <f>Q1401+0.3</f>
        <v/>
      </c>
      <c r="R1402">
        <f>R1401+0.05</f>
        <v/>
      </c>
      <c r="S1402">
        <f>S1401+0.01</f>
        <v/>
      </c>
      <c r="T1402">
        <f>T1401+0.7</f>
        <v/>
      </c>
      <c r="U1402">
        <f>U1401+1.1</f>
        <v/>
      </c>
      <c r="V1402">
        <f>V1401+0.25</f>
        <v/>
      </c>
      <c r="W1402">
        <f>W1401+0.5</f>
        <v/>
      </c>
    </row>
    <row r="1403">
      <c r="E1403">
        <f>O1403=ROUND(1392*0.1,10)</f>
        <v/>
      </c>
      <c r="F1403">
        <f>P1403=ROUND(1392*0.2,10)</f>
        <v/>
      </c>
      <c r="G1403">
        <f>Q1403=ROUND(1392*0.3,10)</f>
        <v/>
      </c>
      <c r="H1403">
        <f>R1403=ROUND(1392*0.05,10)</f>
        <v/>
      </c>
      <c r="I1403">
        <f>S1403=ROUND(1392*0.01,10)</f>
        <v/>
      </c>
      <c r="J1403">
        <f>T1403=ROUND(1392*0.7,10)</f>
        <v/>
      </c>
      <c r="K1403">
        <f>U1403=ROUND(1392*1.1,10)</f>
        <v/>
      </c>
      <c r="L1403">
        <f>V1403=ROUND(1392*0.25,10)</f>
        <v/>
      </c>
      <c r="M1403">
        <f>W1403=ROUND(1392*0.5,10)</f>
        <v/>
      </c>
      <c r="O1403">
        <f>O1402+0.1</f>
        <v/>
      </c>
      <c r="P1403">
        <f>P1402+0.2</f>
        <v/>
      </c>
      <c r="Q1403">
        <f>Q1402+0.3</f>
        <v/>
      </c>
      <c r="R1403">
        <f>R1402+0.05</f>
        <v/>
      </c>
      <c r="S1403">
        <f>S1402+0.01</f>
        <v/>
      </c>
      <c r="T1403">
        <f>T1402+0.7</f>
        <v/>
      </c>
      <c r="U1403">
        <f>U1402+1.1</f>
        <v/>
      </c>
      <c r="V1403">
        <f>V1402+0.25</f>
        <v/>
      </c>
      <c r="W1403">
        <f>W1402+0.5</f>
        <v/>
      </c>
    </row>
    <row r="1404">
      <c r="E1404">
        <f>O1404=ROUND(1393*0.1,10)</f>
        <v/>
      </c>
      <c r="F1404">
        <f>P1404=ROUND(1393*0.2,10)</f>
        <v/>
      </c>
      <c r="G1404">
        <f>Q1404=ROUND(1393*0.3,10)</f>
        <v/>
      </c>
      <c r="H1404">
        <f>R1404=ROUND(1393*0.05,10)</f>
        <v/>
      </c>
      <c r="I1404">
        <f>S1404=ROUND(1393*0.01,10)</f>
        <v/>
      </c>
      <c r="J1404">
        <f>T1404=ROUND(1393*0.7,10)</f>
        <v/>
      </c>
      <c r="K1404">
        <f>U1404=ROUND(1393*1.1,10)</f>
        <v/>
      </c>
      <c r="L1404">
        <f>V1404=ROUND(1393*0.25,10)</f>
        <v/>
      </c>
      <c r="M1404">
        <f>W1404=ROUND(1393*0.5,10)</f>
        <v/>
      </c>
      <c r="O1404">
        <f>O1403+0.1</f>
        <v/>
      </c>
      <c r="P1404">
        <f>P1403+0.2</f>
        <v/>
      </c>
      <c r="Q1404">
        <f>Q1403+0.3</f>
        <v/>
      </c>
      <c r="R1404">
        <f>R1403+0.05</f>
        <v/>
      </c>
      <c r="S1404">
        <f>S1403+0.01</f>
        <v/>
      </c>
      <c r="T1404">
        <f>T1403+0.7</f>
        <v/>
      </c>
      <c r="U1404">
        <f>U1403+1.1</f>
        <v/>
      </c>
      <c r="V1404">
        <f>V1403+0.25</f>
        <v/>
      </c>
      <c r="W1404">
        <f>W1403+0.5</f>
        <v/>
      </c>
    </row>
    <row r="1405">
      <c r="E1405">
        <f>O1405=ROUND(1394*0.1,10)</f>
        <v/>
      </c>
      <c r="F1405">
        <f>P1405=ROUND(1394*0.2,10)</f>
        <v/>
      </c>
      <c r="G1405">
        <f>Q1405=ROUND(1394*0.3,10)</f>
        <v/>
      </c>
      <c r="H1405">
        <f>R1405=ROUND(1394*0.05,10)</f>
        <v/>
      </c>
      <c r="I1405">
        <f>S1405=ROUND(1394*0.01,10)</f>
        <v/>
      </c>
      <c r="J1405">
        <f>T1405=ROUND(1394*0.7,10)</f>
        <v/>
      </c>
      <c r="K1405">
        <f>U1405=ROUND(1394*1.1,10)</f>
        <v/>
      </c>
      <c r="L1405">
        <f>V1405=ROUND(1394*0.25,10)</f>
        <v/>
      </c>
      <c r="M1405">
        <f>W1405=ROUND(1394*0.5,10)</f>
        <v/>
      </c>
      <c r="O1405">
        <f>O1404+0.1</f>
        <v/>
      </c>
      <c r="P1405">
        <f>P1404+0.2</f>
        <v/>
      </c>
      <c r="Q1405">
        <f>Q1404+0.3</f>
        <v/>
      </c>
      <c r="R1405">
        <f>R1404+0.05</f>
        <v/>
      </c>
      <c r="S1405">
        <f>S1404+0.01</f>
        <v/>
      </c>
      <c r="T1405">
        <f>T1404+0.7</f>
        <v/>
      </c>
      <c r="U1405">
        <f>U1404+1.1</f>
        <v/>
      </c>
      <c r="V1405">
        <f>V1404+0.25</f>
        <v/>
      </c>
      <c r="W1405">
        <f>W1404+0.5</f>
        <v/>
      </c>
    </row>
    <row r="1406">
      <c r="E1406">
        <f>O1406=ROUND(1395*0.1,10)</f>
        <v/>
      </c>
      <c r="F1406">
        <f>P1406=ROUND(1395*0.2,10)</f>
        <v/>
      </c>
      <c r="G1406">
        <f>Q1406=ROUND(1395*0.3,10)</f>
        <v/>
      </c>
      <c r="H1406">
        <f>R1406=ROUND(1395*0.05,10)</f>
        <v/>
      </c>
      <c r="I1406">
        <f>S1406=ROUND(1395*0.01,10)</f>
        <v/>
      </c>
      <c r="J1406">
        <f>T1406=ROUND(1395*0.7,10)</f>
        <v/>
      </c>
      <c r="K1406">
        <f>U1406=ROUND(1395*1.1,10)</f>
        <v/>
      </c>
      <c r="L1406">
        <f>V1406=ROUND(1395*0.25,10)</f>
        <v/>
      </c>
      <c r="M1406">
        <f>W1406=ROUND(1395*0.5,10)</f>
        <v/>
      </c>
      <c r="O1406">
        <f>O1405+0.1</f>
        <v/>
      </c>
      <c r="P1406">
        <f>P1405+0.2</f>
        <v/>
      </c>
      <c r="Q1406">
        <f>Q1405+0.3</f>
        <v/>
      </c>
      <c r="R1406">
        <f>R1405+0.05</f>
        <v/>
      </c>
      <c r="S1406">
        <f>S1405+0.01</f>
        <v/>
      </c>
      <c r="T1406">
        <f>T1405+0.7</f>
        <v/>
      </c>
      <c r="U1406">
        <f>U1405+1.1</f>
        <v/>
      </c>
      <c r="V1406">
        <f>V1405+0.25</f>
        <v/>
      </c>
      <c r="W1406">
        <f>W1405+0.5</f>
        <v/>
      </c>
    </row>
    <row r="1407">
      <c r="E1407">
        <f>O1407=ROUND(1396*0.1,10)</f>
        <v/>
      </c>
      <c r="F1407">
        <f>P1407=ROUND(1396*0.2,10)</f>
        <v/>
      </c>
      <c r="G1407">
        <f>Q1407=ROUND(1396*0.3,10)</f>
        <v/>
      </c>
      <c r="H1407">
        <f>R1407=ROUND(1396*0.05,10)</f>
        <v/>
      </c>
      <c r="I1407">
        <f>S1407=ROUND(1396*0.01,10)</f>
        <v/>
      </c>
      <c r="J1407">
        <f>T1407=ROUND(1396*0.7,10)</f>
        <v/>
      </c>
      <c r="K1407">
        <f>U1407=ROUND(1396*1.1,10)</f>
        <v/>
      </c>
      <c r="L1407">
        <f>V1407=ROUND(1396*0.25,10)</f>
        <v/>
      </c>
      <c r="M1407">
        <f>W1407=ROUND(1396*0.5,10)</f>
        <v/>
      </c>
      <c r="O1407">
        <f>O1406+0.1</f>
        <v/>
      </c>
      <c r="P1407">
        <f>P1406+0.2</f>
        <v/>
      </c>
      <c r="Q1407">
        <f>Q1406+0.3</f>
        <v/>
      </c>
      <c r="R1407">
        <f>R1406+0.05</f>
        <v/>
      </c>
      <c r="S1407">
        <f>S1406+0.01</f>
        <v/>
      </c>
      <c r="T1407">
        <f>T1406+0.7</f>
        <v/>
      </c>
      <c r="U1407">
        <f>U1406+1.1</f>
        <v/>
      </c>
      <c r="V1407">
        <f>V1406+0.25</f>
        <v/>
      </c>
      <c r="W1407">
        <f>W1406+0.5</f>
        <v/>
      </c>
    </row>
    <row r="1408">
      <c r="E1408">
        <f>O1408=ROUND(1397*0.1,10)</f>
        <v/>
      </c>
      <c r="F1408">
        <f>P1408=ROUND(1397*0.2,10)</f>
        <v/>
      </c>
      <c r="G1408">
        <f>Q1408=ROUND(1397*0.3,10)</f>
        <v/>
      </c>
      <c r="H1408">
        <f>R1408=ROUND(1397*0.05,10)</f>
        <v/>
      </c>
      <c r="I1408">
        <f>S1408=ROUND(1397*0.01,10)</f>
        <v/>
      </c>
      <c r="J1408">
        <f>T1408=ROUND(1397*0.7,10)</f>
        <v/>
      </c>
      <c r="K1408">
        <f>U1408=ROUND(1397*1.1,10)</f>
        <v/>
      </c>
      <c r="L1408">
        <f>V1408=ROUND(1397*0.25,10)</f>
        <v/>
      </c>
      <c r="M1408">
        <f>W1408=ROUND(1397*0.5,10)</f>
        <v/>
      </c>
      <c r="O1408">
        <f>O1407+0.1</f>
        <v/>
      </c>
      <c r="P1408">
        <f>P1407+0.2</f>
        <v/>
      </c>
      <c r="Q1408">
        <f>Q1407+0.3</f>
        <v/>
      </c>
      <c r="R1408">
        <f>R1407+0.05</f>
        <v/>
      </c>
      <c r="S1408">
        <f>S1407+0.01</f>
        <v/>
      </c>
      <c r="T1408">
        <f>T1407+0.7</f>
        <v/>
      </c>
      <c r="U1408">
        <f>U1407+1.1</f>
        <v/>
      </c>
      <c r="V1408">
        <f>V1407+0.25</f>
        <v/>
      </c>
      <c r="W1408">
        <f>W1407+0.5</f>
        <v/>
      </c>
    </row>
    <row r="1409">
      <c r="E1409">
        <f>O1409=ROUND(1398*0.1,10)</f>
        <v/>
      </c>
      <c r="F1409">
        <f>P1409=ROUND(1398*0.2,10)</f>
        <v/>
      </c>
      <c r="G1409">
        <f>Q1409=ROUND(1398*0.3,10)</f>
        <v/>
      </c>
      <c r="H1409">
        <f>R1409=ROUND(1398*0.05,10)</f>
        <v/>
      </c>
      <c r="I1409">
        <f>S1409=ROUND(1398*0.01,10)</f>
        <v/>
      </c>
      <c r="J1409">
        <f>T1409=ROUND(1398*0.7,10)</f>
        <v/>
      </c>
      <c r="K1409">
        <f>U1409=ROUND(1398*1.1,10)</f>
        <v/>
      </c>
      <c r="L1409">
        <f>V1409=ROUND(1398*0.25,10)</f>
        <v/>
      </c>
      <c r="M1409">
        <f>W1409=ROUND(1398*0.5,10)</f>
        <v/>
      </c>
      <c r="O1409">
        <f>O1408+0.1</f>
        <v/>
      </c>
      <c r="P1409">
        <f>P1408+0.2</f>
        <v/>
      </c>
      <c r="Q1409">
        <f>Q1408+0.3</f>
        <v/>
      </c>
      <c r="R1409">
        <f>R1408+0.05</f>
        <v/>
      </c>
      <c r="S1409">
        <f>S1408+0.01</f>
        <v/>
      </c>
      <c r="T1409">
        <f>T1408+0.7</f>
        <v/>
      </c>
      <c r="U1409">
        <f>U1408+1.1</f>
        <v/>
      </c>
      <c r="V1409">
        <f>V1408+0.25</f>
        <v/>
      </c>
      <c r="W1409">
        <f>W1408+0.5</f>
        <v/>
      </c>
    </row>
    <row r="1410">
      <c r="E1410">
        <f>O1410=ROUND(1399*0.1,10)</f>
        <v/>
      </c>
      <c r="F1410">
        <f>P1410=ROUND(1399*0.2,10)</f>
        <v/>
      </c>
      <c r="G1410">
        <f>Q1410=ROUND(1399*0.3,10)</f>
        <v/>
      </c>
      <c r="H1410">
        <f>R1410=ROUND(1399*0.05,10)</f>
        <v/>
      </c>
      <c r="I1410">
        <f>S1410=ROUND(1399*0.01,10)</f>
        <v/>
      </c>
      <c r="J1410">
        <f>T1410=ROUND(1399*0.7,10)</f>
        <v/>
      </c>
      <c r="K1410">
        <f>U1410=ROUND(1399*1.1,10)</f>
        <v/>
      </c>
      <c r="L1410">
        <f>V1410=ROUND(1399*0.25,10)</f>
        <v/>
      </c>
      <c r="M1410">
        <f>W1410=ROUND(1399*0.5,10)</f>
        <v/>
      </c>
      <c r="O1410">
        <f>O1409+0.1</f>
        <v/>
      </c>
      <c r="P1410">
        <f>P1409+0.2</f>
        <v/>
      </c>
      <c r="Q1410">
        <f>Q1409+0.3</f>
        <v/>
      </c>
      <c r="R1410">
        <f>R1409+0.05</f>
        <v/>
      </c>
      <c r="S1410">
        <f>S1409+0.01</f>
        <v/>
      </c>
      <c r="T1410">
        <f>T1409+0.7</f>
        <v/>
      </c>
      <c r="U1410">
        <f>U1409+1.1</f>
        <v/>
      </c>
      <c r="V1410">
        <f>V1409+0.25</f>
        <v/>
      </c>
      <c r="W1410">
        <f>W1409+0.5</f>
        <v/>
      </c>
    </row>
    <row r="1411">
      <c r="E1411">
        <f>O1411=ROUND(1400*0.1,10)</f>
        <v/>
      </c>
      <c r="F1411">
        <f>P1411=ROUND(1400*0.2,10)</f>
        <v/>
      </c>
      <c r="G1411">
        <f>Q1411=ROUND(1400*0.3,10)</f>
        <v/>
      </c>
      <c r="H1411">
        <f>R1411=ROUND(1400*0.05,10)</f>
        <v/>
      </c>
      <c r="I1411">
        <f>S1411=ROUND(1400*0.01,10)</f>
        <v/>
      </c>
      <c r="J1411">
        <f>T1411=ROUND(1400*0.7,10)</f>
        <v/>
      </c>
      <c r="K1411">
        <f>U1411=ROUND(1400*1.1,10)</f>
        <v/>
      </c>
      <c r="L1411">
        <f>V1411=ROUND(1400*0.25,10)</f>
        <v/>
      </c>
      <c r="M1411">
        <f>W1411=ROUND(1400*0.5,10)</f>
        <v/>
      </c>
      <c r="O1411">
        <f>O1410+0.1</f>
        <v/>
      </c>
      <c r="P1411">
        <f>P1410+0.2</f>
        <v/>
      </c>
      <c r="Q1411">
        <f>Q1410+0.3</f>
        <v/>
      </c>
      <c r="R1411">
        <f>R1410+0.05</f>
        <v/>
      </c>
      <c r="S1411">
        <f>S1410+0.01</f>
        <v/>
      </c>
      <c r="T1411">
        <f>T1410+0.7</f>
        <v/>
      </c>
      <c r="U1411">
        <f>U1410+1.1</f>
        <v/>
      </c>
      <c r="V1411">
        <f>V1410+0.25</f>
        <v/>
      </c>
      <c r="W1411">
        <f>W1410+0.5</f>
        <v/>
      </c>
    </row>
    <row r="1412">
      <c r="E1412">
        <f>O1412=ROUND(1401*0.1,10)</f>
        <v/>
      </c>
      <c r="F1412">
        <f>P1412=ROUND(1401*0.2,10)</f>
        <v/>
      </c>
      <c r="G1412">
        <f>Q1412=ROUND(1401*0.3,10)</f>
        <v/>
      </c>
      <c r="H1412">
        <f>R1412=ROUND(1401*0.05,10)</f>
        <v/>
      </c>
      <c r="I1412">
        <f>S1412=ROUND(1401*0.01,10)</f>
        <v/>
      </c>
      <c r="J1412">
        <f>T1412=ROUND(1401*0.7,10)</f>
        <v/>
      </c>
      <c r="K1412">
        <f>U1412=ROUND(1401*1.1,10)</f>
        <v/>
      </c>
      <c r="L1412">
        <f>V1412=ROUND(1401*0.25,10)</f>
        <v/>
      </c>
      <c r="M1412">
        <f>W1412=ROUND(1401*0.5,10)</f>
        <v/>
      </c>
      <c r="O1412">
        <f>O1411+0.1</f>
        <v/>
      </c>
      <c r="P1412">
        <f>P1411+0.2</f>
        <v/>
      </c>
      <c r="Q1412">
        <f>Q1411+0.3</f>
        <v/>
      </c>
      <c r="R1412">
        <f>R1411+0.05</f>
        <v/>
      </c>
      <c r="S1412">
        <f>S1411+0.01</f>
        <v/>
      </c>
      <c r="T1412">
        <f>T1411+0.7</f>
        <v/>
      </c>
      <c r="U1412">
        <f>U1411+1.1</f>
        <v/>
      </c>
      <c r="V1412">
        <f>V1411+0.25</f>
        <v/>
      </c>
      <c r="W1412">
        <f>W1411+0.5</f>
        <v/>
      </c>
    </row>
    <row r="1413">
      <c r="E1413">
        <f>O1413=ROUND(1402*0.1,10)</f>
        <v/>
      </c>
      <c r="F1413">
        <f>P1413=ROUND(1402*0.2,10)</f>
        <v/>
      </c>
      <c r="G1413">
        <f>Q1413=ROUND(1402*0.3,10)</f>
        <v/>
      </c>
      <c r="H1413">
        <f>R1413=ROUND(1402*0.05,10)</f>
        <v/>
      </c>
      <c r="I1413">
        <f>S1413=ROUND(1402*0.01,10)</f>
        <v/>
      </c>
      <c r="J1413">
        <f>T1413=ROUND(1402*0.7,10)</f>
        <v/>
      </c>
      <c r="K1413">
        <f>U1413=ROUND(1402*1.1,10)</f>
        <v/>
      </c>
      <c r="L1413">
        <f>V1413=ROUND(1402*0.25,10)</f>
        <v/>
      </c>
      <c r="M1413">
        <f>W1413=ROUND(1402*0.5,10)</f>
        <v/>
      </c>
      <c r="O1413">
        <f>O1412+0.1</f>
        <v/>
      </c>
      <c r="P1413">
        <f>P1412+0.2</f>
        <v/>
      </c>
      <c r="Q1413">
        <f>Q1412+0.3</f>
        <v/>
      </c>
      <c r="R1413">
        <f>R1412+0.05</f>
        <v/>
      </c>
      <c r="S1413">
        <f>S1412+0.01</f>
        <v/>
      </c>
      <c r="T1413">
        <f>T1412+0.7</f>
        <v/>
      </c>
      <c r="U1413">
        <f>U1412+1.1</f>
        <v/>
      </c>
      <c r="V1413">
        <f>V1412+0.25</f>
        <v/>
      </c>
      <c r="W1413">
        <f>W1412+0.5</f>
        <v/>
      </c>
    </row>
    <row r="1414">
      <c r="E1414">
        <f>O1414=ROUND(1403*0.1,10)</f>
        <v/>
      </c>
      <c r="F1414">
        <f>P1414=ROUND(1403*0.2,10)</f>
        <v/>
      </c>
      <c r="G1414">
        <f>Q1414=ROUND(1403*0.3,10)</f>
        <v/>
      </c>
      <c r="H1414">
        <f>R1414=ROUND(1403*0.05,10)</f>
        <v/>
      </c>
      <c r="I1414">
        <f>S1414=ROUND(1403*0.01,10)</f>
        <v/>
      </c>
      <c r="J1414">
        <f>T1414=ROUND(1403*0.7,10)</f>
        <v/>
      </c>
      <c r="K1414">
        <f>U1414=ROUND(1403*1.1,10)</f>
        <v/>
      </c>
      <c r="L1414">
        <f>V1414=ROUND(1403*0.25,10)</f>
        <v/>
      </c>
      <c r="M1414">
        <f>W1414=ROUND(1403*0.5,10)</f>
        <v/>
      </c>
      <c r="O1414">
        <f>O1413+0.1</f>
        <v/>
      </c>
      <c r="P1414">
        <f>P1413+0.2</f>
        <v/>
      </c>
      <c r="Q1414">
        <f>Q1413+0.3</f>
        <v/>
      </c>
      <c r="R1414">
        <f>R1413+0.05</f>
        <v/>
      </c>
      <c r="S1414">
        <f>S1413+0.01</f>
        <v/>
      </c>
      <c r="T1414">
        <f>T1413+0.7</f>
        <v/>
      </c>
      <c r="U1414">
        <f>U1413+1.1</f>
        <v/>
      </c>
      <c r="V1414">
        <f>V1413+0.25</f>
        <v/>
      </c>
      <c r="W1414">
        <f>W1413+0.5</f>
        <v/>
      </c>
    </row>
    <row r="1415">
      <c r="E1415">
        <f>O1415=ROUND(1404*0.1,10)</f>
        <v/>
      </c>
      <c r="F1415">
        <f>P1415=ROUND(1404*0.2,10)</f>
        <v/>
      </c>
      <c r="G1415">
        <f>Q1415=ROUND(1404*0.3,10)</f>
        <v/>
      </c>
      <c r="H1415">
        <f>R1415=ROUND(1404*0.05,10)</f>
        <v/>
      </c>
      <c r="I1415">
        <f>S1415=ROUND(1404*0.01,10)</f>
        <v/>
      </c>
      <c r="J1415">
        <f>T1415=ROUND(1404*0.7,10)</f>
        <v/>
      </c>
      <c r="K1415">
        <f>U1415=ROUND(1404*1.1,10)</f>
        <v/>
      </c>
      <c r="L1415">
        <f>V1415=ROUND(1404*0.25,10)</f>
        <v/>
      </c>
      <c r="M1415">
        <f>W1415=ROUND(1404*0.5,10)</f>
        <v/>
      </c>
      <c r="O1415">
        <f>O1414+0.1</f>
        <v/>
      </c>
      <c r="P1415">
        <f>P1414+0.2</f>
        <v/>
      </c>
      <c r="Q1415">
        <f>Q1414+0.3</f>
        <v/>
      </c>
      <c r="R1415">
        <f>R1414+0.05</f>
        <v/>
      </c>
      <c r="S1415">
        <f>S1414+0.01</f>
        <v/>
      </c>
      <c r="T1415">
        <f>T1414+0.7</f>
        <v/>
      </c>
      <c r="U1415">
        <f>U1414+1.1</f>
        <v/>
      </c>
      <c r="V1415">
        <f>V1414+0.25</f>
        <v/>
      </c>
      <c r="W1415">
        <f>W1414+0.5</f>
        <v/>
      </c>
    </row>
    <row r="1416">
      <c r="E1416">
        <f>O1416=ROUND(1405*0.1,10)</f>
        <v/>
      </c>
      <c r="F1416">
        <f>P1416=ROUND(1405*0.2,10)</f>
        <v/>
      </c>
      <c r="G1416">
        <f>Q1416=ROUND(1405*0.3,10)</f>
        <v/>
      </c>
      <c r="H1416">
        <f>R1416=ROUND(1405*0.05,10)</f>
        <v/>
      </c>
      <c r="I1416">
        <f>S1416=ROUND(1405*0.01,10)</f>
        <v/>
      </c>
      <c r="J1416">
        <f>T1416=ROUND(1405*0.7,10)</f>
        <v/>
      </c>
      <c r="K1416">
        <f>U1416=ROUND(1405*1.1,10)</f>
        <v/>
      </c>
      <c r="L1416">
        <f>V1416=ROUND(1405*0.25,10)</f>
        <v/>
      </c>
      <c r="M1416">
        <f>W1416=ROUND(1405*0.5,10)</f>
        <v/>
      </c>
      <c r="O1416">
        <f>O1415+0.1</f>
        <v/>
      </c>
      <c r="P1416">
        <f>P1415+0.2</f>
        <v/>
      </c>
      <c r="Q1416">
        <f>Q1415+0.3</f>
        <v/>
      </c>
      <c r="R1416">
        <f>R1415+0.05</f>
        <v/>
      </c>
      <c r="S1416">
        <f>S1415+0.01</f>
        <v/>
      </c>
      <c r="T1416">
        <f>T1415+0.7</f>
        <v/>
      </c>
      <c r="U1416">
        <f>U1415+1.1</f>
        <v/>
      </c>
      <c r="V1416">
        <f>V1415+0.25</f>
        <v/>
      </c>
      <c r="W1416">
        <f>W1415+0.5</f>
        <v/>
      </c>
    </row>
    <row r="1417">
      <c r="E1417">
        <f>O1417=ROUND(1406*0.1,10)</f>
        <v/>
      </c>
      <c r="F1417">
        <f>P1417=ROUND(1406*0.2,10)</f>
        <v/>
      </c>
      <c r="G1417">
        <f>Q1417=ROUND(1406*0.3,10)</f>
        <v/>
      </c>
      <c r="H1417">
        <f>R1417=ROUND(1406*0.05,10)</f>
        <v/>
      </c>
      <c r="I1417">
        <f>S1417=ROUND(1406*0.01,10)</f>
        <v/>
      </c>
      <c r="J1417">
        <f>T1417=ROUND(1406*0.7,10)</f>
        <v/>
      </c>
      <c r="K1417">
        <f>U1417=ROUND(1406*1.1,10)</f>
        <v/>
      </c>
      <c r="L1417">
        <f>V1417=ROUND(1406*0.25,10)</f>
        <v/>
      </c>
      <c r="M1417">
        <f>W1417=ROUND(1406*0.5,10)</f>
        <v/>
      </c>
      <c r="O1417">
        <f>O1416+0.1</f>
        <v/>
      </c>
      <c r="P1417">
        <f>P1416+0.2</f>
        <v/>
      </c>
      <c r="Q1417">
        <f>Q1416+0.3</f>
        <v/>
      </c>
      <c r="R1417">
        <f>R1416+0.05</f>
        <v/>
      </c>
      <c r="S1417">
        <f>S1416+0.01</f>
        <v/>
      </c>
      <c r="T1417">
        <f>T1416+0.7</f>
        <v/>
      </c>
      <c r="U1417">
        <f>U1416+1.1</f>
        <v/>
      </c>
      <c r="V1417">
        <f>V1416+0.25</f>
        <v/>
      </c>
      <c r="W1417">
        <f>W1416+0.5</f>
        <v/>
      </c>
    </row>
    <row r="1418">
      <c r="E1418">
        <f>O1418=ROUND(1407*0.1,10)</f>
        <v/>
      </c>
      <c r="F1418">
        <f>P1418=ROUND(1407*0.2,10)</f>
        <v/>
      </c>
      <c r="G1418">
        <f>Q1418=ROUND(1407*0.3,10)</f>
        <v/>
      </c>
      <c r="H1418">
        <f>R1418=ROUND(1407*0.05,10)</f>
        <v/>
      </c>
      <c r="I1418">
        <f>S1418=ROUND(1407*0.01,10)</f>
        <v/>
      </c>
      <c r="J1418">
        <f>T1418=ROUND(1407*0.7,10)</f>
        <v/>
      </c>
      <c r="K1418">
        <f>U1418=ROUND(1407*1.1,10)</f>
        <v/>
      </c>
      <c r="L1418">
        <f>V1418=ROUND(1407*0.25,10)</f>
        <v/>
      </c>
      <c r="M1418">
        <f>W1418=ROUND(1407*0.5,10)</f>
        <v/>
      </c>
      <c r="O1418">
        <f>O1417+0.1</f>
        <v/>
      </c>
      <c r="P1418">
        <f>P1417+0.2</f>
        <v/>
      </c>
      <c r="Q1418">
        <f>Q1417+0.3</f>
        <v/>
      </c>
      <c r="R1418">
        <f>R1417+0.05</f>
        <v/>
      </c>
      <c r="S1418">
        <f>S1417+0.01</f>
        <v/>
      </c>
      <c r="T1418">
        <f>T1417+0.7</f>
        <v/>
      </c>
      <c r="U1418">
        <f>U1417+1.1</f>
        <v/>
      </c>
      <c r="V1418">
        <f>V1417+0.25</f>
        <v/>
      </c>
      <c r="W1418">
        <f>W1417+0.5</f>
        <v/>
      </c>
    </row>
    <row r="1419">
      <c r="E1419">
        <f>O1419=ROUND(1408*0.1,10)</f>
        <v/>
      </c>
      <c r="F1419">
        <f>P1419=ROUND(1408*0.2,10)</f>
        <v/>
      </c>
      <c r="G1419">
        <f>Q1419=ROUND(1408*0.3,10)</f>
        <v/>
      </c>
      <c r="H1419">
        <f>R1419=ROUND(1408*0.05,10)</f>
        <v/>
      </c>
      <c r="I1419">
        <f>S1419=ROUND(1408*0.01,10)</f>
        <v/>
      </c>
      <c r="J1419">
        <f>T1419=ROUND(1408*0.7,10)</f>
        <v/>
      </c>
      <c r="K1419">
        <f>U1419=ROUND(1408*1.1,10)</f>
        <v/>
      </c>
      <c r="L1419">
        <f>V1419=ROUND(1408*0.25,10)</f>
        <v/>
      </c>
      <c r="M1419">
        <f>W1419=ROUND(1408*0.5,10)</f>
        <v/>
      </c>
      <c r="O1419">
        <f>O1418+0.1</f>
        <v/>
      </c>
      <c r="P1419">
        <f>P1418+0.2</f>
        <v/>
      </c>
      <c r="Q1419">
        <f>Q1418+0.3</f>
        <v/>
      </c>
      <c r="R1419">
        <f>R1418+0.05</f>
        <v/>
      </c>
      <c r="S1419">
        <f>S1418+0.01</f>
        <v/>
      </c>
      <c r="T1419">
        <f>T1418+0.7</f>
        <v/>
      </c>
      <c r="U1419">
        <f>U1418+1.1</f>
        <v/>
      </c>
      <c r="V1419">
        <f>V1418+0.25</f>
        <v/>
      </c>
      <c r="W1419">
        <f>W1418+0.5</f>
        <v/>
      </c>
    </row>
    <row r="1420">
      <c r="E1420">
        <f>O1420=ROUND(1409*0.1,10)</f>
        <v/>
      </c>
      <c r="F1420">
        <f>P1420=ROUND(1409*0.2,10)</f>
        <v/>
      </c>
      <c r="G1420">
        <f>Q1420=ROUND(1409*0.3,10)</f>
        <v/>
      </c>
      <c r="H1420">
        <f>R1420=ROUND(1409*0.05,10)</f>
        <v/>
      </c>
      <c r="I1420">
        <f>S1420=ROUND(1409*0.01,10)</f>
        <v/>
      </c>
      <c r="J1420">
        <f>T1420=ROUND(1409*0.7,10)</f>
        <v/>
      </c>
      <c r="K1420">
        <f>U1420=ROUND(1409*1.1,10)</f>
        <v/>
      </c>
      <c r="L1420">
        <f>V1420=ROUND(1409*0.25,10)</f>
        <v/>
      </c>
      <c r="M1420">
        <f>W1420=ROUND(1409*0.5,10)</f>
        <v/>
      </c>
      <c r="O1420">
        <f>O1419+0.1</f>
        <v/>
      </c>
      <c r="P1420">
        <f>P1419+0.2</f>
        <v/>
      </c>
      <c r="Q1420">
        <f>Q1419+0.3</f>
        <v/>
      </c>
      <c r="R1420">
        <f>R1419+0.05</f>
        <v/>
      </c>
      <c r="S1420">
        <f>S1419+0.01</f>
        <v/>
      </c>
      <c r="T1420">
        <f>T1419+0.7</f>
        <v/>
      </c>
      <c r="U1420">
        <f>U1419+1.1</f>
        <v/>
      </c>
      <c r="V1420">
        <f>V1419+0.25</f>
        <v/>
      </c>
      <c r="W1420">
        <f>W1419+0.5</f>
        <v/>
      </c>
    </row>
    <row r="1421">
      <c r="E1421">
        <f>O1421=ROUND(1410*0.1,10)</f>
        <v/>
      </c>
      <c r="F1421">
        <f>P1421=ROUND(1410*0.2,10)</f>
        <v/>
      </c>
      <c r="G1421">
        <f>Q1421=ROUND(1410*0.3,10)</f>
        <v/>
      </c>
      <c r="H1421">
        <f>R1421=ROUND(1410*0.05,10)</f>
        <v/>
      </c>
      <c r="I1421">
        <f>S1421=ROUND(1410*0.01,10)</f>
        <v/>
      </c>
      <c r="J1421">
        <f>T1421=ROUND(1410*0.7,10)</f>
        <v/>
      </c>
      <c r="K1421">
        <f>U1421=ROUND(1410*1.1,10)</f>
        <v/>
      </c>
      <c r="L1421">
        <f>V1421=ROUND(1410*0.25,10)</f>
        <v/>
      </c>
      <c r="M1421">
        <f>W1421=ROUND(1410*0.5,10)</f>
        <v/>
      </c>
      <c r="O1421">
        <f>O1420+0.1</f>
        <v/>
      </c>
      <c r="P1421">
        <f>P1420+0.2</f>
        <v/>
      </c>
      <c r="Q1421">
        <f>Q1420+0.3</f>
        <v/>
      </c>
      <c r="R1421">
        <f>R1420+0.05</f>
        <v/>
      </c>
      <c r="S1421">
        <f>S1420+0.01</f>
        <v/>
      </c>
      <c r="T1421">
        <f>T1420+0.7</f>
        <v/>
      </c>
      <c r="U1421">
        <f>U1420+1.1</f>
        <v/>
      </c>
      <c r="V1421">
        <f>V1420+0.25</f>
        <v/>
      </c>
      <c r="W1421">
        <f>W1420+0.5</f>
        <v/>
      </c>
    </row>
    <row r="1422">
      <c r="E1422">
        <f>O1422=ROUND(1411*0.1,10)</f>
        <v/>
      </c>
      <c r="F1422">
        <f>P1422=ROUND(1411*0.2,10)</f>
        <v/>
      </c>
      <c r="G1422">
        <f>Q1422=ROUND(1411*0.3,10)</f>
        <v/>
      </c>
      <c r="H1422">
        <f>R1422=ROUND(1411*0.05,10)</f>
        <v/>
      </c>
      <c r="I1422">
        <f>S1422=ROUND(1411*0.01,10)</f>
        <v/>
      </c>
      <c r="J1422">
        <f>T1422=ROUND(1411*0.7,10)</f>
        <v/>
      </c>
      <c r="K1422">
        <f>U1422=ROUND(1411*1.1,10)</f>
        <v/>
      </c>
      <c r="L1422">
        <f>V1422=ROUND(1411*0.25,10)</f>
        <v/>
      </c>
      <c r="M1422">
        <f>W1422=ROUND(1411*0.5,10)</f>
        <v/>
      </c>
      <c r="O1422">
        <f>O1421+0.1</f>
        <v/>
      </c>
      <c r="P1422">
        <f>P1421+0.2</f>
        <v/>
      </c>
      <c r="Q1422">
        <f>Q1421+0.3</f>
        <v/>
      </c>
      <c r="R1422">
        <f>R1421+0.05</f>
        <v/>
      </c>
      <c r="S1422">
        <f>S1421+0.01</f>
        <v/>
      </c>
      <c r="T1422">
        <f>T1421+0.7</f>
        <v/>
      </c>
      <c r="U1422">
        <f>U1421+1.1</f>
        <v/>
      </c>
      <c r="V1422">
        <f>V1421+0.25</f>
        <v/>
      </c>
      <c r="W1422">
        <f>W1421+0.5</f>
        <v/>
      </c>
    </row>
    <row r="1423">
      <c r="E1423">
        <f>O1423=ROUND(1412*0.1,10)</f>
        <v/>
      </c>
      <c r="F1423">
        <f>P1423=ROUND(1412*0.2,10)</f>
        <v/>
      </c>
      <c r="G1423">
        <f>Q1423=ROUND(1412*0.3,10)</f>
        <v/>
      </c>
      <c r="H1423">
        <f>R1423=ROUND(1412*0.05,10)</f>
        <v/>
      </c>
      <c r="I1423">
        <f>S1423=ROUND(1412*0.01,10)</f>
        <v/>
      </c>
      <c r="J1423">
        <f>T1423=ROUND(1412*0.7,10)</f>
        <v/>
      </c>
      <c r="K1423">
        <f>U1423=ROUND(1412*1.1,10)</f>
        <v/>
      </c>
      <c r="L1423">
        <f>V1423=ROUND(1412*0.25,10)</f>
        <v/>
      </c>
      <c r="M1423">
        <f>W1423=ROUND(1412*0.5,10)</f>
        <v/>
      </c>
      <c r="O1423">
        <f>O1422+0.1</f>
        <v/>
      </c>
      <c r="P1423">
        <f>P1422+0.2</f>
        <v/>
      </c>
      <c r="Q1423">
        <f>Q1422+0.3</f>
        <v/>
      </c>
      <c r="R1423">
        <f>R1422+0.05</f>
        <v/>
      </c>
      <c r="S1423">
        <f>S1422+0.01</f>
        <v/>
      </c>
      <c r="T1423">
        <f>T1422+0.7</f>
        <v/>
      </c>
      <c r="U1423">
        <f>U1422+1.1</f>
        <v/>
      </c>
      <c r="V1423">
        <f>V1422+0.25</f>
        <v/>
      </c>
      <c r="W1423">
        <f>W1422+0.5</f>
        <v/>
      </c>
    </row>
    <row r="1424">
      <c r="E1424">
        <f>O1424=ROUND(1413*0.1,10)</f>
        <v/>
      </c>
      <c r="F1424">
        <f>P1424=ROUND(1413*0.2,10)</f>
        <v/>
      </c>
      <c r="G1424">
        <f>Q1424=ROUND(1413*0.3,10)</f>
        <v/>
      </c>
      <c r="H1424">
        <f>R1424=ROUND(1413*0.05,10)</f>
        <v/>
      </c>
      <c r="I1424">
        <f>S1424=ROUND(1413*0.01,10)</f>
        <v/>
      </c>
      <c r="J1424">
        <f>T1424=ROUND(1413*0.7,10)</f>
        <v/>
      </c>
      <c r="K1424">
        <f>U1424=ROUND(1413*1.1,10)</f>
        <v/>
      </c>
      <c r="L1424">
        <f>V1424=ROUND(1413*0.25,10)</f>
        <v/>
      </c>
      <c r="M1424">
        <f>W1424=ROUND(1413*0.5,10)</f>
        <v/>
      </c>
      <c r="O1424">
        <f>O1423+0.1</f>
        <v/>
      </c>
      <c r="P1424">
        <f>P1423+0.2</f>
        <v/>
      </c>
      <c r="Q1424">
        <f>Q1423+0.3</f>
        <v/>
      </c>
      <c r="R1424">
        <f>R1423+0.05</f>
        <v/>
      </c>
      <c r="S1424">
        <f>S1423+0.01</f>
        <v/>
      </c>
      <c r="T1424">
        <f>T1423+0.7</f>
        <v/>
      </c>
      <c r="U1424">
        <f>U1423+1.1</f>
        <v/>
      </c>
      <c r="V1424">
        <f>V1423+0.25</f>
        <v/>
      </c>
      <c r="W1424">
        <f>W1423+0.5</f>
        <v/>
      </c>
    </row>
    <row r="1425">
      <c r="E1425">
        <f>O1425=ROUND(1414*0.1,10)</f>
        <v/>
      </c>
      <c r="F1425">
        <f>P1425=ROUND(1414*0.2,10)</f>
        <v/>
      </c>
      <c r="G1425">
        <f>Q1425=ROUND(1414*0.3,10)</f>
        <v/>
      </c>
      <c r="H1425">
        <f>R1425=ROUND(1414*0.05,10)</f>
        <v/>
      </c>
      <c r="I1425">
        <f>S1425=ROUND(1414*0.01,10)</f>
        <v/>
      </c>
      <c r="J1425">
        <f>T1425=ROUND(1414*0.7,10)</f>
        <v/>
      </c>
      <c r="K1425">
        <f>U1425=ROUND(1414*1.1,10)</f>
        <v/>
      </c>
      <c r="L1425">
        <f>V1425=ROUND(1414*0.25,10)</f>
        <v/>
      </c>
      <c r="M1425">
        <f>W1425=ROUND(1414*0.5,10)</f>
        <v/>
      </c>
      <c r="O1425">
        <f>O1424+0.1</f>
        <v/>
      </c>
      <c r="P1425">
        <f>P1424+0.2</f>
        <v/>
      </c>
      <c r="Q1425">
        <f>Q1424+0.3</f>
        <v/>
      </c>
      <c r="R1425">
        <f>R1424+0.05</f>
        <v/>
      </c>
      <c r="S1425">
        <f>S1424+0.01</f>
        <v/>
      </c>
      <c r="T1425">
        <f>T1424+0.7</f>
        <v/>
      </c>
      <c r="U1425">
        <f>U1424+1.1</f>
        <v/>
      </c>
      <c r="V1425">
        <f>V1424+0.25</f>
        <v/>
      </c>
      <c r="W1425">
        <f>W1424+0.5</f>
        <v/>
      </c>
    </row>
    <row r="1426">
      <c r="E1426">
        <f>O1426=ROUND(1415*0.1,10)</f>
        <v/>
      </c>
      <c r="F1426">
        <f>P1426=ROUND(1415*0.2,10)</f>
        <v/>
      </c>
      <c r="G1426">
        <f>Q1426=ROUND(1415*0.3,10)</f>
        <v/>
      </c>
      <c r="H1426">
        <f>R1426=ROUND(1415*0.05,10)</f>
        <v/>
      </c>
      <c r="I1426">
        <f>S1426=ROUND(1415*0.01,10)</f>
        <v/>
      </c>
      <c r="J1426">
        <f>T1426=ROUND(1415*0.7,10)</f>
        <v/>
      </c>
      <c r="K1426">
        <f>U1426=ROUND(1415*1.1,10)</f>
        <v/>
      </c>
      <c r="L1426">
        <f>V1426=ROUND(1415*0.25,10)</f>
        <v/>
      </c>
      <c r="M1426">
        <f>W1426=ROUND(1415*0.5,10)</f>
        <v/>
      </c>
      <c r="O1426">
        <f>O1425+0.1</f>
        <v/>
      </c>
      <c r="P1426">
        <f>P1425+0.2</f>
        <v/>
      </c>
      <c r="Q1426">
        <f>Q1425+0.3</f>
        <v/>
      </c>
      <c r="R1426">
        <f>R1425+0.05</f>
        <v/>
      </c>
      <c r="S1426">
        <f>S1425+0.01</f>
        <v/>
      </c>
      <c r="T1426">
        <f>T1425+0.7</f>
        <v/>
      </c>
      <c r="U1426">
        <f>U1425+1.1</f>
        <v/>
      </c>
      <c r="V1426">
        <f>V1425+0.25</f>
        <v/>
      </c>
      <c r="W1426">
        <f>W1425+0.5</f>
        <v/>
      </c>
    </row>
    <row r="1427">
      <c r="E1427">
        <f>O1427=ROUND(1416*0.1,10)</f>
        <v/>
      </c>
      <c r="F1427">
        <f>P1427=ROUND(1416*0.2,10)</f>
        <v/>
      </c>
      <c r="G1427">
        <f>Q1427=ROUND(1416*0.3,10)</f>
        <v/>
      </c>
      <c r="H1427">
        <f>R1427=ROUND(1416*0.05,10)</f>
        <v/>
      </c>
      <c r="I1427">
        <f>S1427=ROUND(1416*0.01,10)</f>
        <v/>
      </c>
      <c r="J1427">
        <f>T1427=ROUND(1416*0.7,10)</f>
        <v/>
      </c>
      <c r="K1427">
        <f>U1427=ROUND(1416*1.1,10)</f>
        <v/>
      </c>
      <c r="L1427">
        <f>V1427=ROUND(1416*0.25,10)</f>
        <v/>
      </c>
      <c r="M1427">
        <f>W1427=ROUND(1416*0.5,10)</f>
        <v/>
      </c>
      <c r="O1427">
        <f>O1426+0.1</f>
        <v/>
      </c>
      <c r="P1427">
        <f>P1426+0.2</f>
        <v/>
      </c>
      <c r="Q1427">
        <f>Q1426+0.3</f>
        <v/>
      </c>
      <c r="R1427">
        <f>R1426+0.05</f>
        <v/>
      </c>
      <c r="S1427">
        <f>S1426+0.01</f>
        <v/>
      </c>
      <c r="T1427">
        <f>T1426+0.7</f>
        <v/>
      </c>
      <c r="U1427">
        <f>U1426+1.1</f>
        <v/>
      </c>
      <c r="V1427">
        <f>V1426+0.25</f>
        <v/>
      </c>
      <c r="W1427">
        <f>W1426+0.5</f>
        <v/>
      </c>
    </row>
    <row r="1428">
      <c r="E1428">
        <f>O1428=ROUND(1417*0.1,10)</f>
        <v/>
      </c>
      <c r="F1428">
        <f>P1428=ROUND(1417*0.2,10)</f>
        <v/>
      </c>
      <c r="G1428">
        <f>Q1428=ROUND(1417*0.3,10)</f>
        <v/>
      </c>
      <c r="H1428">
        <f>R1428=ROUND(1417*0.05,10)</f>
        <v/>
      </c>
      <c r="I1428">
        <f>S1428=ROUND(1417*0.01,10)</f>
        <v/>
      </c>
      <c r="J1428">
        <f>T1428=ROUND(1417*0.7,10)</f>
        <v/>
      </c>
      <c r="K1428">
        <f>U1428=ROUND(1417*1.1,10)</f>
        <v/>
      </c>
      <c r="L1428">
        <f>V1428=ROUND(1417*0.25,10)</f>
        <v/>
      </c>
      <c r="M1428">
        <f>W1428=ROUND(1417*0.5,10)</f>
        <v/>
      </c>
      <c r="O1428">
        <f>O1427+0.1</f>
        <v/>
      </c>
      <c r="P1428">
        <f>P1427+0.2</f>
        <v/>
      </c>
      <c r="Q1428">
        <f>Q1427+0.3</f>
        <v/>
      </c>
      <c r="R1428">
        <f>R1427+0.05</f>
        <v/>
      </c>
      <c r="S1428">
        <f>S1427+0.01</f>
        <v/>
      </c>
      <c r="T1428">
        <f>T1427+0.7</f>
        <v/>
      </c>
      <c r="U1428">
        <f>U1427+1.1</f>
        <v/>
      </c>
      <c r="V1428">
        <f>V1427+0.25</f>
        <v/>
      </c>
      <c r="W1428">
        <f>W1427+0.5</f>
        <v/>
      </c>
    </row>
    <row r="1429">
      <c r="E1429">
        <f>O1429=ROUND(1418*0.1,10)</f>
        <v/>
      </c>
      <c r="F1429">
        <f>P1429=ROUND(1418*0.2,10)</f>
        <v/>
      </c>
      <c r="G1429">
        <f>Q1429=ROUND(1418*0.3,10)</f>
        <v/>
      </c>
      <c r="H1429">
        <f>R1429=ROUND(1418*0.05,10)</f>
        <v/>
      </c>
      <c r="I1429">
        <f>S1429=ROUND(1418*0.01,10)</f>
        <v/>
      </c>
      <c r="J1429">
        <f>T1429=ROUND(1418*0.7,10)</f>
        <v/>
      </c>
      <c r="K1429">
        <f>U1429=ROUND(1418*1.1,10)</f>
        <v/>
      </c>
      <c r="L1429">
        <f>V1429=ROUND(1418*0.25,10)</f>
        <v/>
      </c>
      <c r="M1429">
        <f>W1429=ROUND(1418*0.5,10)</f>
        <v/>
      </c>
      <c r="O1429">
        <f>O1428+0.1</f>
        <v/>
      </c>
      <c r="P1429">
        <f>P1428+0.2</f>
        <v/>
      </c>
      <c r="Q1429">
        <f>Q1428+0.3</f>
        <v/>
      </c>
      <c r="R1429">
        <f>R1428+0.05</f>
        <v/>
      </c>
      <c r="S1429">
        <f>S1428+0.01</f>
        <v/>
      </c>
      <c r="T1429">
        <f>T1428+0.7</f>
        <v/>
      </c>
      <c r="U1429">
        <f>U1428+1.1</f>
        <v/>
      </c>
      <c r="V1429">
        <f>V1428+0.25</f>
        <v/>
      </c>
      <c r="W1429">
        <f>W1428+0.5</f>
        <v/>
      </c>
    </row>
    <row r="1430">
      <c r="E1430">
        <f>O1430=ROUND(1419*0.1,10)</f>
        <v/>
      </c>
      <c r="F1430">
        <f>P1430=ROUND(1419*0.2,10)</f>
        <v/>
      </c>
      <c r="G1430">
        <f>Q1430=ROUND(1419*0.3,10)</f>
        <v/>
      </c>
      <c r="H1430">
        <f>R1430=ROUND(1419*0.05,10)</f>
        <v/>
      </c>
      <c r="I1430">
        <f>S1430=ROUND(1419*0.01,10)</f>
        <v/>
      </c>
      <c r="J1430">
        <f>T1430=ROUND(1419*0.7,10)</f>
        <v/>
      </c>
      <c r="K1430">
        <f>U1430=ROUND(1419*1.1,10)</f>
        <v/>
      </c>
      <c r="L1430">
        <f>V1430=ROUND(1419*0.25,10)</f>
        <v/>
      </c>
      <c r="M1430">
        <f>W1430=ROUND(1419*0.5,10)</f>
        <v/>
      </c>
      <c r="O1430">
        <f>O1429+0.1</f>
        <v/>
      </c>
      <c r="P1430">
        <f>P1429+0.2</f>
        <v/>
      </c>
      <c r="Q1430">
        <f>Q1429+0.3</f>
        <v/>
      </c>
      <c r="R1430">
        <f>R1429+0.05</f>
        <v/>
      </c>
      <c r="S1430">
        <f>S1429+0.01</f>
        <v/>
      </c>
      <c r="T1430">
        <f>T1429+0.7</f>
        <v/>
      </c>
      <c r="U1430">
        <f>U1429+1.1</f>
        <v/>
      </c>
      <c r="V1430">
        <f>V1429+0.25</f>
        <v/>
      </c>
      <c r="W1430">
        <f>W1429+0.5</f>
        <v/>
      </c>
    </row>
    <row r="1431">
      <c r="E1431">
        <f>O1431=ROUND(1420*0.1,10)</f>
        <v/>
      </c>
      <c r="F1431">
        <f>P1431=ROUND(1420*0.2,10)</f>
        <v/>
      </c>
      <c r="G1431">
        <f>Q1431=ROUND(1420*0.3,10)</f>
        <v/>
      </c>
      <c r="H1431">
        <f>R1431=ROUND(1420*0.05,10)</f>
        <v/>
      </c>
      <c r="I1431">
        <f>S1431=ROUND(1420*0.01,10)</f>
        <v/>
      </c>
      <c r="J1431">
        <f>T1431=ROUND(1420*0.7,10)</f>
        <v/>
      </c>
      <c r="K1431">
        <f>U1431=ROUND(1420*1.1,10)</f>
        <v/>
      </c>
      <c r="L1431">
        <f>V1431=ROUND(1420*0.25,10)</f>
        <v/>
      </c>
      <c r="M1431">
        <f>W1431=ROUND(1420*0.5,10)</f>
        <v/>
      </c>
      <c r="O1431">
        <f>O1430+0.1</f>
        <v/>
      </c>
      <c r="P1431">
        <f>P1430+0.2</f>
        <v/>
      </c>
      <c r="Q1431">
        <f>Q1430+0.3</f>
        <v/>
      </c>
      <c r="R1431">
        <f>R1430+0.05</f>
        <v/>
      </c>
      <c r="S1431">
        <f>S1430+0.01</f>
        <v/>
      </c>
      <c r="T1431">
        <f>T1430+0.7</f>
        <v/>
      </c>
      <c r="U1431">
        <f>U1430+1.1</f>
        <v/>
      </c>
      <c r="V1431">
        <f>V1430+0.25</f>
        <v/>
      </c>
      <c r="W1431">
        <f>W1430+0.5</f>
        <v/>
      </c>
    </row>
    <row r="1432">
      <c r="E1432">
        <f>O1432=ROUND(1421*0.1,10)</f>
        <v/>
      </c>
      <c r="F1432">
        <f>P1432=ROUND(1421*0.2,10)</f>
        <v/>
      </c>
      <c r="G1432">
        <f>Q1432=ROUND(1421*0.3,10)</f>
        <v/>
      </c>
      <c r="H1432">
        <f>R1432=ROUND(1421*0.05,10)</f>
        <v/>
      </c>
      <c r="I1432">
        <f>S1432=ROUND(1421*0.01,10)</f>
        <v/>
      </c>
      <c r="J1432">
        <f>T1432=ROUND(1421*0.7,10)</f>
        <v/>
      </c>
      <c r="K1432">
        <f>U1432=ROUND(1421*1.1,10)</f>
        <v/>
      </c>
      <c r="L1432">
        <f>V1432=ROUND(1421*0.25,10)</f>
        <v/>
      </c>
      <c r="M1432">
        <f>W1432=ROUND(1421*0.5,10)</f>
        <v/>
      </c>
      <c r="O1432">
        <f>O1431+0.1</f>
        <v/>
      </c>
      <c r="P1432">
        <f>P1431+0.2</f>
        <v/>
      </c>
      <c r="Q1432">
        <f>Q1431+0.3</f>
        <v/>
      </c>
      <c r="R1432">
        <f>R1431+0.05</f>
        <v/>
      </c>
      <c r="S1432">
        <f>S1431+0.01</f>
        <v/>
      </c>
      <c r="T1432">
        <f>T1431+0.7</f>
        <v/>
      </c>
      <c r="U1432">
        <f>U1431+1.1</f>
        <v/>
      </c>
      <c r="V1432">
        <f>V1431+0.25</f>
        <v/>
      </c>
      <c r="W1432">
        <f>W1431+0.5</f>
        <v/>
      </c>
    </row>
    <row r="1433">
      <c r="E1433">
        <f>O1433=ROUND(1422*0.1,10)</f>
        <v/>
      </c>
      <c r="F1433">
        <f>P1433=ROUND(1422*0.2,10)</f>
        <v/>
      </c>
      <c r="G1433">
        <f>Q1433=ROUND(1422*0.3,10)</f>
        <v/>
      </c>
      <c r="H1433">
        <f>R1433=ROUND(1422*0.05,10)</f>
        <v/>
      </c>
      <c r="I1433">
        <f>S1433=ROUND(1422*0.01,10)</f>
        <v/>
      </c>
      <c r="J1433">
        <f>T1433=ROUND(1422*0.7,10)</f>
        <v/>
      </c>
      <c r="K1433">
        <f>U1433=ROUND(1422*1.1,10)</f>
        <v/>
      </c>
      <c r="L1433">
        <f>V1433=ROUND(1422*0.25,10)</f>
        <v/>
      </c>
      <c r="M1433">
        <f>W1433=ROUND(1422*0.5,10)</f>
        <v/>
      </c>
      <c r="O1433">
        <f>O1432+0.1</f>
        <v/>
      </c>
      <c r="P1433">
        <f>P1432+0.2</f>
        <v/>
      </c>
      <c r="Q1433">
        <f>Q1432+0.3</f>
        <v/>
      </c>
      <c r="R1433">
        <f>R1432+0.05</f>
        <v/>
      </c>
      <c r="S1433">
        <f>S1432+0.01</f>
        <v/>
      </c>
      <c r="T1433">
        <f>T1432+0.7</f>
        <v/>
      </c>
      <c r="U1433">
        <f>U1432+1.1</f>
        <v/>
      </c>
      <c r="V1433">
        <f>V1432+0.25</f>
        <v/>
      </c>
      <c r="W1433">
        <f>W1432+0.5</f>
        <v/>
      </c>
    </row>
    <row r="1434">
      <c r="E1434">
        <f>O1434=ROUND(1423*0.1,10)</f>
        <v/>
      </c>
      <c r="F1434">
        <f>P1434=ROUND(1423*0.2,10)</f>
        <v/>
      </c>
      <c r="G1434">
        <f>Q1434=ROUND(1423*0.3,10)</f>
        <v/>
      </c>
      <c r="H1434">
        <f>R1434=ROUND(1423*0.05,10)</f>
        <v/>
      </c>
      <c r="I1434">
        <f>S1434=ROUND(1423*0.01,10)</f>
        <v/>
      </c>
      <c r="J1434">
        <f>T1434=ROUND(1423*0.7,10)</f>
        <v/>
      </c>
      <c r="K1434">
        <f>U1434=ROUND(1423*1.1,10)</f>
        <v/>
      </c>
      <c r="L1434">
        <f>V1434=ROUND(1423*0.25,10)</f>
        <v/>
      </c>
      <c r="M1434">
        <f>W1434=ROUND(1423*0.5,10)</f>
        <v/>
      </c>
      <c r="O1434">
        <f>O1433+0.1</f>
        <v/>
      </c>
      <c r="P1434">
        <f>P1433+0.2</f>
        <v/>
      </c>
      <c r="Q1434">
        <f>Q1433+0.3</f>
        <v/>
      </c>
      <c r="R1434">
        <f>R1433+0.05</f>
        <v/>
      </c>
      <c r="S1434">
        <f>S1433+0.01</f>
        <v/>
      </c>
      <c r="T1434">
        <f>T1433+0.7</f>
        <v/>
      </c>
      <c r="U1434">
        <f>U1433+1.1</f>
        <v/>
      </c>
      <c r="V1434">
        <f>V1433+0.25</f>
        <v/>
      </c>
      <c r="W1434">
        <f>W1433+0.5</f>
        <v/>
      </c>
    </row>
    <row r="1435">
      <c r="E1435">
        <f>O1435=ROUND(1424*0.1,10)</f>
        <v/>
      </c>
      <c r="F1435">
        <f>P1435=ROUND(1424*0.2,10)</f>
        <v/>
      </c>
      <c r="G1435">
        <f>Q1435=ROUND(1424*0.3,10)</f>
        <v/>
      </c>
      <c r="H1435">
        <f>R1435=ROUND(1424*0.05,10)</f>
        <v/>
      </c>
      <c r="I1435">
        <f>S1435=ROUND(1424*0.01,10)</f>
        <v/>
      </c>
      <c r="J1435">
        <f>T1435=ROUND(1424*0.7,10)</f>
        <v/>
      </c>
      <c r="K1435">
        <f>U1435=ROUND(1424*1.1,10)</f>
        <v/>
      </c>
      <c r="L1435">
        <f>V1435=ROUND(1424*0.25,10)</f>
        <v/>
      </c>
      <c r="M1435">
        <f>W1435=ROUND(1424*0.5,10)</f>
        <v/>
      </c>
      <c r="O1435">
        <f>O1434+0.1</f>
        <v/>
      </c>
      <c r="P1435">
        <f>P1434+0.2</f>
        <v/>
      </c>
      <c r="Q1435">
        <f>Q1434+0.3</f>
        <v/>
      </c>
      <c r="R1435">
        <f>R1434+0.05</f>
        <v/>
      </c>
      <c r="S1435">
        <f>S1434+0.01</f>
        <v/>
      </c>
      <c r="T1435">
        <f>T1434+0.7</f>
        <v/>
      </c>
      <c r="U1435">
        <f>U1434+1.1</f>
        <v/>
      </c>
      <c r="V1435">
        <f>V1434+0.25</f>
        <v/>
      </c>
      <c r="W1435">
        <f>W1434+0.5</f>
        <v/>
      </c>
    </row>
    <row r="1436">
      <c r="E1436">
        <f>O1436=ROUND(1425*0.1,10)</f>
        <v/>
      </c>
      <c r="F1436">
        <f>P1436=ROUND(1425*0.2,10)</f>
        <v/>
      </c>
      <c r="G1436">
        <f>Q1436=ROUND(1425*0.3,10)</f>
        <v/>
      </c>
      <c r="H1436">
        <f>R1436=ROUND(1425*0.05,10)</f>
        <v/>
      </c>
      <c r="I1436">
        <f>S1436=ROUND(1425*0.01,10)</f>
        <v/>
      </c>
      <c r="J1436">
        <f>T1436=ROUND(1425*0.7,10)</f>
        <v/>
      </c>
      <c r="K1436">
        <f>U1436=ROUND(1425*1.1,10)</f>
        <v/>
      </c>
      <c r="L1436">
        <f>V1436=ROUND(1425*0.25,10)</f>
        <v/>
      </c>
      <c r="M1436">
        <f>W1436=ROUND(1425*0.5,10)</f>
        <v/>
      </c>
      <c r="O1436">
        <f>O1435+0.1</f>
        <v/>
      </c>
      <c r="P1436">
        <f>P1435+0.2</f>
        <v/>
      </c>
      <c r="Q1436">
        <f>Q1435+0.3</f>
        <v/>
      </c>
      <c r="R1436">
        <f>R1435+0.05</f>
        <v/>
      </c>
      <c r="S1436">
        <f>S1435+0.01</f>
        <v/>
      </c>
      <c r="T1436">
        <f>T1435+0.7</f>
        <v/>
      </c>
      <c r="U1436">
        <f>U1435+1.1</f>
        <v/>
      </c>
      <c r="V1436">
        <f>V1435+0.25</f>
        <v/>
      </c>
      <c r="W1436">
        <f>W1435+0.5</f>
        <v/>
      </c>
    </row>
    <row r="1437">
      <c r="E1437">
        <f>O1437=ROUND(1426*0.1,10)</f>
        <v/>
      </c>
      <c r="F1437">
        <f>P1437=ROUND(1426*0.2,10)</f>
        <v/>
      </c>
      <c r="G1437">
        <f>Q1437=ROUND(1426*0.3,10)</f>
        <v/>
      </c>
      <c r="H1437">
        <f>R1437=ROUND(1426*0.05,10)</f>
        <v/>
      </c>
      <c r="I1437">
        <f>S1437=ROUND(1426*0.01,10)</f>
        <v/>
      </c>
      <c r="J1437">
        <f>T1437=ROUND(1426*0.7,10)</f>
        <v/>
      </c>
      <c r="K1437">
        <f>U1437=ROUND(1426*1.1,10)</f>
        <v/>
      </c>
      <c r="L1437">
        <f>V1437=ROUND(1426*0.25,10)</f>
        <v/>
      </c>
      <c r="M1437">
        <f>W1437=ROUND(1426*0.5,10)</f>
        <v/>
      </c>
      <c r="O1437">
        <f>O1436+0.1</f>
        <v/>
      </c>
      <c r="P1437">
        <f>P1436+0.2</f>
        <v/>
      </c>
      <c r="Q1437">
        <f>Q1436+0.3</f>
        <v/>
      </c>
      <c r="R1437">
        <f>R1436+0.05</f>
        <v/>
      </c>
      <c r="S1437">
        <f>S1436+0.01</f>
        <v/>
      </c>
      <c r="T1437">
        <f>T1436+0.7</f>
        <v/>
      </c>
      <c r="U1437">
        <f>U1436+1.1</f>
        <v/>
      </c>
      <c r="V1437">
        <f>V1436+0.25</f>
        <v/>
      </c>
      <c r="W1437">
        <f>W1436+0.5</f>
        <v/>
      </c>
    </row>
    <row r="1438">
      <c r="E1438">
        <f>O1438=ROUND(1427*0.1,10)</f>
        <v/>
      </c>
      <c r="F1438">
        <f>P1438=ROUND(1427*0.2,10)</f>
        <v/>
      </c>
      <c r="G1438">
        <f>Q1438=ROUND(1427*0.3,10)</f>
        <v/>
      </c>
      <c r="H1438">
        <f>R1438=ROUND(1427*0.05,10)</f>
        <v/>
      </c>
      <c r="I1438">
        <f>S1438=ROUND(1427*0.01,10)</f>
        <v/>
      </c>
      <c r="J1438">
        <f>T1438=ROUND(1427*0.7,10)</f>
        <v/>
      </c>
      <c r="K1438">
        <f>U1438=ROUND(1427*1.1,10)</f>
        <v/>
      </c>
      <c r="L1438">
        <f>V1438=ROUND(1427*0.25,10)</f>
        <v/>
      </c>
      <c r="M1438">
        <f>W1438=ROUND(1427*0.5,10)</f>
        <v/>
      </c>
      <c r="O1438">
        <f>O1437+0.1</f>
        <v/>
      </c>
      <c r="P1438">
        <f>P1437+0.2</f>
        <v/>
      </c>
      <c r="Q1438">
        <f>Q1437+0.3</f>
        <v/>
      </c>
      <c r="R1438">
        <f>R1437+0.05</f>
        <v/>
      </c>
      <c r="S1438">
        <f>S1437+0.01</f>
        <v/>
      </c>
      <c r="T1438">
        <f>T1437+0.7</f>
        <v/>
      </c>
      <c r="U1438">
        <f>U1437+1.1</f>
        <v/>
      </c>
      <c r="V1438">
        <f>V1437+0.25</f>
        <v/>
      </c>
      <c r="W1438">
        <f>W1437+0.5</f>
        <v/>
      </c>
    </row>
    <row r="1439">
      <c r="E1439">
        <f>O1439=ROUND(1428*0.1,10)</f>
        <v/>
      </c>
      <c r="F1439">
        <f>P1439=ROUND(1428*0.2,10)</f>
        <v/>
      </c>
      <c r="G1439">
        <f>Q1439=ROUND(1428*0.3,10)</f>
        <v/>
      </c>
      <c r="H1439">
        <f>R1439=ROUND(1428*0.05,10)</f>
        <v/>
      </c>
      <c r="I1439">
        <f>S1439=ROUND(1428*0.01,10)</f>
        <v/>
      </c>
      <c r="J1439">
        <f>T1439=ROUND(1428*0.7,10)</f>
        <v/>
      </c>
      <c r="K1439">
        <f>U1439=ROUND(1428*1.1,10)</f>
        <v/>
      </c>
      <c r="L1439">
        <f>V1439=ROUND(1428*0.25,10)</f>
        <v/>
      </c>
      <c r="M1439">
        <f>W1439=ROUND(1428*0.5,10)</f>
        <v/>
      </c>
      <c r="O1439">
        <f>O1438+0.1</f>
        <v/>
      </c>
      <c r="P1439">
        <f>P1438+0.2</f>
        <v/>
      </c>
      <c r="Q1439">
        <f>Q1438+0.3</f>
        <v/>
      </c>
      <c r="R1439">
        <f>R1438+0.05</f>
        <v/>
      </c>
      <c r="S1439">
        <f>S1438+0.01</f>
        <v/>
      </c>
      <c r="T1439">
        <f>T1438+0.7</f>
        <v/>
      </c>
      <c r="U1439">
        <f>U1438+1.1</f>
        <v/>
      </c>
      <c r="V1439">
        <f>V1438+0.25</f>
        <v/>
      </c>
      <c r="W1439">
        <f>W1438+0.5</f>
        <v/>
      </c>
    </row>
    <row r="1440">
      <c r="E1440">
        <f>O1440=ROUND(1429*0.1,10)</f>
        <v/>
      </c>
      <c r="F1440">
        <f>P1440=ROUND(1429*0.2,10)</f>
        <v/>
      </c>
      <c r="G1440">
        <f>Q1440=ROUND(1429*0.3,10)</f>
        <v/>
      </c>
      <c r="H1440">
        <f>R1440=ROUND(1429*0.05,10)</f>
        <v/>
      </c>
      <c r="I1440">
        <f>S1440=ROUND(1429*0.01,10)</f>
        <v/>
      </c>
      <c r="J1440">
        <f>T1440=ROUND(1429*0.7,10)</f>
        <v/>
      </c>
      <c r="K1440">
        <f>U1440=ROUND(1429*1.1,10)</f>
        <v/>
      </c>
      <c r="L1440">
        <f>V1440=ROUND(1429*0.25,10)</f>
        <v/>
      </c>
      <c r="M1440">
        <f>W1440=ROUND(1429*0.5,10)</f>
        <v/>
      </c>
      <c r="O1440">
        <f>O1439+0.1</f>
        <v/>
      </c>
      <c r="P1440">
        <f>P1439+0.2</f>
        <v/>
      </c>
      <c r="Q1440">
        <f>Q1439+0.3</f>
        <v/>
      </c>
      <c r="R1440">
        <f>R1439+0.05</f>
        <v/>
      </c>
      <c r="S1440">
        <f>S1439+0.01</f>
        <v/>
      </c>
      <c r="T1440">
        <f>T1439+0.7</f>
        <v/>
      </c>
      <c r="U1440">
        <f>U1439+1.1</f>
        <v/>
      </c>
      <c r="V1440">
        <f>V1439+0.25</f>
        <v/>
      </c>
      <c r="W1440">
        <f>W1439+0.5</f>
        <v/>
      </c>
    </row>
    <row r="1441">
      <c r="E1441">
        <f>O1441=ROUND(1430*0.1,10)</f>
        <v/>
      </c>
      <c r="F1441">
        <f>P1441=ROUND(1430*0.2,10)</f>
        <v/>
      </c>
      <c r="G1441">
        <f>Q1441=ROUND(1430*0.3,10)</f>
        <v/>
      </c>
      <c r="H1441">
        <f>R1441=ROUND(1430*0.05,10)</f>
        <v/>
      </c>
      <c r="I1441">
        <f>S1441=ROUND(1430*0.01,10)</f>
        <v/>
      </c>
      <c r="J1441">
        <f>T1441=ROUND(1430*0.7,10)</f>
        <v/>
      </c>
      <c r="K1441">
        <f>U1441=ROUND(1430*1.1,10)</f>
        <v/>
      </c>
      <c r="L1441">
        <f>V1441=ROUND(1430*0.25,10)</f>
        <v/>
      </c>
      <c r="M1441">
        <f>W1441=ROUND(1430*0.5,10)</f>
        <v/>
      </c>
      <c r="O1441">
        <f>O1440+0.1</f>
        <v/>
      </c>
      <c r="P1441">
        <f>P1440+0.2</f>
        <v/>
      </c>
      <c r="Q1441">
        <f>Q1440+0.3</f>
        <v/>
      </c>
      <c r="R1441">
        <f>R1440+0.05</f>
        <v/>
      </c>
      <c r="S1441">
        <f>S1440+0.01</f>
        <v/>
      </c>
      <c r="T1441">
        <f>T1440+0.7</f>
        <v/>
      </c>
      <c r="U1441">
        <f>U1440+1.1</f>
        <v/>
      </c>
      <c r="V1441">
        <f>V1440+0.25</f>
        <v/>
      </c>
      <c r="W1441">
        <f>W1440+0.5</f>
        <v/>
      </c>
    </row>
    <row r="1442">
      <c r="E1442">
        <f>O1442=ROUND(1431*0.1,10)</f>
        <v/>
      </c>
      <c r="F1442">
        <f>P1442=ROUND(1431*0.2,10)</f>
        <v/>
      </c>
      <c r="G1442">
        <f>Q1442=ROUND(1431*0.3,10)</f>
        <v/>
      </c>
      <c r="H1442">
        <f>R1442=ROUND(1431*0.05,10)</f>
        <v/>
      </c>
      <c r="I1442">
        <f>S1442=ROUND(1431*0.01,10)</f>
        <v/>
      </c>
      <c r="J1442">
        <f>T1442=ROUND(1431*0.7,10)</f>
        <v/>
      </c>
      <c r="K1442">
        <f>U1442=ROUND(1431*1.1,10)</f>
        <v/>
      </c>
      <c r="L1442">
        <f>V1442=ROUND(1431*0.25,10)</f>
        <v/>
      </c>
      <c r="M1442">
        <f>W1442=ROUND(1431*0.5,10)</f>
        <v/>
      </c>
      <c r="O1442">
        <f>O1441+0.1</f>
        <v/>
      </c>
      <c r="P1442">
        <f>P1441+0.2</f>
        <v/>
      </c>
      <c r="Q1442">
        <f>Q1441+0.3</f>
        <v/>
      </c>
      <c r="R1442">
        <f>R1441+0.05</f>
        <v/>
      </c>
      <c r="S1442">
        <f>S1441+0.01</f>
        <v/>
      </c>
      <c r="T1442">
        <f>T1441+0.7</f>
        <v/>
      </c>
      <c r="U1442">
        <f>U1441+1.1</f>
        <v/>
      </c>
      <c r="V1442">
        <f>V1441+0.25</f>
        <v/>
      </c>
      <c r="W1442">
        <f>W1441+0.5</f>
        <v/>
      </c>
    </row>
    <row r="1443">
      <c r="E1443">
        <f>O1443=ROUND(1432*0.1,10)</f>
        <v/>
      </c>
      <c r="F1443">
        <f>P1443=ROUND(1432*0.2,10)</f>
        <v/>
      </c>
      <c r="G1443">
        <f>Q1443=ROUND(1432*0.3,10)</f>
        <v/>
      </c>
      <c r="H1443">
        <f>R1443=ROUND(1432*0.05,10)</f>
        <v/>
      </c>
      <c r="I1443">
        <f>S1443=ROUND(1432*0.01,10)</f>
        <v/>
      </c>
      <c r="J1443">
        <f>T1443=ROUND(1432*0.7,10)</f>
        <v/>
      </c>
      <c r="K1443">
        <f>U1443=ROUND(1432*1.1,10)</f>
        <v/>
      </c>
      <c r="L1443">
        <f>V1443=ROUND(1432*0.25,10)</f>
        <v/>
      </c>
      <c r="M1443">
        <f>W1443=ROUND(1432*0.5,10)</f>
        <v/>
      </c>
      <c r="O1443">
        <f>O1442+0.1</f>
        <v/>
      </c>
      <c r="P1443">
        <f>P1442+0.2</f>
        <v/>
      </c>
      <c r="Q1443">
        <f>Q1442+0.3</f>
        <v/>
      </c>
      <c r="R1443">
        <f>R1442+0.05</f>
        <v/>
      </c>
      <c r="S1443">
        <f>S1442+0.01</f>
        <v/>
      </c>
      <c r="T1443">
        <f>T1442+0.7</f>
        <v/>
      </c>
      <c r="U1443">
        <f>U1442+1.1</f>
        <v/>
      </c>
      <c r="V1443">
        <f>V1442+0.25</f>
        <v/>
      </c>
      <c r="W1443">
        <f>W1442+0.5</f>
        <v/>
      </c>
    </row>
    <row r="1444">
      <c r="E1444">
        <f>O1444=ROUND(1433*0.1,10)</f>
        <v/>
      </c>
      <c r="F1444">
        <f>P1444=ROUND(1433*0.2,10)</f>
        <v/>
      </c>
      <c r="G1444">
        <f>Q1444=ROUND(1433*0.3,10)</f>
        <v/>
      </c>
      <c r="H1444">
        <f>R1444=ROUND(1433*0.05,10)</f>
        <v/>
      </c>
      <c r="I1444">
        <f>S1444=ROUND(1433*0.01,10)</f>
        <v/>
      </c>
      <c r="J1444">
        <f>T1444=ROUND(1433*0.7,10)</f>
        <v/>
      </c>
      <c r="K1444">
        <f>U1444=ROUND(1433*1.1,10)</f>
        <v/>
      </c>
      <c r="L1444">
        <f>V1444=ROUND(1433*0.25,10)</f>
        <v/>
      </c>
      <c r="M1444">
        <f>W1444=ROUND(1433*0.5,10)</f>
        <v/>
      </c>
      <c r="O1444">
        <f>O1443+0.1</f>
        <v/>
      </c>
      <c r="P1444">
        <f>P1443+0.2</f>
        <v/>
      </c>
      <c r="Q1444">
        <f>Q1443+0.3</f>
        <v/>
      </c>
      <c r="R1444">
        <f>R1443+0.05</f>
        <v/>
      </c>
      <c r="S1444">
        <f>S1443+0.01</f>
        <v/>
      </c>
      <c r="T1444">
        <f>T1443+0.7</f>
        <v/>
      </c>
      <c r="U1444">
        <f>U1443+1.1</f>
        <v/>
      </c>
      <c r="V1444">
        <f>V1443+0.25</f>
        <v/>
      </c>
      <c r="W1444">
        <f>W1443+0.5</f>
        <v/>
      </c>
    </row>
    <row r="1445">
      <c r="E1445">
        <f>O1445=ROUND(1434*0.1,10)</f>
        <v/>
      </c>
      <c r="F1445">
        <f>P1445=ROUND(1434*0.2,10)</f>
        <v/>
      </c>
      <c r="G1445">
        <f>Q1445=ROUND(1434*0.3,10)</f>
        <v/>
      </c>
      <c r="H1445">
        <f>R1445=ROUND(1434*0.05,10)</f>
        <v/>
      </c>
      <c r="I1445">
        <f>S1445=ROUND(1434*0.01,10)</f>
        <v/>
      </c>
      <c r="J1445">
        <f>T1445=ROUND(1434*0.7,10)</f>
        <v/>
      </c>
      <c r="K1445">
        <f>U1445=ROUND(1434*1.1,10)</f>
        <v/>
      </c>
      <c r="L1445">
        <f>V1445=ROUND(1434*0.25,10)</f>
        <v/>
      </c>
      <c r="M1445">
        <f>W1445=ROUND(1434*0.5,10)</f>
        <v/>
      </c>
      <c r="O1445">
        <f>O1444+0.1</f>
        <v/>
      </c>
      <c r="P1445">
        <f>P1444+0.2</f>
        <v/>
      </c>
      <c r="Q1445">
        <f>Q1444+0.3</f>
        <v/>
      </c>
      <c r="R1445">
        <f>R1444+0.05</f>
        <v/>
      </c>
      <c r="S1445">
        <f>S1444+0.01</f>
        <v/>
      </c>
      <c r="T1445">
        <f>T1444+0.7</f>
        <v/>
      </c>
      <c r="U1445">
        <f>U1444+1.1</f>
        <v/>
      </c>
      <c r="V1445">
        <f>V1444+0.25</f>
        <v/>
      </c>
      <c r="W1445">
        <f>W1444+0.5</f>
        <v/>
      </c>
    </row>
    <row r="1446">
      <c r="E1446">
        <f>O1446=ROUND(1435*0.1,10)</f>
        <v/>
      </c>
      <c r="F1446">
        <f>P1446=ROUND(1435*0.2,10)</f>
        <v/>
      </c>
      <c r="G1446">
        <f>Q1446=ROUND(1435*0.3,10)</f>
        <v/>
      </c>
      <c r="H1446">
        <f>R1446=ROUND(1435*0.05,10)</f>
        <v/>
      </c>
      <c r="I1446">
        <f>S1446=ROUND(1435*0.01,10)</f>
        <v/>
      </c>
      <c r="J1446">
        <f>T1446=ROUND(1435*0.7,10)</f>
        <v/>
      </c>
      <c r="K1446">
        <f>U1446=ROUND(1435*1.1,10)</f>
        <v/>
      </c>
      <c r="L1446">
        <f>V1446=ROUND(1435*0.25,10)</f>
        <v/>
      </c>
      <c r="M1446">
        <f>W1446=ROUND(1435*0.5,10)</f>
        <v/>
      </c>
      <c r="O1446">
        <f>O1445+0.1</f>
        <v/>
      </c>
      <c r="P1446">
        <f>P1445+0.2</f>
        <v/>
      </c>
      <c r="Q1446">
        <f>Q1445+0.3</f>
        <v/>
      </c>
      <c r="R1446">
        <f>R1445+0.05</f>
        <v/>
      </c>
      <c r="S1446">
        <f>S1445+0.01</f>
        <v/>
      </c>
      <c r="T1446">
        <f>T1445+0.7</f>
        <v/>
      </c>
      <c r="U1446">
        <f>U1445+1.1</f>
        <v/>
      </c>
      <c r="V1446">
        <f>V1445+0.25</f>
        <v/>
      </c>
      <c r="W1446">
        <f>W1445+0.5</f>
        <v/>
      </c>
    </row>
    <row r="1447">
      <c r="E1447">
        <f>O1447=ROUND(1436*0.1,10)</f>
        <v/>
      </c>
      <c r="F1447">
        <f>P1447=ROUND(1436*0.2,10)</f>
        <v/>
      </c>
      <c r="G1447">
        <f>Q1447=ROUND(1436*0.3,10)</f>
        <v/>
      </c>
      <c r="H1447">
        <f>R1447=ROUND(1436*0.05,10)</f>
        <v/>
      </c>
      <c r="I1447">
        <f>S1447=ROUND(1436*0.01,10)</f>
        <v/>
      </c>
      <c r="J1447">
        <f>T1447=ROUND(1436*0.7,10)</f>
        <v/>
      </c>
      <c r="K1447">
        <f>U1447=ROUND(1436*1.1,10)</f>
        <v/>
      </c>
      <c r="L1447">
        <f>V1447=ROUND(1436*0.25,10)</f>
        <v/>
      </c>
      <c r="M1447">
        <f>W1447=ROUND(1436*0.5,10)</f>
        <v/>
      </c>
      <c r="O1447">
        <f>O1446+0.1</f>
        <v/>
      </c>
      <c r="P1447">
        <f>P1446+0.2</f>
        <v/>
      </c>
      <c r="Q1447">
        <f>Q1446+0.3</f>
        <v/>
      </c>
      <c r="R1447">
        <f>R1446+0.05</f>
        <v/>
      </c>
      <c r="S1447">
        <f>S1446+0.01</f>
        <v/>
      </c>
      <c r="T1447">
        <f>T1446+0.7</f>
        <v/>
      </c>
      <c r="U1447">
        <f>U1446+1.1</f>
        <v/>
      </c>
      <c r="V1447">
        <f>V1446+0.25</f>
        <v/>
      </c>
      <c r="W1447">
        <f>W1446+0.5</f>
        <v/>
      </c>
    </row>
    <row r="1448">
      <c r="E1448">
        <f>O1448=ROUND(1437*0.1,10)</f>
        <v/>
      </c>
      <c r="F1448">
        <f>P1448=ROUND(1437*0.2,10)</f>
        <v/>
      </c>
      <c r="G1448">
        <f>Q1448=ROUND(1437*0.3,10)</f>
        <v/>
      </c>
      <c r="H1448">
        <f>R1448=ROUND(1437*0.05,10)</f>
        <v/>
      </c>
      <c r="I1448">
        <f>S1448=ROUND(1437*0.01,10)</f>
        <v/>
      </c>
      <c r="J1448">
        <f>T1448=ROUND(1437*0.7,10)</f>
        <v/>
      </c>
      <c r="K1448">
        <f>U1448=ROUND(1437*1.1,10)</f>
        <v/>
      </c>
      <c r="L1448">
        <f>V1448=ROUND(1437*0.25,10)</f>
        <v/>
      </c>
      <c r="M1448">
        <f>W1448=ROUND(1437*0.5,10)</f>
        <v/>
      </c>
      <c r="O1448">
        <f>O1447+0.1</f>
        <v/>
      </c>
      <c r="P1448">
        <f>P1447+0.2</f>
        <v/>
      </c>
      <c r="Q1448">
        <f>Q1447+0.3</f>
        <v/>
      </c>
      <c r="R1448">
        <f>R1447+0.05</f>
        <v/>
      </c>
      <c r="S1448">
        <f>S1447+0.01</f>
        <v/>
      </c>
      <c r="T1448">
        <f>T1447+0.7</f>
        <v/>
      </c>
      <c r="U1448">
        <f>U1447+1.1</f>
        <v/>
      </c>
      <c r="V1448">
        <f>V1447+0.25</f>
        <v/>
      </c>
      <c r="W1448">
        <f>W1447+0.5</f>
        <v/>
      </c>
    </row>
    <row r="1449">
      <c r="E1449">
        <f>O1449=ROUND(1438*0.1,10)</f>
        <v/>
      </c>
      <c r="F1449">
        <f>P1449=ROUND(1438*0.2,10)</f>
        <v/>
      </c>
      <c r="G1449">
        <f>Q1449=ROUND(1438*0.3,10)</f>
        <v/>
      </c>
      <c r="H1449">
        <f>R1449=ROUND(1438*0.05,10)</f>
        <v/>
      </c>
      <c r="I1449">
        <f>S1449=ROUND(1438*0.01,10)</f>
        <v/>
      </c>
      <c r="J1449">
        <f>T1449=ROUND(1438*0.7,10)</f>
        <v/>
      </c>
      <c r="K1449">
        <f>U1449=ROUND(1438*1.1,10)</f>
        <v/>
      </c>
      <c r="L1449">
        <f>V1449=ROUND(1438*0.25,10)</f>
        <v/>
      </c>
      <c r="M1449">
        <f>W1449=ROUND(1438*0.5,10)</f>
        <v/>
      </c>
      <c r="O1449">
        <f>O1448+0.1</f>
        <v/>
      </c>
      <c r="P1449">
        <f>P1448+0.2</f>
        <v/>
      </c>
      <c r="Q1449">
        <f>Q1448+0.3</f>
        <v/>
      </c>
      <c r="R1449">
        <f>R1448+0.05</f>
        <v/>
      </c>
      <c r="S1449">
        <f>S1448+0.01</f>
        <v/>
      </c>
      <c r="T1449">
        <f>T1448+0.7</f>
        <v/>
      </c>
      <c r="U1449">
        <f>U1448+1.1</f>
        <v/>
      </c>
      <c r="V1449">
        <f>V1448+0.25</f>
        <v/>
      </c>
      <c r="W1449">
        <f>W1448+0.5</f>
        <v/>
      </c>
    </row>
    <row r="1450">
      <c r="E1450">
        <f>O1450=ROUND(1439*0.1,10)</f>
        <v/>
      </c>
      <c r="F1450">
        <f>P1450=ROUND(1439*0.2,10)</f>
        <v/>
      </c>
      <c r="G1450">
        <f>Q1450=ROUND(1439*0.3,10)</f>
        <v/>
      </c>
      <c r="H1450">
        <f>R1450=ROUND(1439*0.05,10)</f>
        <v/>
      </c>
      <c r="I1450">
        <f>S1450=ROUND(1439*0.01,10)</f>
        <v/>
      </c>
      <c r="J1450">
        <f>T1450=ROUND(1439*0.7,10)</f>
        <v/>
      </c>
      <c r="K1450">
        <f>U1450=ROUND(1439*1.1,10)</f>
        <v/>
      </c>
      <c r="L1450">
        <f>V1450=ROUND(1439*0.25,10)</f>
        <v/>
      </c>
      <c r="M1450">
        <f>W1450=ROUND(1439*0.5,10)</f>
        <v/>
      </c>
      <c r="O1450">
        <f>O1449+0.1</f>
        <v/>
      </c>
      <c r="P1450">
        <f>P1449+0.2</f>
        <v/>
      </c>
      <c r="Q1450">
        <f>Q1449+0.3</f>
        <v/>
      </c>
      <c r="R1450">
        <f>R1449+0.05</f>
        <v/>
      </c>
      <c r="S1450">
        <f>S1449+0.01</f>
        <v/>
      </c>
      <c r="T1450">
        <f>T1449+0.7</f>
        <v/>
      </c>
      <c r="U1450">
        <f>U1449+1.1</f>
        <v/>
      </c>
      <c r="V1450">
        <f>V1449+0.25</f>
        <v/>
      </c>
      <c r="W1450">
        <f>W1449+0.5</f>
        <v/>
      </c>
    </row>
    <row r="1451">
      <c r="E1451">
        <f>O1451=ROUND(1440*0.1,10)</f>
        <v/>
      </c>
      <c r="F1451">
        <f>P1451=ROUND(1440*0.2,10)</f>
        <v/>
      </c>
      <c r="G1451">
        <f>Q1451=ROUND(1440*0.3,10)</f>
        <v/>
      </c>
      <c r="H1451">
        <f>R1451=ROUND(1440*0.05,10)</f>
        <v/>
      </c>
      <c r="I1451">
        <f>S1451=ROUND(1440*0.01,10)</f>
        <v/>
      </c>
      <c r="J1451">
        <f>T1451=ROUND(1440*0.7,10)</f>
        <v/>
      </c>
      <c r="K1451">
        <f>U1451=ROUND(1440*1.1,10)</f>
        <v/>
      </c>
      <c r="L1451">
        <f>V1451=ROUND(1440*0.25,10)</f>
        <v/>
      </c>
      <c r="M1451">
        <f>W1451=ROUND(1440*0.5,10)</f>
        <v/>
      </c>
      <c r="O1451">
        <f>O1450+0.1</f>
        <v/>
      </c>
      <c r="P1451">
        <f>P1450+0.2</f>
        <v/>
      </c>
      <c r="Q1451">
        <f>Q1450+0.3</f>
        <v/>
      </c>
      <c r="R1451">
        <f>R1450+0.05</f>
        <v/>
      </c>
      <c r="S1451">
        <f>S1450+0.01</f>
        <v/>
      </c>
      <c r="T1451">
        <f>T1450+0.7</f>
        <v/>
      </c>
      <c r="U1451">
        <f>U1450+1.1</f>
        <v/>
      </c>
      <c r="V1451">
        <f>V1450+0.25</f>
        <v/>
      </c>
      <c r="W1451">
        <f>W1450+0.5</f>
        <v/>
      </c>
    </row>
    <row r="1452">
      <c r="E1452">
        <f>O1452=ROUND(1441*0.1,10)</f>
        <v/>
      </c>
      <c r="F1452">
        <f>P1452=ROUND(1441*0.2,10)</f>
        <v/>
      </c>
      <c r="G1452">
        <f>Q1452=ROUND(1441*0.3,10)</f>
        <v/>
      </c>
      <c r="H1452">
        <f>R1452=ROUND(1441*0.05,10)</f>
        <v/>
      </c>
      <c r="I1452">
        <f>S1452=ROUND(1441*0.01,10)</f>
        <v/>
      </c>
      <c r="J1452">
        <f>T1452=ROUND(1441*0.7,10)</f>
        <v/>
      </c>
      <c r="K1452">
        <f>U1452=ROUND(1441*1.1,10)</f>
        <v/>
      </c>
      <c r="L1452">
        <f>V1452=ROUND(1441*0.25,10)</f>
        <v/>
      </c>
      <c r="M1452">
        <f>W1452=ROUND(1441*0.5,10)</f>
        <v/>
      </c>
      <c r="O1452">
        <f>O1451+0.1</f>
        <v/>
      </c>
      <c r="P1452">
        <f>P1451+0.2</f>
        <v/>
      </c>
      <c r="Q1452">
        <f>Q1451+0.3</f>
        <v/>
      </c>
      <c r="R1452">
        <f>R1451+0.05</f>
        <v/>
      </c>
      <c r="S1452">
        <f>S1451+0.01</f>
        <v/>
      </c>
      <c r="T1452">
        <f>T1451+0.7</f>
        <v/>
      </c>
      <c r="U1452">
        <f>U1451+1.1</f>
        <v/>
      </c>
      <c r="V1452">
        <f>V1451+0.25</f>
        <v/>
      </c>
      <c r="W1452">
        <f>W1451+0.5</f>
        <v/>
      </c>
    </row>
    <row r="1453">
      <c r="E1453">
        <f>O1453=ROUND(1442*0.1,10)</f>
        <v/>
      </c>
      <c r="F1453">
        <f>P1453=ROUND(1442*0.2,10)</f>
        <v/>
      </c>
      <c r="G1453">
        <f>Q1453=ROUND(1442*0.3,10)</f>
        <v/>
      </c>
      <c r="H1453">
        <f>R1453=ROUND(1442*0.05,10)</f>
        <v/>
      </c>
      <c r="I1453">
        <f>S1453=ROUND(1442*0.01,10)</f>
        <v/>
      </c>
      <c r="J1453">
        <f>T1453=ROUND(1442*0.7,10)</f>
        <v/>
      </c>
      <c r="K1453">
        <f>U1453=ROUND(1442*1.1,10)</f>
        <v/>
      </c>
      <c r="L1453">
        <f>V1453=ROUND(1442*0.25,10)</f>
        <v/>
      </c>
      <c r="M1453">
        <f>W1453=ROUND(1442*0.5,10)</f>
        <v/>
      </c>
      <c r="O1453">
        <f>O1452+0.1</f>
        <v/>
      </c>
      <c r="P1453">
        <f>P1452+0.2</f>
        <v/>
      </c>
      <c r="Q1453">
        <f>Q1452+0.3</f>
        <v/>
      </c>
      <c r="R1453">
        <f>R1452+0.05</f>
        <v/>
      </c>
      <c r="S1453">
        <f>S1452+0.01</f>
        <v/>
      </c>
      <c r="T1453">
        <f>T1452+0.7</f>
        <v/>
      </c>
      <c r="U1453">
        <f>U1452+1.1</f>
        <v/>
      </c>
      <c r="V1453">
        <f>V1452+0.25</f>
        <v/>
      </c>
      <c r="W1453">
        <f>W1452+0.5</f>
        <v/>
      </c>
    </row>
    <row r="1454">
      <c r="E1454">
        <f>O1454=ROUND(1443*0.1,10)</f>
        <v/>
      </c>
      <c r="F1454">
        <f>P1454=ROUND(1443*0.2,10)</f>
        <v/>
      </c>
      <c r="G1454">
        <f>Q1454=ROUND(1443*0.3,10)</f>
        <v/>
      </c>
      <c r="H1454">
        <f>R1454=ROUND(1443*0.05,10)</f>
        <v/>
      </c>
      <c r="I1454">
        <f>S1454=ROUND(1443*0.01,10)</f>
        <v/>
      </c>
      <c r="J1454">
        <f>T1454=ROUND(1443*0.7,10)</f>
        <v/>
      </c>
      <c r="K1454">
        <f>U1454=ROUND(1443*1.1,10)</f>
        <v/>
      </c>
      <c r="L1454">
        <f>V1454=ROUND(1443*0.25,10)</f>
        <v/>
      </c>
      <c r="M1454">
        <f>W1454=ROUND(1443*0.5,10)</f>
        <v/>
      </c>
      <c r="O1454">
        <f>O1453+0.1</f>
        <v/>
      </c>
      <c r="P1454">
        <f>P1453+0.2</f>
        <v/>
      </c>
      <c r="Q1454">
        <f>Q1453+0.3</f>
        <v/>
      </c>
      <c r="R1454">
        <f>R1453+0.05</f>
        <v/>
      </c>
      <c r="S1454">
        <f>S1453+0.01</f>
        <v/>
      </c>
      <c r="T1454">
        <f>T1453+0.7</f>
        <v/>
      </c>
      <c r="U1454">
        <f>U1453+1.1</f>
        <v/>
      </c>
      <c r="V1454">
        <f>V1453+0.25</f>
        <v/>
      </c>
      <c r="W1454">
        <f>W1453+0.5</f>
        <v/>
      </c>
    </row>
    <row r="1455">
      <c r="E1455">
        <f>O1455=ROUND(1444*0.1,10)</f>
        <v/>
      </c>
      <c r="F1455">
        <f>P1455=ROUND(1444*0.2,10)</f>
        <v/>
      </c>
      <c r="G1455">
        <f>Q1455=ROUND(1444*0.3,10)</f>
        <v/>
      </c>
      <c r="H1455">
        <f>R1455=ROUND(1444*0.05,10)</f>
        <v/>
      </c>
      <c r="I1455">
        <f>S1455=ROUND(1444*0.01,10)</f>
        <v/>
      </c>
      <c r="J1455">
        <f>T1455=ROUND(1444*0.7,10)</f>
        <v/>
      </c>
      <c r="K1455">
        <f>U1455=ROUND(1444*1.1,10)</f>
        <v/>
      </c>
      <c r="L1455">
        <f>V1455=ROUND(1444*0.25,10)</f>
        <v/>
      </c>
      <c r="M1455">
        <f>W1455=ROUND(1444*0.5,10)</f>
        <v/>
      </c>
      <c r="O1455">
        <f>O1454+0.1</f>
        <v/>
      </c>
      <c r="P1455">
        <f>P1454+0.2</f>
        <v/>
      </c>
      <c r="Q1455">
        <f>Q1454+0.3</f>
        <v/>
      </c>
      <c r="R1455">
        <f>R1454+0.05</f>
        <v/>
      </c>
      <c r="S1455">
        <f>S1454+0.01</f>
        <v/>
      </c>
      <c r="T1455">
        <f>T1454+0.7</f>
        <v/>
      </c>
      <c r="U1455">
        <f>U1454+1.1</f>
        <v/>
      </c>
      <c r="V1455">
        <f>V1454+0.25</f>
        <v/>
      </c>
      <c r="W1455">
        <f>W1454+0.5</f>
        <v/>
      </c>
    </row>
    <row r="1456">
      <c r="E1456">
        <f>O1456=ROUND(1445*0.1,10)</f>
        <v/>
      </c>
      <c r="F1456">
        <f>P1456=ROUND(1445*0.2,10)</f>
        <v/>
      </c>
      <c r="G1456">
        <f>Q1456=ROUND(1445*0.3,10)</f>
        <v/>
      </c>
      <c r="H1456">
        <f>R1456=ROUND(1445*0.05,10)</f>
        <v/>
      </c>
      <c r="I1456">
        <f>S1456=ROUND(1445*0.01,10)</f>
        <v/>
      </c>
      <c r="J1456">
        <f>T1456=ROUND(1445*0.7,10)</f>
        <v/>
      </c>
      <c r="K1456">
        <f>U1456=ROUND(1445*1.1,10)</f>
        <v/>
      </c>
      <c r="L1456">
        <f>V1456=ROUND(1445*0.25,10)</f>
        <v/>
      </c>
      <c r="M1456">
        <f>W1456=ROUND(1445*0.5,10)</f>
        <v/>
      </c>
      <c r="O1456">
        <f>O1455+0.1</f>
        <v/>
      </c>
      <c r="P1456">
        <f>P1455+0.2</f>
        <v/>
      </c>
      <c r="Q1456">
        <f>Q1455+0.3</f>
        <v/>
      </c>
      <c r="R1456">
        <f>R1455+0.05</f>
        <v/>
      </c>
      <c r="S1456">
        <f>S1455+0.01</f>
        <v/>
      </c>
      <c r="T1456">
        <f>T1455+0.7</f>
        <v/>
      </c>
      <c r="U1456">
        <f>U1455+1.1</f>
        <v/>
      </c>
      <c r="V1456">
        <f>V1455+0.25</f>
        <v/>
      </c>
      <c r="W1456">
        <f>W1455+0.5</f>
        <v/>
      </c>
    </row>
    <row r="1457">
      <c r="E1457">
        <f>O1457=ROUND(1446*0.1,10)</f>
        <v/>
      </c>
      <c r="F1457">
        <f>P1457=ROUND(1446*0.2,10)</f>
        <v/>
      </c>
      <c r="G1457">
        <f>Q1457=ROUND(1446*0.3,10)</f>
        <v/>
      </c>
      <c r="H1457">
        <f>R1457=ROUND(1446*0.05,10)</f>
        <v/>
      </c>
      <c r="I1457">
        <f>S1457=ROUND(1446*0.01,10)</f>
        <v/>
      </c>
      <c r="J1457">
        <f>T1457=ROUND(1446*0.7,10)</f>
        <v/>
      </c>
      <c r="K1457">
        <f>U1457=ROUND(1446*1.1,10)</f>
        <v/>
      </c>
      <c r="L1457">
        <f>V1457=ROUND(1446*0.25,10)</f>
        <v/>
      </c>
      <c r="M1457">
        <f>W1457=ROUND(1446*0.5,10)</f>
        <v/>
      </c>
      <c r="O1457">
        <f>O1456+0.1</f>
        <v/>
      </c>
      <c r="P1457">
        <f>P1456+0.2</f>
        <v/>
      </c>
      <c r="Q1457">
        <f>Q1456+0.3</f>
        <v/>
      </c>
      <c r="R1457">
        <f>R1456+0.05</f>
        <v/>
      </c>
      <c r="S1457">
        <f>S1456+0.01</f>
        <v/>
      </c>
      <c r="T1457">
        <f>T1456+0.7</f>
        <v/>
      </c>
      <c r="U1457">
        <f>U1456+1.1</f>
        <v/>
      </c>
      <c r="V1457">
        <f>V1456+0.25</f>
        <v/>
      </c>
      <c r="W1457">
        <f>W1456+0.5</f>
        <v/>
      </c>
    </row>
    <row r="1458">
      <c r="E1458">
        <f>O1458=ROUND(1447*0.1,10)</f>
        <v/>
      </c>
      <c r="F1458">
        <f>P1458=ROUND(1447*0.2,10)</f>
        <v/>
      </c>
      <c r="G1458">
        <f>Q1458=ROUND(1447*0.3,10)</f>
        <v/>
      </c>
      <c r="H1458">
        <f>R1458=ROUND(1447*0.05,10)</f>
        <v/>
      </c>
      <c r="I1458">
        <f>S1458=ROUND(1447*0.01,10)</f>
        <v/>
      </c>
      <c r="J1458">
        <f>T1458=ROUND(1447*0.7,10)</f>
        <v/>
      </c>
      <c r="K1458">
        <f>U1458=ROUND(1447*1.1,10)</f>
        <v/>
      </c>
      <c r="L1458">
        <f>V1458=ROUND(1447*0.25,10)</f>
        <v/>
      </c>
      <c r="M1458">
        <f>W1458=ROUND(1447*0.5,10)</f>
        <v/>
      </c>
      <c r="O1458">
        <f>O1457+0.1</f>
        <v/>
      </c>
      <c r="P1458">
        <f>P1457+0.2</f>
        <v/>
      </c>
      <c r="Q1458">
        <f>Q1457+0.3</f>
        <v/>
      </c>
      <c r="R1458">
        <f>R1457+0.05</f>
        <v/>
      </c>
      <c r="S1458">
        <f>S1457+0.01</f>
        <v/>
      </c>
      <c r="T1458">
        <f>T1457+0.7</f>
        <v/>
      </c>
      <c r="U1458">
        <f>U1457+1.1</f>
        <v/>
      </c>
      <c r="V1458">
        <f>V1457+0.25</f>
        <v/>
      </c>
      <c r="W1458">
        <f>W1457+0.5</f>
        <v/>
      </c>
    </row>
    <row r="1459">
      <c r="E1459">
        <f>O1459=ROUND(1448*0.1,10)</f>
        <v/>
      </c>
      <c r="F1459">
        <f>P1459=ROUND(1448*0.2,10)</f>
        <v/>
      </c>
      <c r="G1459">
        <f>Q1459=ROUND(1448*0.3,10)</f>
        <v/>
      </c>
      <c r="H1459">
        <f>R1459=ROUND(1448*0.05,10)</f>
        <v/>
      </c>
      <c r="I1459">
        <f>S1459=ROUND(1448*0.01,10)</f>
        <v/>
      </c>
      <c r="J1459">
        <f>T1459=ROUND(1448*0.7,10)</f>
        <v/>
      </c>
      <c r="K1459">
        <f>U1459=ROUND(1448*1.1,10)</f>
        <v/>
      </c>
      <c r="L1459">
        <f>V1459=ROUND(1448*0.25,10)</f>
        <v/>
      </c>
      <c r="M1459">
        <f>W1459=ROUND(1448*0.5,10)</f>
        <v/>
      </c>
      <c r="O1459">
        <f>O1458+0.1</f>
        <v/>
      </c>
      <c r="P1459">
        <f>P1458+0.2</f>
        <v/>
      </c>
      <c r="Q1459">
        <f>Q1458+0.3</f>
        <v/>
      </c>
      <c r="R1459">
        <f>R1458+0.05</f>
        <v/>
      </c>
      <c r="S1459">
        <f>S1458+0.01</f>
        <v/>
      </c>
      <c r="T1459">
        <f>T1458+0.7</f>
        <v/>
      </c>
      <c r="U1459">
        <f>U1458+1.1</f>
        <v/>
      </c>
      <c r="V1459">
        <f>V1458+0.25</f>
        <v/>
      </c>
      <c r="W1459">
        <f>W1458+0.5</f>
        <v/>
      </c>
    </row>
    <row r="1460">
      <c r="E1460">
        <f>O1460=ROUND(1449*0.1,10)</f>
        <v/>
      </c>
      <c r="F1460">
        <f>P1460=ROUND(1449*0.2,10)</f>
        <v/>
      </c>
      <c r="G1460">
        <f>Q1460=ROUND(1449*0.3,10)</f>
        <v/>
      </c>
      <c r="H1460">
        <f>R1460=ROUND(1449*0.05,10)</f>
        <v/>
      </c>
      <c r="I1460">
        <f>S1460=ROUND(1449*0.01,10)</f>
        <v/>
      </c>
      <c r="J1460">
        <f>T1460=ROUND(1449*0.7,10)</f>
        <v/>
      </c>
      <c r="K1460">
        <f>U1460=ROUND(1449*1.1,10)</f>
        <v/>
      </c>
      <c r="L1460">
        <f>V1460=ROUND(1449*0.25,10)</f>
        <v/>
      </c>
      <c r="M1460">
        <f>W1460=ROUND(1449*0.5,10)</f>
        <v/>
      </c>
      <c r="O1460">
        <f>O1459+0.1</f>
        <v/>
      </c>
      <c r="P1460">
        <f>P1459+0.2</f>
        <v/>
      </c>
      <c r="Q1460">
        <f>Q1459+0.3</f>
        <v/>
      </c>
      <c r="R1460">
        <f>R1459+0.05</f>
        <v/>
      </c>
      <c r="S1460">
        <f>S1459+0.01</f>
        <v/>
      </c>
      <c r="T1460">
        <f>T1459+0.7</f>
        <v/>
      </c>
      <c r="U1460">
        <f>U1459+1.1</f>
        <v/>
      </c>
      <c r="V1460">
        <f>V1459+0.25</f>
        <v/>
      </c>
      <c r="W1460">
        <f>W1459+0.5</f>
        <v/>
      </c>
    </row>
    <row r="1461">
      <c r="E1461">
        <f>O1461=ROUND(1450*0.1,10)</f>
        <v/>
      </c>
      <c r="F1461">
        <f>P1461=ROUND(1450*0.2,10)</f>
        <v/>
      </c>
      <c r="G1461">
        <f>Q1461=ROUND(1450*0.3,10)</f>
        <v/>
      </c>
      <c r="H1461">
        <f>R1461=ROUND(1450*0.05,10)</f>
        <v/>
      </c>
      <c r="I1461">
        <f>S1461=ROUND(1450*0.01,10)</f>
        <v/>
      </c>
      <c r="J1461">
        <f>T1461=ROUND(1450*0.7,10)</f>
        <v/>
      </c>
      <c r="K1461">
        <f>U1461=ROUND(1450*1.1,10)</f>
        <v/>
      </c>
      <c r="L1461">
        <f>V1461=ROUND(1450*0.25,10)</f>
        <v/>
      </c>
      <c r="M1461">
        <f>W1461=ROUND(1450*0.5,10)</f>
        <v/>
      </c>
      <c r="O1461">
        <f>O1460+0.1</f>
        <v/>
      </c>
      <c r="P1461">
        <f>P1460+0.2</f>
        <v/>
      </c>
      <c r="Q1461">
        <f>Q1460+0.3</f>
        <v/>
      </c>
      <c r="R1461">
        <f>R1460+0.05</f>
        <v/>
      </c>
      <c r="S1461">
        <f>S1460+0.01</f>
        <v/>
      </c>
      <c r="T1461">
        <f>T1460+0.7</f>
        <v/>
      </c>
      <c r="U1461">
        <f>U1460+1.1</f>
        <v/>
      </c>
      <c r="V1461">
        <f>V1460+0.25</f>
        <v/>
      </c>
      <c r="W1461">
        <f>W1460+0.5</f>
        <v/>
      </c>
    </row>
    <row r="1462">
      <c r="E1462">
        <f>O1462=ROUND(1451*0.1,10)</f>
        <v/>
      </c>
      <c r="F1462">
        <f>P1462=ROUND(1451*0.2,10)</f>
        <v/>
      </c>
      <c r="G1462">
        <f>Q1462=ROUND(1451*0.3,10)</f>
        <v/>
      </c>
      <c r="H1462">
        <f>R1462=ROUND(1451*0.05,10)</f>
        <v/>
      </c>
      <c r="I1462">
        <f>S1462=ROUND(1451*0.01,10)</f>
        <v/>
      </c>
      <c r="J1462">
        <f>T1462=ROUND(1451*0.7,10)</f>
        <v/>
      </c>
      <c r="K1462">
        <f>U1462=ROUND(1451*1.1,10)</f>
        <v/>
      </c>
      <c r="L1462">
        <f>V1462=ROUND(1451*0.25,10)</f>
        <v/>
      </c>
      <c r="M1462">
        <f>W1462=ROUND(1451*0.5,10)</f>
        <v/>
      </c>
      <c r="O1462">
        <f>O1461+0.1</f>
        <v/>
      </c>
      <c r="P1462">
        <f>P1461+0.2</f>
        <v/>
      </c>
      <c r="Q1462">
        <f>Q1461+0.3</f>
        <v/>
      </c>
      <c r="R1462">
        <f>R1461+0.05</f>
        <v/>
      </c>
      <c r="S1462">
        <f>S1461+0.01</f>
        <v/>
      </c>
      <c r="T1462">
        <f>T1461+0.7</f>
        <v/>
      </c>
      <c r="U1462">
        <f>U1461+1.1</f>
        <v/>
      </c>
      <c r="V1462">
        <f>V1461+0.25</f>
        <v/>
      </c>
      <c r="W1462">
        <f>W1461+0.5</f>
        <v/>
      </c>
    </row>
    <row r="1463">
      <c r="E1463">
        <f>O1463=ROUND(1452*0.1,10)</f>
        <v/>
      </c>
      <c r="F1463">
        <f>P1463=ROUND(1452*0.2,10)</f>
        <v/>
      </c>
      <c r="G1463">
        <f>Q1463=ROUND(1452*0.3,10)</f>
        <v/>
      </c>
      <c r="H1463">
        <f>R1463=ROUND(1452*0.05,10)</f>
        <v/>
      </c>
      <c r="I1463">
        <f>S1463=ROUND(1452*0.01,10)</f>
        <v/>
      </c>
      <c r="J1463">
        <f>T1463=ROUND(1452*0.7,10)</f>
        <v/>
      </c>
      <c r="K1463">
        <f>U1463=ROUND(1452*1.1,10)</f>
        <v/>
      </c>
      <c r="L1463">
        <f>V1463=ROUND(1452*0.25,10)</f>
        <v/>
      </c>
      <c r="M1463">
        <f>W1463=ROUND(1452*0.5,10)</f>
        <v/>
      </c>
      <c r="O1463">
        <f>O1462+0.1</f>
        <v/>
      </c>
      <c r="P1463">
        <f>P1462+0.2</f>
        <v/>
      </c>
      <c r="Q1463">
        <f>Q1462+0.3</f>
        <v/>
      </c>
      <c r="R1463">
        <f>R1462+0.05</f>
        <v/>
      </c>
      <c r="S1463">
        <f>S1462+0.01</f>
        <v/>
      </c>
      <c r="T1463">
        <f>T1462+0.7</f>
        <v/>
      </c>
      <c r="U1463">
        <f>U1462+1.1</f>
        <v/>
      </c>
      <c r="V1463">
        <f>V1462+0.25</f>
        <v/>
      </c>
      <c r="W1463">
        <f>W1462+0.5</f>
        <v/>
      </c>
    </row>
    <row r="1464">
      <c r="E1464">
        <f>O1464=ROUND(1453*0.1,10)</f>
        <v/>
      </c>
      <c r="F1464">
        <f>P1464=ROUND(1453*0.2,10)</f>
        <v/>
      </c>
      <c r="G1464">
        <f>Q1464=ROUND(1453*0.3,10)</f>
        <v/>
      </c>
      <c r="H1464">
        <f>R1464=ROUND(1453*0.05,10)</f>
        <v/>
      </c>
      <c r="I1464">
        <f>S1464=ROUND(1453*0.01,10)</f>
        <v/>
      </c>
      <c r="J1464">
        <f>T1464=ROUND(1453*0.7,10)</f>
        <v/>
      </c>
      <c r="K1464">
        <f>U1464=ROUND(1453*1.1,10)</f>
        <v/>
      </c>
      <c r="L1464">
        <f>V1464=ROUND(1453*0.25,10)</f>
        <v/>
      </c>
      <c r="M1464">
        <f>W1464=ROUND(1453*0.5,10)</f>
        <v/>
      </c>
      <c r="O1464">
        <f>O1463+0.1</f>
        <v/>
      </c>
      <c r="P1464">
        <f>P1463+0.2</f>
        <v/>
      </c>
      <c r="Q1464">
        <f>Q1463+0.3</f>
        <v/>
      </c>
      <c r="R1464">
        <f>R1463+0.05</f>
        <v/>
      </c>
      <c r="S1464">
        <f>S1463+0.01</f>
        <v/>
      </c>
      <c r="T1464">
        <f>T1463+0.7</f>
        <v/>
      </c>
      <c r="U1464">
        <f>U1463+1.1</f>
        <v/>
      </c>
      <c r="V1464">
        <f>V1463+0.25</f>
        <v/>
      </c>
      <c r="W1464">
        <f>W1463+0.5</f>
        <v/>
      </c>
    </row>
    <row r="1465">
      <c r="E1465">
        <f>O1465=ROUND(1454*0.1,10)</f>
        <v/>
      </c>
      <c r="F1465">
        <f>P1465=ROUND(1454*0.2,10)</f>
        <v/>
      </c>
      <c r="G1465">
        <f>Q1465=ROUND(1454*0.3,10)</f>
        <v/>
      </c>
      <c r="H1465">
        <f>R1465=ROUND(1454*0.05,10)</f>
        <v/>
      </c>
      <c r="I1465">
        <f>S1465=ROUND(1454*0.01,10)</f>
        <v/>
      </c>
      <c r="J1465">
        <f>T1465=ROUND(1454*0.7,10)</f>
        <v/>
      </c>
      <c r="K1465">
        <f>U1465=ROUND(1454*1.1,10)</f>
        <v/>
      </c>
      <c r="L1465">
        <f>V1465=ROUND(1454*0.25,10)</f>
        <v/>
      </c>
      <c r="M1465">
        <f>W1465=ROUND(1454*0.5,10)</f>
        <v/>
      </c>
      <c r="O1465">
        <f>O1464+0.1</f>
        <v/>
      </c>
      <c r="P1465">
        <f>P1464+0.2</f>
        <v/>
      </c>
      <c r="Q1465">
        <f>Q1464+0.3</f>
        <v/>
      </c>
      <c r="R1465">
        <f>R1464+0.05</f>
        <v/>
      </c>
      <c r="S1465">
        <f>S1464+0.01</f>
        <v/>
      </c>
      <c r="T1465">
        <f>T1464+0.7</f>
        <v/>
      </c>
      <c r="U1465">
        <f>U1464+1.1</f>
        <v/>
      </c>
      <c r="V1465">
        <f>V1464+0.25</f>
        <v/>
      </c>
      <c r="W1465">
        <f>W1464+0.5</f>
        <v/>
      </c>
    </row>
    <row r="1466">
      <c r="E1466">
        <f>O1466=ROUND(1455*0.1,10)</f>
        <v/>
      </c>
      <c r="F1466">
        <f>P1466=ROUND(1455*0.2,10)</f>
        <v/>
      </c>
      <c r="G1466">
        <f>Q1466=ROUND(1455*0.3,10)</f>
        <v/>
      </c>
      <c r="H1466">
        <f>R1466=ROUND(1455*0.05,10)</f>
        <v/>
      </c>
      <c r="I1466">
        <f>S1466=ROUND(1455*0.01,10)</f>
        <v/>
      </c>
      <c r="J1466">
        <f>T1466=ROUND(1455*0.7,10)</f>
        <v/>
      </c>
      <c r="K1466">
        <f>U1466=ROUND(1455*1.1,10)</f>
        <v/>
      </c>
      <c r="L1466">
        <f>V1466=ROUND(1455*0.25,10)</f>
        <v/>
      </c>
      <c r="M1466">
        <f>W1466=ROUND(1455*0.5,10)</f>
        <v/>
      </c>
      <c r="O1466">
        <f>O1465+0.1</f>
        <v/>
      </c>
      <c r="P1466">
        <f>P1465+0.2</f>
        <v/>
      </c>
      <c r="Q1466">
        <f>Q1465+0.3</f>
        <v/>
      </c>
      <c r="R1466">
        <f>R1465+0.05</f>
        <v/>
      </c>
      <c r="S1466">
        <f>S1465+0.01</f>
        <v/>
      </c>
      <c r="T1466">
        <f>T1465+0.7</f>
        <v/>
      </c>
      <c r="U1466">
        <f>U1465+1.1</f>
        <v/>
      </c>
      <c r="V1466">
        <f>V1465+0.25</f>
        <v/>
      </c>
      <c r="W1466">
        <f>W1465+0.5</f>
        <v/>
      </c>
    </row>
    <row r="1467">
      <c r="E1467">
        <f>O1467=ROUND(1456*0.1,10)</f>
        <v/>
      </c>
      <c r="F1467">
        <f>P1467=ROUND(1456*0.2,10)</f>
        <v/>
      </c>
      <c r="G1467">
        <f>Q1467=ROUND(1456*0.3,10)</f>
        <v/>
      </c>
      <c r="H1467">
        <f>R1467=ROUND(1456*0.05,10)</f>
        <v/>
      </c>
      <c r="I1467">
        <f>S1467=ROUND(1456*0.01,10)</f>
        <v/>
      </c>
      <c r="J1467">
        <f>T1467=ROUND(1456*0.7,10)</f>
        <v/>
      </c>
      <c r="K1467">
        <f>U1467=ROUND(1456*1.1,10)</f>
        <v/>
      </c>
      <c r="L1467">
        <f>V1467=ROUND(1456*0.25,10)</f>
        <v/>
      </c>
      <c r="M1467">
        <f>W1467=ROUND(1456*0.5,10)</f>
        <v/>
      </c>
      <c r="O1467">
        <f>O1466+0.1</f>
        <v/>
      </c>
      <c r="P1467">
        <f>P1466+0.2</f>
        <v/>
      </c>
      <c r="Q1467">
        <f>Q1466+0.3</f>
        <v/>
      </c>
      <c r="R1467">
        <f>R1466+0.05</f>
        <v/>
      </c>
      <c r="S1467">
        <f>S1466+0.01</f>
        <v/>
      </c>
      <c r="T1467">
        <f>T1466+0.7</f>
        <v/>
      </c>
      <c r="U1467">
        <f>U1466+1.1</f>
        <v/>
      </c>
      <c r="V1467">
        <f>V1466+0.25</f>
        <v/>
      </c>
      <c r="W1467">
        <f>W1466+0.5</f>
        <v/>
      </c>
    </row>
    <row r="1468">
      <c r="E1468">
        <f>O1468=ROUND(1457*0.1,10)</f>
        <v/>
      </c>
      <c r="F1468">
        <f>P1468=ROUND(1457*0.2,10)</f>
        <v/>
      </c>
      <c r="G1468">
        <f>Q1468=ROUND(1457*0.3,10)</f>
        <v/>
      </c>
      <c r="H1468">
        <f>R1468=ROUND(1457*0.05,10)</f>
        <v/>
      </c>
      <c r="I1468">
        <f>S1468=ROUND(1457*0.01,10)</f>
        <v/>
      </c>
      <c r="J1468">
        <f>T1468=ROUND(1457*0.7,10)</f>
        <v/>
      </c>
      <c r="K1468">
        <f>U1468=ROUND(1457*1.1,10)</f>
        <v/>
      </c>
      <c r="L1468">
        <f>V1468=ROUND(1457*0.25,10)</f>
        <v/>
      </c>
      <c r="M1468">
        <f>W1468=ROUND(1457*0.5,10)</f>
        <v/>
      </c>
      <c r="O1468">
        <f>O1467+0.1</f>
        <v/>
      </c>
      <c r="P1468">
        <f>P1467+0.2</f>
        <v/>
      </c>
      <c r="Q1468">
        <f>Q1467+0.3</f>
        <v/>
      </c>
      <c r="R1468">
        <f>R1467+0.05</f>
        <v/>
      </c>
      <c r="S1468">
        <f>S1467+0.01</f>
        <v/>
      </c>
      <c r="T1468">
        <f>T1467+0.7</f>
        <v/>
      </c>
      <c r="U1468">
        <f>U1467+1.1</f>
        <v/>
      </c>
      <c r="V1468">
        <f>V1467+0.25</f>
        <v/>
      </c>
      <c r="W1468">
        <f>W1467+0.5</f>
        <v/>
      </c>
    </row>
    <row r="1469">
      <c r="E1469">
        <f>O1469=ROUND(1458*0.1,10)</f>
        <v/>
      </c>
      <c r="F1469">
        <f>P1469=ROUND(1458*0.2,10)</f>
        <v/>
      </c>
      <c r="G1469">
        <f>Q1469=ROUND(1458*0.3,10)</f>
        <v/>
      </c>
      <c r="H1469">
        <f>R1469=ROUND(1458*0.05,10)</f>
        <v/>
      </c>
      <c r="I1469">
        <f>S1469=ROUND(1458*0.01,10)</f>
        <v/>
      </c>
      <c r="J1469">
        <f>T1469=ROUND(1458*0.7,10)</f>
        <v/>
      </c>
      <c r="K1469">
        <f>U1469=ROUND(1458*1.1,10)</f>
        <v/>
      </c>
      <c r="L1469">
        <f>V1469=ROUND(1458*0.25,10)</f>
        <v/>
      </c>
      <c r="M1469">
        <f>W1469=ROUND(1458*0.5,10)</f>
        <v/>
      </c>
      <c r="O1469">
        <f>O1468+0.1</f>
        <v/>
      </c>
      <c r="P1469">
        <f>P1468+0.2</f>
        <v/>
      </c>
      <c r="Q1469">
        <f>Q1468+0.3</f>
        <v/>
      </c>
      <c r="R1469">
        <f>R1468+0.05</f>
        <v/>
      </c>
      <c r="S1469">
        <f>S1468+0.01</f>
        <v/>
      </c>
      <c r="T1469">
        <f>T1468+0.7</f>
        <v/>
      </c>
      <c r="U1469">
        <f>U1468+1.1</f>
        <v/>
      </c>
      <c r="V1469">
        <f>V1468+0.25</f>
        <v/>
      </c>
      <c r="W1469">
        <f>W1468+0.5</f>
        <v/>
      </c>
    </row>
    <row r="1470">
      <c r="E1470">
        <f>O1470=ROUND(1459*0.1,10)</f>
        <v/>
      </c>
      <c r="F1470">
        <f>P1470=ROUND(1459*0.2,10)</f>
        <v/>
      </c>
      <c r="G1470">
        <f>Q1470=ROUND(1459*0.3,10)</f>
        <v/>
      </c>
      <c r="H1470">
        <f>R1470=ROUND(1459*0.05,10)</f>
        <v/>
      </c>
      <c r="I1470">
        <f>S1470=ROUND(1459*0.01,10)</f>
        <v/>
      </c>
      <c r="J1470">
        <f>T1470=ROUND(1459*0.7,10)</f>
        <v/>
      </c>
      <c r="K1470">
        <f>U1470=ROUND(1459*1.1,10)</f>
        <v/>
      </c>
      <c r="L1470">
        <f>V1470=ROUND(1459*0.25,10)</f>
        <v/>
      </c>
      <c r="M1470">
        <f>W1470=ROUND(1459*0.5,10)</f>
        <v/>
      </c>
      <c r="O1470">
        <f>O1469+0.1</f>
        <v/>
      </c>
      <c r="P1470">
        <f>P1469+0.2</f>
        <v/>
      </c>
      <c r="Q1470">
        <f>Q1469+0.3</f>
        <v/>
      </c>
      <c r="R1470">
        <f>R1469+0.05</f>
        <v/>
      </c>
      <c r="S1470">
        <f>S1469+0.01</f>
        <v/>
      </c>
      <c r="T1470">
        <f>T1469+0.7</f>
        <v/>
      </c>
      <c r="U1470">
        <f>U1469+1.1</f>
        <v/>
      </c>
      <c r="V1470">
        <f>V1469+0.25</f>
        <v/>
      </c>
      <c r="W1470">
        <f>W1469+0.5</f>
        <v/>
      </c>
    </row>
    <row r="1471">
      <c r="E1471">
        <f>O1471=ROUND(1460*0.1,10)</f>
        <v/>
      </c>
      <c r="F1471">
        <f>P1471=ROUND(1460*0.2,10)</f>
        <v/>
      </c>
      <c r="G1471">
        <f>Q1471=ROUND(1460*0.3,10)</f>
        <v/>
      </c>
      <c r="H1471">
        <f>R1471=ROUND(1460*0.05,10)</f>
        <v/>
      </c>
      <c r="I1471">
        <f>S1471=ROUND(1460*0.01,10)</f>
        <v/>
      </c>
      <c r="J1471">
        <f>T1471=ROUND(1460*0.7,10)</f>
        <v/>
      </c>
      <c r="K1471">
        <f>U1471=ROUND(1460*1.1,10)</f>
        <v/>
      </c>
      <c r="L1471">
        <f>V1471=ROUND(1460*0.25,10)</f>
        <v/>
      </c>
      <c r="M1471">
        <f>W1471=ROUND(1460*0.5,10)</f>
        <v/>
      </c>
      <c r="O1471">
        <f>O1470+0.1</f>
        <v/>
      </c>
      <c r="P1471">
        <f>P1470+0.2</f>
        <v/>
      </c>
      <c r="Q1471">
        <f>Q1470+0.3</f>
        <v/>
      </c>
      <c r="R1471">
        <f>R1470+0.05</f>
        <v/>
      </c>
      <c r="S1471">
        <f>S1470+0.01</f>
        <v/>
      </c>
      <c r="T1471">
        <f>T1470+0.7</f>
        <v/>
      </c>
      <c r="U1471">
        <f>U1470+1.1</f>
        <v/>
      </c>
      <c r="V1471">
        <f>V1470+0.25</f>
        <v/>
      </c>
      <c r="W1471">
        <f>W1470+0.5</f>
        <v/>
      </c>
    </row>
    <row r="1472">
      <c r="E1472">
        <f>O1472=ROUND(1461*0.1,10)</f>
        <v/>
      </c>
      <c r="F1472">
        <f>P1472=ROUND(1461*0.2,10)</f>
        <v/>
      </c>
      <c r="G1472">
        <f>Q1472=ROUND(1461*0.3,10)</f>
        <v/>
      </c>
      <c r="H1472">
        <f>R1472=ROUND(1461*0.05,10)</f>
        <v/>
      </c>
      <c r="I1472">
        <f>S1472=ROUND(1461*0.01,10)</f>
        <v/>
      </c>
      <c r="J1472">
        <f>T1472=ROUND(1461*0.7,10)</f>
        <v/>
      </c>
      <c r="K1472">
        <f>U1472=ROUND(1461*1.1,10)</f>
        <v/>
      </c>
      <c r="L1472">
        <f>V1472=ROUND(1461*0.25,10)</f>
        <v/>
      </c>
      <c r="M1472">
        <f>W1472=ROUND(1461*0.5,10)</f>
        <v/>
      </c>
      <c r="O1472">
        <f>O1471+0.1</f>
        <v/>
      </c>
      <c r="P1472">
        <f>P1471+0.2</f>
        <v/>
      </c>
      <c r="Q1472">
        <f>Q1471+0.3</f>
        <v/>
      </c>
      <c r="R1472">
        <f>R1471+0.05</f>
        <v/>
      </c>
      <c r="S1472">
        <f>S1471+0.01</f>
        <v/>
      </c>
      <c r="T1472">
        <f>T1471+0.7</f>
        <v/>
      </c>
      <c r="U1472">
        <f>U1471+1.1</f>
        <v/>
      </c>
      <c r="V1472">
        <f>V1471+0.25</f>
        <v/>
      </c>
      <c r="W1472">
        <f>W1471+0.5</f>
        <v/>
      </c>
    </row>
    <row r="1473">
      <c r="E1473">
        <f>O1473=ROUND(1462*0.1,10)</f>
        <v/>
      </c>
      <c r="F1473">
        <f>P1473=ROUND(1462*0.2,10)</f>
        <v/>
      </c>
      <c r="G1473">
        <f>Q1473=ROUND(1462*0.3,10)</f>
        <v/>
      </c>
      <c r="H1473">
        <f>R1473=ROUND(1462*0.05,10)</f>
        <v/>
      </c>
      <c r="I1473">
        <f>S1473=ROUND(1462*0.01,10)</f>
        <v/>
      </c>
      <c r="J1473">
        <f>T1473=ROUND(1462*0.7,10)</f>
        <v/>
      </c>
      <c r="K1473">
        <f>U1473=ROUND(1462*1.1,10)</f>
        <v/>
      </c>
      <c r="L1473">
        <f>V1473=ROUND(1462*0.25,10)</f>
        <v/>
      </c>
      <c r="M1473">
        <f>W1473=ROUND(1462*0.5,10)</f>
        <v/>
      </c>
      <c r="O1473">
        <f>O1472+0.1</f>
        <v/>
      </c>
      <c r="P1473">
        <f>P1472+0.2</f>
        <v/>
      </c>
      <c r="Q1473">
        <f>Q1472+0.3</f>
        <v/>
      </c>
      <c r="R1473">
        <f>R1472+0.05</f>
        <v/>
      </c>
      <c r="S1473">
        <f>S1472+0.01</f>
        <v/>
      </c>
      <c r="T1473">
        <f>T1472+0.7</f>
        <v/>
      </c>
      <c r="U1473">
        <f>U1472+1.1</f>
        <v/>
      </c>
      <c r="V1473">
        <f>V1472+0.25</f>
        <v/>
      </c>
      <c r="W1473">
        <f>W1472+0.5</f>
        <v/>
      </c>
    </row>
    <row r="1474">
      <c r="E1474">
        <f>O1474=ROUND(1463*0.1,10)</f>
        <v/>
      </c>
      <c r="F1474">
        <f>P1474=ROUND(1463*0.2,10)</f>
        <v/>
      </c>
      <c r="G1474">
        <f>Q1474=ROUND(1463*0.3,10)</f>
        <v/>
      </c>
      <c r="H1474">
        <f>R1474=ROUND(1463*0.05,10)</f>
        <v/>
      </c>
      <c r="I1474">
        <f>S1474=ROUND(1463*0.01,10)</f>
        <v/>
      </c>
      <c r="J1474">
        <f>T1474=ROUND(1463*0.7,10)</f>
        <v/>
      </c>
      <c r="K1474">
        <f>U1474=ROUND(1463*1.1,10)</f>
        <v/>
      </c>
      <c r="L1474">
        <f>V1474=ROUND(1463*0.25,10)</f>
        <v/>
      </c>
      <c r="M1474">
        <f>W1474=ROUND(1463*0.5,10)</f>
        <v/>
      </c>
      <c r="O1474">
        <f>O1473+0.1</f>
        <v/>
      </c>
      <c r="P1474">
        <f>P1473+0.2</f>
        <v/>
      </c>
      <c r="Q1474">
        <f>Q1473+0.3</f>
        <v/>
      </c>
      <c r="R1474">
        <f>R1473+0.05</f>
        <v/>
      </c>
      <c r="S1474">
        <f>S1473+0.01</f>
        <v/>
      </c>
      <c r="T1474">
        <f>T1473+0.7</f>
        <v/>
      </c>
      <c r="U1474">
        <f>U1473+1.1</f>
        <v/>
      </c>
      <c r="V1474">
        <f>V1473+0.25</f>
        <v/>
      </c>
      <c r="W1474">
        <f>W1473+0.5</f>
        <v/>
      </c>
    </row>
    <row r="1475">
      <c r="E1475">
        <f>O1475=ROUND(1464*0.1,10)</f>
        <v/>
      </c>
      <c r="F1475">
        <f>P1475=ROUND(1464*0.2,10)</f>
        <v/>
      </c>
      <c r="G1475">
        <f>Q1475=ROUND(1464*0.3,10)</f>
        <v/>
      </c>
      <c r="H1475">
        <f>R1475=ROUND(1464*0.05,10)</f>
        <v/>
      </c>
      <c r="I1475">
        <f>S1475=ROUND(1464*0.01,10)</f>
        <v/>
      </c>
      <c r="J1475">
        <f>T1475=ROUND(1464*0.7,10)</f>
        <v/>
      </c>
      <c r="K1475">
        <f>U1475=ROUND(1464*1.1,10)</f>
        <v/>
      </c>
      <c r="L1475">
        <f>V1475=ROUND(1464*0.25,10)</f>
        <v/>
      </c>
      <c r="M1475">
        <f>W1475=ROUND(1464*0.5,10)</f>
        <v/>
      </c>
      <c r="O1475">
        <f>O1474+0.1</f>
        <v/>
      </c>
      <c r="P1475">
        <f>P1474+0.2</f>
        <v/>
      </c>
      <c r="Q1475">
        <f>Q1474+0.3</f>
        <v/>
      </c>
      <c r="R1475">
        <f>R1474+0.05</f>
        <v/>
      </c>
      <c r="S1475">
        <f>S1474+0.01</f>
        <v/>
      </c>
      <c r="T1475">
        <f>T1474+0.7</f>
        <v/>
      </c>
      <c r="U1475">
        <f>U1474+1.1</f>
        <v/>
      </c>
      <c r="V1475">
        <f>V1474+0.25</f>
        <v/>
      </c>
      <c r="W1475">
        <f>W1474+0.5</f>
        <v/>
      </c>
    </row>
    <row r="1476">
      <c r="E1476">
        <f>O1476=ROUND(1465*0.1,10)</f>
        <v/>
      </c>
      <c r="F1476">
        <f>P1476=ROUND(1465*0.2,10)</f>
        <v/>
      </c>
      <c r="G1476">
        <f>Q1476=ROUND(1465*0.3,10)</f>
        <v/>
      </c>
      <c r="H1476">
        <f>R1476=ROUND(1465*0.05,10)</f>
        <v/>
      </c>
      <c r="I1476">
        <f>S1476=ROUND(1465*0.01,10)</f>
        <v/>
      </c>
      <c r="J1476">
        <f>T1476=ROUND(1465*0.7,10)</f>
        <v/>
      </c>
      <c r="K1476">
        <f>U1476=ROUND(1465*1.1,10)</f>
        <v/>
      </c>
      <c r="L1476">
        <f>V1476=ROUND(1465*0.25,10)</f>
        <v/>
      </c>
      <c r="M1476">
        <f>W1476=ROUND(1465*0.5,10)</f>
        <v/>
      </c>
      <c r="O1476">
        <f>O1475+0.1</f>
        <v/>
      </c>
      <c r="P1476">
        <f>P1475+0.2</f>
        <v/>
      </c>
      <c r="Q1476">
        <f>Q1475+0.3</f>
        <v/>
      </c>
      <c r="R1476">
        <f>R1475+0.05</f>
        <v/>
      </c>
      <c r="S1476">
        <f>S1475+0.01</f>
        <v/>
      </c>
      <c r="T1476">
        <f>T1475+0.7</f>
        <v/>
      </c>
      <c r="U1476">
        <f>U1475+1.1</f>
        <v/>
      </c>
      <c r="V1476">
        <f>V1475+0.25</f>
        <v/>
      </c>
      <c r="W1476">
        <f>W1475+0.5</f>
        <v/>
      </c>
    </row>
    <row r="1477">
      <c r="E1477">
        <f>O1477=ROUND(1466*0.1,10)</f>
        <v/>
      </c>
      <c r="F1477">
        <f>P1477=ROUND(1466*0.2,10)</f>
        <v/>
      </c>
      <c r="G1477">
        <f>Q1477=ROUND(1466*0.3,10)</f>
        <v/>
      </c>
      <c r="H1477">
        <f>R1477=ROUND(1466*0.05,10)</f>
        <v/>
      </c>
      <c r="I1477">
        <f>S1477=ROUND(1466*0.01,10)</f>
        <v/>
      </c>
      <c r="J1477">
        <f>T1477=ROUND(1466*0.7,10)</f>
        <v/>
      </c>
      <c r="K1477">
        <f>U1477=ROUND(1466*1.1,10)</f>
        <v/>
      </c>
      <c r="L1477">
        <f>V1477=ROUND(1466*0.25,10)</f>
        <v/>
      </c>
      <c r="M1477">
        <f>W1477=ROUND(1466*0.5,10)</f>
        <v/>
      </c>
      <c r="O1477">
        <f>O1476+0.1</f>
        <v/>
      </c>
      <c r="P1477">
        <f>P1476+0.2</f>
        <v/>
      </c>
      <c r="Q1477">
        <f>Q1476+0.3</f>
        <v/>
      </c>
      <c r="R1477">
        <f>R1476+0.05</f>
        <v/>
      </c>
      <c r="S1477">
        <f>S1476+0.01</f>
        <v/>
      </c>
      <c r="T1477">
        <f>T1476+0.7</f>
        <v/>
      </c>
      <c r="U1477">
        <f>U1476+1.1</f>
        <v/>
      </c>
      <c r="V1477">
        <f>V1476+0.25</f>
        <v/>
      </c>
      <c r="W1477">
        <f>W1476+0.5</f>
        <v/>
      </c>
    </row>
    <row r="1478">
      <c r="E1478">
        <f>O1478=ROUND(1467*0.1,10)</f>
        <v/>
      </c>
      <c r="F1478">
        <f>P1478=ROUND(1467*0.2,10)</f>
        <v/>
      </c>
      <c r="G1478">
        <f>Q1478=ROUND(1467*0.3,10)</f>
        <v/>
      </c>
      <c r="H1478">
        <f>R1478=ROUND(1467*0.05,10)</f>
        <v/>
      </c>
      <c r="I1478">
        <f>S1478=ROUND(1467*0.01,10)</f>
        <v/>
      </c>
      <c r="J1478">
        <f>T1478=ROUND(1467*0.7,10)</f>
        <v/>
      </c>
      <c r="K1478">
        <f>U1478=ROUND(1467*1.1,10)</f>
        <v/>
      </c>
      <c r="L1478">
        <f>V1478=ROUND(1467*0.25,10)</f>
        <v/>
      </c>
      <c r="M1478">
        <f>W1478=ROUND(1467*0.5,10)</f>
        <v/>
      </c>
      <c r="O1478">
        <f>O1477+0.1</f>
        <v/>
      </c>
      <c r="P1478">
        <f>P1477+0.2</f>
        <v/>
      </c>
      <c r="Q1478">
        <f>Q1477+0.3</f>
        <v/>
      </c>
      <c r="R1478">
        <f>R1477+0.05</f>
        <v/>
      </c>
      <c r="S1478">
        <f>S1477+0.01</f>
        <v/>
      </c>
      <c r="T1478">
        <f>T1477+0.7</f>
        <v/>
      </c>
      <c r="U1478">
        <f>U1477+1.1</f>
        <v/>
      </c>
      <c r="V1478">
        <f>V1477+0.25</f>
        <v/>
      </c>
      <c r="W1478">
        <f>W1477+0.5</f>
        <v/>
      </c>
    </row>
    <row r="1479">
      <c r="E1479">
        <f>O1479=ROUND(1468*0.1,10)</f>
        <v/>
      </c>
      <c r="F1479">
        <f>P1479=ROUND(1468*0.2,10)</f>
        <v/>
      </c>
      <c r="G1479">
        <f>Q1479=ROUND(1468*0.3,10)</f>
        <v/>
      </c>
      <c r="H1479">
        <f>R1479=ROUND(1468*0.05,10)</f>
        <v/>
      </c>
      <c r="I1479">
        <f>S1479=ROUND(1468*0.01,10)</f>
        <v/>
      </c>
      <c r="J1479">
        <f>T1479=ROUND(1468*0.7,10)</f>
        <v/>
      </c>
      <c r="K1479">
        <f>U1479=ROUND(1468*1.1,10)</f>
        <v/>
      </c>
      <c r="L1479">
        <f>V1479=ROUND(1468*0.25,10)</f>
        <v/>
      </c>
      <c r="M1479">
        <f>W1479=ROUND(1468*0.5,10)</f>
        <v/>
      </c>
      <c r="O1479">
        <f>O1478+0.1</f>
        <v/>
      </c>
      <c r="P1479">
        <f>P1478+0.2</f>
        <v/>
      </c>
      <c r="Q1479">
        <f>Q1478+0.3</f>
        <v/>
      </c>
      <c r="R1479">
        <f>R1478+0.05</f>
        <v/>
      </c>
      <c r="S1479">
        <f>S1478+0.01</f>
        <v/>
      </c>
      <c r="T1479">
        <f>T1478+0.7</f>
        <v/>
      </c>
      <c r="U1479">
        <f>U1478+1.1</f>
        <v/>
      </c>
      <c r="V1479">
        <f>V1478+0.25</f>
        <v/>
      </c>
      <c r="W1479">
        <f>W1478+0.5</f>
        <v/>
      </c>
    </row>
    <row r="1480">
      <c r="E1480">
        <f>O1480=ROUND(1469*0.1,10)</f>
        <v/>
      </c>
      <c r="F1480">
        <f>P1480=ROUND(1469*0.2,10)</f>
        <v/>
      </c>
      <c r="G1480">
        <f>Q1480=ROUND(1469*0.3,10)</f>
        <v/>
      </c>
      <c r="H1480">
        <f>R1480=ROUND(1469*0.05,10)</f>
        <v/>
      </c>
      <c r="I1480">
        <f>S1480=ROUND(1469*0.01,10)</f>
        <v/>
      </c>
      <c r="J1480">
        <f>T1480=ROUND(1469*0.7,10)</f>
        <v/>
      </c>
      <c r="K1480">
        <f>U1480=ROUND(1469*1.1,10)</f>
        <v/>
      </c>
      <c r="L1480">
        <f>V1480=ROUND(1469*0.25,10)</f>
        <v/>
      </c>
      <c r="M1480">
        <f>W1480=ROUND(1469*0.5,10)</f>
        <v/>
      </c>
      <c r="O1480">
        <f>O1479+0.1</f>
        <v/>
      </c>
      <c r="P1480">
        <f>P1479+0.2</f>
        <v/>
      </c>
      <c r="Q1480">
        <f>Q1479+0.3</f>
        <v/>
      </c>
      <c r="R1480">
        <f>R1479+0.05</f>
        <v/>
      </c>
      <c r="S1480">
        <f>S1479+0.01</f>
        <v/>
      </c>
      <c r="T1480">
        <f>T1479+0.7</f>
        <v/>
      </c>
      <c r="U1480">
        <f>U1479+1.1</f>
        <v/>
      </c>
      <c r="V1480">
        <f>V1479+0.25</f>
        <v/>
      </c>
      <c r="W1480">
        <f>W1479+0.5</f>
        <v/>
      </c>
    </row>
    <row r="1481">
      <c r="E1481">
        <f>O1481=ROUND(1470*0.1,10)</f>
        <v/>
      </c>
      <c r="F1481">
        <f>P1481=ROUND(1470*0.2,10)</f>
        <v/>
      </c>
      <c r="G1481">
        <f>Q1481=ROUND(1470*0.3,10)</f>
        <v/>
      </c>
      <c r="H1481">
        <f>R1481=ROUND(1470*0.05,10)</f>
        <v/>
      </c>
      <c r="I1481">
        <f>S1481=ROUND(1470*0.01,10)</f>
        <v/>
      </c>
      <c r="J1481">
        <f>T1481=ROUND(1470*0.7,10)</f>
        <v/>
      </c>
      <c r="K1481">
        <f>U1481=ROUND(1470*1.1,10)</f>
        <v/>
      </c>
      <c r="L1481">
        <f>V1481=ROUND(1470*0.25,10)</f>
        <v/>
      </c>
      <c r="M1481">
        <f>W1481=ROUND(1470*0.5,10)</f>
        <v/>
      </c>
      <c r="O1481">
        <f>O1480+0.1</f>
        <v/>
      </c>
      <c r="P1481">
        <f>P1480+0.2</f>
        <v/>
      </c>
      <c r="Q1481">
        <f>Q1480+0.3</f>
        <v/>
      </c>
      <c r="R1481">
        <f>R1480+0.05</f>
        <v/>
      </c>
      <c r="S1481">
        <f>S1480+0.01</f>
        <v/>
      </c>
      <c r="T1481">
        <f>T1480+0.7</f>
        <v/>
      </c>
      <c r="U1481">
        <f>U1480+1.1</f>
        <v/>
      </c>
      <c r="V1481">
        <f>V1480+0.25</f>
        <v/>
      </c>
      <c r="W1481">
        <f>W1480+0.5</f>
        <v/>
      </c>
    </row>
    <row r="1482">
      <c r="E1482">
        <f>O1482=ROUND(1471*0.1,10)</f>
        <v/>
      </c>
      <c r="F1482">
        <f>P1482=ROUND(1471*0.2,10)</f>
        <v/>
      </c>
      <c r="G1482">
        <f>Q1482=ROUND(1471*0.3,10)</f>
        <v/>
      </c>
      <c r="H1482">
        <f>R1482=ROUND(1471*0.05,10)</f>
        <v/>
      </c>
      <c r="I1482">
        <f>S1482=ROUND(1471*0.01,10)</f>
        <v/>
      </c>
      <c r="J1482">
        <f>T1482=ROUND(1471*0.7,10)</f>
        <v/>
      </c>
      <c r="K1482">
        <f>U1482=ROUND(1471*1.1,10)</f>
        <v/>
      </c>
      <c r="L1482">
        <f>V1482=ROUND(1471*0.25,10)</f>
        <v/>
      </c>
      <c r="M1482">
        <f>W1482=ROUND(1471*0.5,10)</f>
        <v/>
      </c>
      <c r="O1482">
        <f>O1481+0.1</f>
        <v/>
      </c>
      <c r="P1482">
        <f>P1481+0.2</f>
        <v/>
      </c>
      <c r="Q1482">
        <f>Q1481+0.3</f>
        <v/>
      </c>
      <c r="R1482">
        <f>R1481+0.05</f>
        <v/>
      </c>
      <c r="S1482">
        <f>S1481+0.01</f>
        <v/>
      </c>
      <c r="T1482">
        <f>T1481+0.7</f>
        <v/>
      </c>
      <c r="U1482">
        <f>U1481+1.1</f>
        <v/>
      </c>
      <c r="V1482">
        <f>V1481+0.25</f>
        <v/>
      </c>
      <c r="W1482">
        <f>W1481+0.5</f>
        <v/>
      </c>
    </row>
    <row r="1483">
      <c r="E1483">
        <f>O1483=ROUND(1472*0.1,10)</f>
        <v/>
      </c>
      <c r="F1483">
        <f>P1483=ROUND(1472*0.2,10)</f>
        <v/>
      </c>
      <c r="G1483">
        <f>Q1483=ROUND(1472*0.3,10)</f>
        <v/>
      </c>
      <c r="H1483">
        <f>R1483=ROUND(1472*0.05,10)</f>
        <v/>
      </c>
      <c r="I1483">
        <f>S1483=ROUND(1472*0.01,10)</f>
        <v/>
      </c>
      <c r="J1483">
        <f>T1483=ROUND(1472*0.7,10)</f>
        <v/>
      </c>
      <c r="K1483">
        <f>U1483=ROUND(1472*1.1,10)</f>
        <v/>
      </c>
      <c r="L1483">
        <f>V1483=ROUND(1472*0.25,10)</f>
        <v/>
      </c>
      <c r="M1483">
        <f>W1483=ROUND(1472*0.5,10)</f>
        <v/>
      </c>
      <c r="O1483">
        <f>O1482+0.1</f>
        <v/>
      </c>
      <c r="P1483">
        <f>P1482+0.2</f>
        <v/>
      </c>
      <c r="Q1483">
        <f>Q1482+0.3</f>
        <v/>
      </c>
      <c r="R1483">
        <f>R1482+0.05</f>
        <v/>
      </c>
      <c r="S1483">
        <f>S1482+0.01</f>
        <v/>
      </c>
      <c r="T1483">
        <f>T1482+0.7</f>
        <v/>
      </c>
      <c r="U1483">
        <f>U1482+1.1</f>
        <v/>
      </c>
      <c r="V1483">
        <f>V1482+0.25</f>
        <v/>
      </c>
      <c r="W1483">
        <f>W1482+0.5</f>
        <v/>
      </c>
    </row>
    <row r="1484">
      <c r="E1484">
        <f>O1484=ROUND(1473*0.1,10)</f>
        <v/>
      </c>
      <c r="F1484">
        <f>P1484=ROUND(1473*0.2,10)</f>
        <v/>
      </c>
      <c r="G1484">
        <f>Q1484=ROUND(1473*0.3,10)</f>
        <v/>
      </c>
      <c r="H1484">
        <f>R1484=ROUND(1473*0.05,10)</f>
        <v/>
      </c>
      <c r="I1484">
        <f>S1484=ROUND(1473*0.01,10)</f>
        <v/>
      </c>
      <c r="J1484">
        <f>T1484=ROUND(1473*0.7,10)</f>
        <v/>
      </c>
      <c r="K1484">
        <f>U1484=ROUND(1473*1.1,10)</f>
        <v/>
      </c>
      <c r="L1484">
        <f>V1484=ROUND(1473*0.25,10)</f>
        <v/>
      </c>
      <c r="M1484">
        <f>W1484=ROUND(1473*0.5,10)</f>
        <v/>
      </c>
      <c r="O1484">
        <f>O1483+0.1</f>
        <v/>
      </c>
      <c r="P1484">
        <f>P1483+0.2</f>
        <v/>
      </c>
      <c r="Q1484">
        <f>Q1483+0.3</f>
        <v/>
      </c>
      <c r="R1484">
        <f>R1483+0.05</f>
        <v/>
      </c>
      <c r="S1484">
        <f>S1483+0.01</f>
        <v/>
      </c>
      <c r="T1484">
        <f>T1483+0.7</f>
        <v/>
      </c>
      <c r="U1484">
        <f>U1483+1.1</f>
        <v/>
      </c>
      <c r="V1484">
        <f>V1483+0.25</f>
        <v/>
      </c>
      <c r="W1484">
        <f>W1483+0.5</f>
        <v/>
      </c>
    </row>
    <row r="1485">
      <c r="E1485">
        <f>O1485=ROUND(1474*0.1,10)</f>
        <v/>
      </c>
      <c r="F1485">
        <f>P1485=ROUND(1474*0.2,10)</f>
        <v/>
      </c>
      <c r="G1485">
        <f>Q1485=ROUND(1474*0.3,10)</f>
        <v/>
      </c>
      <c r="H1485">
        <f>R1485=ROUND(1474*0.05,10)</f>
        <v/>
      </c>
      <c r="I1485">
        <f>S1485=ROUND(1474*0.01,10)</f>
        <v/>
      </c>
      <c r="J1485">
        <f>T1485=ROUND(1474*0.7,10)</f>
        <v/>
      </c>
      <c r="K1485">
        <f>U1485=ROUND(1474*1.1,10)</f>
        <v/>
      </c>
      <c r="L1485">
        <f>V1485=ROUND(1474*0.25,10)</f>
        <v/>
      </c>
      <c r="M1485">
        <f>W1485=ROUND(1474*0.5,10)</f>
        <v/>
      </c>
      <c r="O1485">
        <f>O1484+0.1</f>
        <v/>
      </c>
      <c r="P1485">
        <f>P1484+0.2</f>
        <v/>
      </c>
      <c r="Q1485">
        <f>Q1484+0.3</f>
        <v/>
      </c>
      <c r="R1485">
        <f>R1484+0.05</f>
        <v/>
      </c>
      <c r="S1485">
        <f>S1484+0.01</f>
        <v/>
      </c>
      <c r="T1485">
        <f>T1484+0.7</f>
        <v/>
      </c>
      <c r="U1485">
        <f>U1484+1.1</f>
        <v/>
      </c>
      <c r="V1485">
        <f>V1484+0.25</f>
        <v/>
      </c>
      <c r="W1485">
        <f>W1484+0.5</f>
        <v/>
      </c>
    </row>
    <row r="1486">
      <c r="E1486">
        <f>O1486=ROUND(1475*0.1,10)</f>
        <v/>
      </c>
      <c r="F1486">
        <f>P1486=ROUND(1475*0.2,10)</f>
        <v/>
      </c>
      <c r="G1486">
        <f>Q1486=ROUND(1475*0.3,10)</f>
        <v/>
      </c>
      <c r="H1486">
        <f>R1486=ROUND(1475*0.05,10)</f>
        <v/>
      </c>
      <c r="I1486">
        <f>S1486=ROUND(1475*0.01,10)</f>
        <v/>
      </c>
      <c r="J1486">
        <f>T1486=ROUND(1475*0.7,10)</f>
        <v/>
      </c>
      <c r="K1486">
        <f>U1486=ROUND(1475*1.1,10)</f>
        <v/>
      </c>
      <c r="L1486">
        <f>V1486=ROUND(1475*0.25,10)</f>
        <v/>
      </c>
      <c r="M1486">
        <f>W1486=ROUND(1475*0.5,10)</f>
        <v/>
      </c>
      <c r="O1486">
        <f>O1485+0.1</f>
        <v/>
      </c>
      <c r="P1486">
        <f>P1485+0.2</f>
        <v/>
      </c>
      <c r="Q1486">
        <f>Q1485+0.3</f>
        <v/>
      </c>
      <c r="R1486">
        <f>R1485+0.05</f>
        <v/>
      </c>
      <c r="S1486">
        <f>S1485+0.01</f>
        <v/>
      </c>
      <c r="T1486">
        <f>T1485+0.7</f>
        <v/>
      </c>
      <c r="U1486">
        <f>U1485+1.1</f>
        <v/>
      </c>
      <c r="V1486">
        <f>V1485+0.25</f>
        <v/>
      </c>
      <c r="W1486">
        <f>W1485+0.5</f>
        <v/>
      </c>
    </row>
    <row r="1487">
      <c r="E1487">
        <f>O1487=ROUND(1476*0.1,10)</f>
        <v/>
      </c>
      <c r="F1487">
        <f>P1487=ROUND(1476*0.2,10)</f>
        <v/>
      </c>
      <c r="G1487">
        <f>Q1487=ROUND(1476*0.3,10)</f>
        <v/>
      </c>
      <c r="H1487">
        <f>R1487=ROUND(1476*0.05,10)</f>
        <v/>
      </c>
      <c r="I1487">
        <f>S1487=ROUND(1476*0.01,10)</f>
        <v/>
      </c>
      <c r="J1487">
        <f>T1487=ROUND(1476*0.7,10)</f>
        <v/>
      </c>
      <c r="K1487">
        <f>U1487=ROUND(1476*1.1,10)</f>
        <v/>
      </c>
      <c r="L1487">
        <f>V1487=ROUND(1476*0.25,10)</f>
        <v/>
      </c>
      <c r="M1487">
        <f>W1487=ROUND(1476*0.5,10)</f>
        <v/>
      </c>
      <c r="O1487">
        <f>O1486+0.1</f>
        <v/>
      </c>
      <c r="P1487">
        <f>P1486+0.2</f>
        <v/>
      </c>
      <c r="Q1487">
        <f>Q1486+0.3</f>
        <v/>
      </c>
      <c r="R1487">
        <f>R1486+0.05</f>
        <v/>
      </c>
      <c r="S1487">
        <f>S1486+0.01</f>
        <v/>
      </c>
      <c r="T1487">
        <f>T1486+0.7</f>
        <v/>
      </c>
      <c r="U1487">
        <f>U1486+1.1</f>
        <v/>
      </c>
      <c r="V1487">
        <f>V1486+0.25</f>
        <v/>
      </c>
      <c r="W1487">
        <f>W1486+0.5</f>
        <v/>
      </c>
    </row>
    <row r="1488">
      <c r="E1488">
        <f>O1488=ROUND(1477*0.1,10)</f>
        <v/>
      </c>
      <c r="F1488">
        <f>P1488=ROUND(1477*0.2,10)</f>
        <v/>
      </c>
      <c r="G1488">
        <f>Q1488=ROUND(1477*0.3,10)</f>
        <v/>
      </c>
      <c r="H1488">
        <f>R1488=ROUND(1477*0.05,10)</f>
        <v/>
      </c>
      <c r="I1488">
        <f>S1488=ROUND(1477*0.01,10)</f>
        <v/>
      </c>
      <c r="J1488">
        <f>T1488=ROUND(1477*0.7,10)</f>
        <v/>
      </c>
      <c r="K1488">
        <f>U1488=ROUND(1477*1.1,10)</f>
        <v/>
      </c>
      <c r="L1488">
        <f>V1488=ROUND(1477*0.25,10)</f>
        <v/>
      </c>
      <c r="M1488">
        <f>W1488=ROUND(1477*0.5,10)</f>
        <v/>
      </c>
      <c r="O1488">
        <f>O1487+0.1</f>
        <v/>
      </c>
      <c r="P1488">
        <f>P1487+0.2</f>
        <v/>
      </c>
      <c r="Q1488">
        <f>Q1487+0.3</f>
        <v/>
      </c>
      <c r="R1488">
        <f>R1487+0.05</f>
        <v/>
      </c>
      <c r="S1488">
        <f>S1487+0.01</f>
        <v/>
      </c>
      <c r="T1488">
        <f>T1487+0.7</f>
        <v/>
      </c>
      <c r="U1488">
        <f>U1487+1.1</f>
        <v/>
      </c>
      <c r="V1488">
        <f>V1487+0.25</f>
        <v/>
      </c>
      <c r="W1488">
        <f>W1487+0.5</f>
        <v/>
      </c>
    </row>
    <row r="1489">
      <c r="E1489">
        <f>O1489=ROUND(1478*0.1,10)</f>
        <v/>
      </c>
      <c r="F1489">
        <f>P1489=ROUND(1478*0.2,10)</f>
        <v/>
      </c>
      <c r="G1489">
        <f>Q1489=ROUND(1478*0.3,10)</f>
        <v/>
      </c>
      <c r="H1489">
        <f>R1489=ROUND(1478*0.05,10)</f>
        <v/>
      </c>
      <c r="I1489">
        <f>S1489=ROUND(1478*0.01,10)</f>
        <v/>
      </c>
      <c r="J1489">
        <f>T1489=ROUND(1478*0.7,10)</f>
        <v/>
      </c>
      <c r="K1489">
        <f>U1489=ROUND(1478*1.1,10)</f>
        <v/>
      </c>
      <c r="L1489">
        <f>V1489=ROUND(1478*0.25,10)</f>
        <v/>
      </c>
      <c r="M1489">
        <f>W1489=ROUND(1478*0.5,10)</f>
        <v/>
      </c>
      <c r="O1489">
        <f>O1488+0.1</f>
        <v/>
      </c>
      <c r="P1489">
        <f>P1488+0.2</f>
        <v/>
      </c>
      <c r="Q1489">
        <f>Q1488+0.3</f>
        <v/>
      </c>
      <c r="R1489">
        <f>R1488+0.05</f>
        <v/>
      </c>
      <c r="S1489">
        <f>S1488+0.01</f>
        <v/>
      </c>
      <c r="T1489">
        <f>T1488+0.7</f>
        <v/>
      </c>
      <c r="U1489">
        <f>U1488+1.1</f>
        <v/>
      </c>
      <c r="V1489">
        <f>V1488+0.25</f>
        <v/>
      </c>
      <c r="W1489">
        <f>W1488+0.5</f>
        <v/>
      </c>
    </row>
    <row r="1490">
      <c r="E1490">
        <f>O1490=ROUND(1479*0.1,10)</f>
        <v/>
      </c>
      <c r="F1490">
        <f>P1490=ROUND(1479*0.2,10)</f>
        <v/>
      </c>
      <c r="G1490">
        <f>Q1490=ROUND(1479*0.3,10)</f>
        <v/>
      </c>
      <c r="H1490">
        <f>R1490=ROUND(1479*0.05,10)</f>
        <v/>
      </c>
      <c r="I1490">
        <f>S1490=ROUND(1479*0.01,10)</f>
        <v/>
      </c>
      <c r="J1490">
        <f>T1490=ROUND(1479*0.7,10)</f>
        <v/>
      </c>
      <c r="K1490">
        <f>U1490=ROUND(1479*1.1,10)</f>
        <v/>
      </c>
      <c r="L1490">
        <f>V1490=ROUND(1479*0.25,10)</f>
        <v/>
      </c>
      <c r="M1490">
        <f>W1490=ROUND(1479*0.5,10)</f>
        <v/>
      </c>
      <c r="O1490">
        <f>O1489+0.1</f>
        <v/>
      </c>
      <c r="P1490">
        <f>P1489+0.2</f>
        <v/>
      </c>
      <c r="Q1490">
        <f>Q1489+0.3</f>
        <v/>
      </c>
      <c r="R1490">
        <f>R1489+0.05</f>
        <v/>
      </c>
      <c r="S1490">
        <f>S1489+0.01</f>
        <v/>
      </c>
      <c r="T1490">
        <f>T1489+0.7</f>
        <v/>
      </c>
      <c r="U1490">
        <f>U1489+1.1</f>
        <v/>
      </c>
      <c r="V1490">
        <f>V1489+0.25</f>
        <v/>
      </c>
      <c r="W1490">
        <f>W1489+0.5</f>
        <v/>
      </c>
    </row>
    <row r="1491">
      <c r="E1491">
        <f>O1491=ROUND(1480*0.1,10)</f>
        <v/>
      </c>
      <c r="F1491">
        <f>P1491=ROUND(1480*0.2,10)</f>
        <v/>
      </c>
      <c r="G1491">
        <f>Q1491=ROUND(1480*0.3,10)</f>
        <v/>
      </c>
      <c r="H1491">
        <f>R1491=ROUND(1480*0.05,10)</f>
        <v/>
      </c>
      <c r="I1491">
        <f>S1491=ROUND(1480*0.01,10)</f>
        <v/>
      </c>
      <c r="J1491">
        <f>T1491=ROUND(1480*0.7,10)</f>
        <v/>
      </c>
      <c r="K1491">
        <f>U1491=ROUND(1480*1.1,10)</f>
        <v/>
      </c>
      <c r="L1491">
        <f>V1491=ROUND(1480*0.25,10)</f>
        <v/>
      </c>
      <c r="M1491">
        <f>W1491=ROUND(1480*0.5,10)</f>
        <v/>
      </c>
      <c r="O1491">
        <f>O1490+0.1</f>
        <v/>
      </c>
      <c r="P1491">
        <f>P1490+0.2</f>
        <v/>
      </c>
      <c r="Q1491">
        <f>Q1490+0.3</f>
        <v/>
      </c>
      <c r="R1491">
        <f>R1490+0.05</f>
        <v/>
      </c>
      <c r="S1491">
        <f>S1490+0.01</f>
        <v/>
      </c>
      <c r="T1491">
        <f>T1490+0.7</f>
        <v/>
      </c>
      <c r="U1491">
        <f>U1490+1.1</f>
        <v/>
      </c>
      <c r="V1491">
        <f>V1490+0.25</f>
        <v/>
      </c>
      <c r="W1491">
        <f>W1490+0.5</f>
        <v/>
      </c>
    </row>
    <row r="1492">
      <c r="E1492">
        <f>O1492=ROUND(1481*0.1,10)</f>
        <v/>
      </c>
      <c r="F1492">
        <f>P1492=ROUND(1481*0.2,10)</f>
        <v/>
      </c>
      <c r="G1492">
        <f>Q1492=ROUND(1481*0.3,10)</f>
        <v/>
      </c>
      <c r="H1492">
        <f>R1492=ROUND(1481*0.05,10)</f>
        <v/>
      </c>
      <c r="I1492">
        <f>S1492=ROUND(1481*0.01,10)</f>
        <v/>
      </c>
      <c r="J1492">
        <f>T1492=ROUND(1481*0.7,10)</f>
        <v/>
      </c>
      <c r="K1492">
        <f>U1492=ROUND(1481*1.1,10)</f>
        <v/>
      </c>
      <c r="L1492">
        <f>V1492=ROUND(1481*0.25,10)</f>
        <v/>
      </c>
      <c r="M1492">
        <f>W1492=ROUND(1481*0.5,10)</f>
        <v/>
      </c>
      <c r="O1492">
        <f>O1491+0.1</f>
        <v/>
      </c>
      <c r="P1492">
        <f>P1491+0.2</f>
        <v/>
      </c>
      <c r="Q1492">
        <f>Q1491+0.3</f>
        <v/>
      </c>
      <c r="R1492">
        <f>R1491+0.05</f>
        <v/>
      </c>
      <c r="S1492">
        <f>S1491+0.01</f>
        <v/>
      </c>
      <c r="T1492">
        <f>T1491+0.7</f>
        <v/>
      </c>
      <c r="U1492">
        <f>U1491+1.1</f>
        <v/>
      </c>
      <c r="V1492">
        <f>V1491+0.25</f>
        <v/>
      </c>
      <c r="W1492">
        <f>W1491+0.5</f>
        <v/>
      </c>
    </row>
    <row r="1493">
      <c r="E1493">
        <f>O1493=ROUND(1482*0.1,10)</f>
        <v/>
      </c>
      <c r="F1493">
        <f>P1493=ROUND(1482*0.2,10)</f>
        <v/>
      </c>
      <c r="G1493">
        <f>Q1493=ROUND(1482*0.3,10)</f>
        <v/>
      </c>
      <c r="H1493">
        <f>R1493=ROUND(1482*0.05,10)</f>
        <v/>
      </c>
      <c r="I1493">
        <f>S1493=ROUND(1482*0.01,10)</f>
        <v/>
      </c>
      <c r="J1493">
        <f>T1493=ROUND(1482*0.7,10)</f>
        <v/>
      </c>
      <c r="K1493">
        <f>U1493=ROUND(1482*1.1,10)</f>
        <v/>
      </c>
      <c r="L1493">
        <f>V1493=ROUND(1482*0.25,10)</f>
        <v/>
      </c>
      <c r="M1493">
        <f>W1493=ROUND(1482*0.5,10)</f>
        <v/>
      </c>
      <c r="O1493">
        <f>O1492+0.1</f>
        <v/>
      </c>
      <c r="P1493">
        <f>P1492+0.2</f>
        <v/>
      </c>
      <c r="Q1493">
        <f>Q1492+0.3</f>
        <v/>
      </c>
      <c r="R1493">
        <f>R1492+0.05</f>
        <v/>
      </c>
      <c r="S1493">
        <f>S1492+0.01</f>
        <v/>
      </c>
      <c r="T1493">
        <f>T1492+0.7</f>
        <v/>
      </c>
      <c r="U1493">
        <f>U1492+1.1</f>
        <v/>
      </c>
      <c r="V1493">
        <f>V1492+0.25</f>
        <v/>
      </c>
      <c r="W1493">
        <f>W1492+0.5</f>
        <v/>
      </c>
    </row>
    <row r="1494">
      <c r="E1494">
        <f>O1494=ROUND(1483*0.1,10)</f>
        <v/>
      </c>
      <c r="F1494">
        <f>P1494=ROUND(1483*0.2,10)</f>
        <v/>
      </c>
      <c r="G1494">
        <f>Q1494=ROUND(1483*0.3,10)</f>
        <v/>
      </c>
      <c r="H1494">
        <f>R1494=ROUND(1483*0.05,10)</f>
        <v/>
      </c>
      <c r="I1494">
        <f>S1494=ROUND(1483*0.01,10)</f>
        <v/>
      </c>
      <c r="J1494">
        <f>T1494=ROUND(1483*0.7,10)</f>
        <v/>
      </c>
      <c r="K1494">
        <f>U1494=ROUND(1483*1.1,10)</f>
        <v/>
      </c>
      <c r="L1494">
        <f>V1494=ROUND(1483*0.25,10)</f>
        <v/>
      </c>
      <c r="M1494">
        <f>W1494=ROUND(1483*0.5,10)</f>
        <v/>
      </c>
      <c r="O1494">
        <f>O1493+0.1</f>
        <v/>
      </c>
      <c r="P1494">
        <f>P1493+0.2</f>
        <v/>
      </c>
      <c r="Q1494">
        <f>Q1493+0.3</f>
        <v/>
      </c>
      <c r="R1494">
        <f>R1493+0.05</f>
        <v/>
      </c>
      <c r="S1494">
        <f>S1493+0.01</f>
        <v/>
      </c>
      <c r="T1494">
        <f>T1493+0.7</f>
        <v/>
      </c>
      <c r="U1494">
        <f>U1493+1.1</f>
        <v/>
      </c>
      <c r="V1494">
        <f>V1493+0.25</f>
        <v/>
      </c>
      <c r="W1494">
        <f>W1493+0.5</f>
        <v/>
      </c>
    </row>
    <row r="1495">
      <c r="E1495">
        <f>O1495=ROUND(1484*0.1,10)</f>
        <v/>
      </c>
      <c r="F1495">
        <f>P1495=ROUND(1484*0.2,10)</f>
        <v/>
      </c>
      <c r="G1495">
        <f>Q1495=ROUND(1484*0.3,10)</f>
        <v/>
      </c>
      <c r="H1495">
        <f>R1495=ROUND(1484*0.05,10)</f>
        <v/>
      </c>
      <c r="I1495">
        <f>S1495=ROUND(1484*0.01,10)</f>
        <v/>
      </c>
      <c r="J1495">
        <f>T1495=ROUND(1484*0.7,10)</f>
        <v/>
      </c>
      <c r="K1495">
        <f>U1495=ROUND(1484*1.1,10)</f>
        <v/>
      </c>
      <c r="L1495">
        <f>V1495=ROUND(1484*0.25,10)</f>
        <v/>
      </c>
      <c r="M1495">
        <f>W1495=ROUND(1484*0.5,10)</f>
        <v/>
      </c>
      <c r="O1495">
        <f>O1494+0.1</f>
        <v/>
      </c>
      <c r="P1495">
        <f>P1494+0.2</f>
        <v/>
      </c>
      <c r="Q1495">
        <f>Q1494+0.3</f>
        <v/>
      </c>
      <c r="R1495">
        <f>R1494+0.05</f>
        <v/>
      </c>
      <c r="S1495">
        <f>S1494+0.01</f>
        <v/>
      </c>
      <c r="T1495">
        <f>T1494+0.7</f>
        <v/>
      </c>
      <c r="U1495">
        <f>U1494+1.1</f>
        <v/>
      </c>
      <c r="V1495">
        <f>V1494+0.25</f>
        <v/>
      </c>
      <c r="W1495">
        <f>W1494+0.5</f>
        <v/>
      </c>
    </row>
    <row r="1496">
      <c r="E1496">
        <f>O1496=ROUND(1485*0.1,10)</f>
        <v/>
      </c>
      <c r="F1496">
        <f>P1496=ROUND(1485*0.2,10)</f>
        <v/>
      </c>
      <c r="G1496">
        <f>Q1496=ROUND(1485*0.3,10)</f>
        <v/>
      </c>
      <c r="H1496">
        <f>R1496=ROUND(1485*0.05,10)</f>
        <v/>
      </c>
      <c r="I1496">
        <f>S1496=ROUND(1485*0.01,10)</f>
        <v/>
      </c>
      <c r="J1496">
        <f>T1496=ROUND(1485*0.7,10)</f>
        <v/>
      </c>
      <c r="K1496">
        <f>U1496=ROUND(1485*1.1,10)</f>
        <v/>
      </c>
      <c r="L1496">
        <f>V1496=ROUND(1485*0.25,10)</f>
        <v/>
      </c>
      <c r="M1496">
        <f>W1496=ROUND(1485*0.5,10)</f>
        <v/>
      </c>
      <c r="O1496">
        <f>O1495+0.1</f>
        <v/>
      </c>
      <c r="P1496">
        <f>P1495+0.2</f>
        <v/>
      </c>
      <c r="Q1496">
        <f>Q1495+0.3</f>
        <v/>
      </c>
      <c r="R1496">
        <f>R1495+0.05</f>
        <v/>
      </c>
      <c r="S1496">
        <f>S1495+0.01</f>
        <v/>
      </c>
      <c r="T1496">
        <f>T1495+0.7</f>
        <v/>
      </c>
      <c r="U1496">
        <f>U1495+1.1</f>
        <v/>
      </c>
      <c r="V1496">
        <f>V1495+0.25</f>
        <v/>
      </c>
      <c r="W1496">
        <f>W1495+0.5</f>
        <v/>
      </c>
    </row>
    <row r="1497">
      <c r="E1497">
        <f>O1497=ROUND(1486*0.1,10)</f>
        <v/>
      </c>
      <c r="F1497">
        <f>P1497=ROUND(1486*0.2,10)</f>
        <v/>
      </c>
      <c r="G1497">
        <f>Q1497=ROUND(1486*0.3,10)</f>
        <v/>
      </c>
      <c r="H1497">
        <f>R1497=ROUND(1486*0.05,10)</f>
        <v/>
      </c>
      <c r="I1497">
        <f>S1497=ROUND(1486*0.01,10)</f>
        <v/>
      </c>
      <c r="J1497">
        <f>T1497=ROUND(1486*0.7,10)</f>
        <v/>
      </c>
      <c r="K1497">
        <f>U1497=ROUND(1486*1.1,10)</f>
        <v/>
      </c>
      <c r="L1497">
        <f>V1497=ROUND(1486*0.25,10)</f>
        <v/>
      </c>
      <c r="M1497">
        <f>W1497=ROUND(1486*0.5,10)</f>
        <v/>
      </c>
      <c r="O1497">
        <f>O1496+0.1</f>
        <v/>
      </c>
      <c r="P1497">
        <f>P1496+0.2</f>
        <v/>
      </c>
      <c r="Q1497">
        <f>Q1496+0.3</f>
        <v/>
      </c>
      <c r="R1497">
        <f>R1496+0.05</f>
        <v/>
      </c>
      <c r="S1497">
        <f>S1496+0.01</f>
        <v/>
      </c>
      <c r="T1497">
        <f>T1496+0.7</f>
        <v/>
      </c>
      <c r="U1497">
        <f>U1496+1.1</f>
        <v/>
      </c>
      <c r="V1497">
        <f>V1496+0.25</f>
        <v/>
      </c>
      <c r="W1497">
        <f>W1496+0.5</f>
        <v/>
      </c>
    </row>
    <row r="1498">
      <c r="E1498">
        <f>O1498=ROUND(1487*0.1,10)</f>
        <v/>
      </c>
      <c r="F1498">
        <f>P1498=ROUND(1487*0.2,10)</f>
        <v/>
      </c>
      <c r="G1498">
        <f>Q1498=ROUND(1487*0.3,10)</f>
        <v/>
      </c>
      <c r="H1498">
        <f>R1498=ROUND(1487*0.05,10)</f>
        <v/>
      </c>
      <c r="I1498">
        <f>S1498=ROUND(1487*0.01,10)</f>
        <v/>
      </c>
      <c r="J1498">
        <f>T1498=ROUND(1487*0.7,10)</f>
        <v/>
      </c>
      <c r="K1498">
        <f>U1498=ROUND(1487*1.1,10)</f>
        <v/>
      </c>
      <c r="L1498">
        <f>V1498=ROUND(1487*0.25,10)</f>
        <v/>
      </c>
      <c r="M1498">
        <f>W1498=ROUND(1487*0.5,10)</f>
        <v/>
      </c>
      <c r="O1498">
        <f>O1497+0.1</f>
        <v/>
      </c>
      <c r="P1498">
        <f>P1497+0.2</f>
        <v/>
      </c>
      <c r="Q1498">
        <f>Q1497+0.3</f>
        <v/>
      </c>
      <c r="R1498">
        <f>R1497+0.05</f>
        <v/>
      </c>
      <c r="S1498">
        <f>S1497+0.01</f>
        <v/>
      </c>
      <c r="T1498">
        <f>T1497+0.7</f>
        <v/>
      </c>
      <c r="U1498">
        <f>U1497+1.1</f>
        <v/>
      </c>
      <c r="V1498">
        <f>V1497+0.25</f>
        <v/>
      </c>
      <c r="W1498">
        <f>W1497+0.5</f>
        <v/>
      </c>
    </row>
    <row r="1499">
      <c r="E1499">
        <f>O1499=ROUND(1488*0.1,10)</f>
        <v/>
      </c>
      <c r="F1499">
        <f>P1499=ROUND(1488*0.2,10)</f>
        <v/>
      </c>
      <c r="G1499">
        <f>Q1499=ROUND(1488*0.3,10)</f>
        <v/>
      </c>
      <c r="H1499">
        <f>R1499=ROUND(1488*0.05,10)</f>
        <v/>
      </c>
      <c r="I1499">
        <f>S1499=ROUND(1488*0.01,10)</f>
        <v/>
      </c>
      <c r="J1499">
        <f>T1499=ROUND(1488*0.7,10)</f>
        <v/>
      </c>
      <c r="K1499">
        <f>U1499=ROUND(1488*1.1,10)</f>
        <v/>
      </c>
      <c r="L1499">
        <f>V1499=ROUND(1488*0.25,10)</f>
        <v/>
      </c>
      <c r="M1499">
        <f>W1499=ROUND(1488*0.5,10)</f>
        <v/>
      </c>
      <c r="O1499">
        <f>O1498+0.1</f>
        <v/>
      </c>
      <c r="P1499">
        <f>P1498+0.2</f>
        <v/>
      </c>
      <c r="Q1499">
        <f>Q1498+0.3</f>
        <v/>
      </c>
      <c r="R1499">
        <f>R1498+0.05</f>
        <v/>
      </c>
      <c r="S1499">
        <f>S1498+0.01</f>
        <v/>
      </c>
      <c r="T1499">
        <f>T1498+0.7</f>
        <v/>
      </c>
      <c r="U1499">
        <f>U1498+1.1</f>
        <v/>
      </c>
      <c r="V1499">
        <f>V1498+0.25</f>
        <v/>
      </c>
      <c r="W1499">
        <f>W1498+0.5</f>
        <v/>
      </c>
    </row>
    <row r="1500">
      <c r="E1500">
        <f>O1500=ROUND(1489*0.1,10)</f>
        <v/>
      </c>
      <c r="F1500">
        <f>P1500=ROUND(1489*0.2,10)</f>
        <v/>
      </c>
      <c r="G1500">
        <f>Q1500=ROUND(1489*0.3,10)</f>
        <v/>
      </c>
      <c r="H1500">
        <f>R1500=ROUND(1489*0.05,10)</f>
        <v/>
      </c>
      <c r="I1500">
        <f>S1500=ROUND(1489*0.01,10)</f>
        <v/>
      </c>
      <c r="J1500">
        <f>T1500=ROUND(1489*0.7,10)</f>
        <v/>
      </c>
      <c r="K1500">
        <f>U1500=ROUND(1489*1.1,10)</f>
        <v/>
      </c>
      <c r="L1500">
        <f>V1500=ROUND(1489*0.25,10)</f>
        <v/>
      </c>
      <c r="M1500">
        <f>W1500=ROUND(1489*0.5,10)</f>
        <v/>
      </c>
      <c r="O1500">
        <f>O1499+0.1</f>
        <v/>
      </c>
      <c r="P1500">
        <f>P1499+0.2</f>
        <v/>
      </c>
      <c r="Q1500">
        <f>Q1499+0.3</f>
        <v/>
      </c>
      <c r="R1500">
        <f>R1499+0.05</f>
        <v/>
      </c>
      <c r="S1500">
        <f>S1499+0.01</f>
        <v/>
      </c>
      <c r="T1500">
        <f>T1499+0.7</f>
        <v/>
      </c>
      <c r="U1500">
        <f>U1499+1.1</f>
        <v/>
      </c>
      <c r="V1500">
        <f>V1499+0.25</f>
        <v/>
      </c>
      <c r="W1500">
        <f>W1499+0.5</f>
        <v/>
      </c>
    </row>
    <row r="1501">
      <c r="E1501">
        <f>O1501=ROUND(1490*0.1,10)</f>
        <v/>
      </c>
      <c r="F1501">
        <f>P1501=ROUND(1490*0.2,10)</f>
        <v/>
      </c>
      <c r="G1501">
        <f>Q1501=ROUND(1490*0.3,10)</f>
        <v/>
      </c>
      <c r="H1501">
        <f>R1501=ROUND(1490*0.05,10)</f>
        <v/>
      </c>
      <c r="I1501">
        <f>S1501=ROUND(1490*0.01,10)</f>
        <v/>
      </c>
      <c r="J1501">
        <f>T1501=ROUND(1490*0.7,10)</f>
        <v/>
      </c>
      <c r="K1501">
        <f>U1501=ROUND(1490*1.1,10)</f>
        <v/>
      </c>
      <c r="L1501">
        <f>V1501=ROUND(1490*0.25,10)</f>
        <v/>
      </c>
      <c r="M1501">
        <f>W1501=ROUND(1490*0.5,10)</f>
        <v/>
      </c>
      <c r="O1501">
        <f>O1500+0.1</f>
        <v/>
      </c>
      <c r="P1501">
        <f>P1500+0.2</f>
        <v/>
      </c>
      <c r="Q1501">
        <f>Q1500+0.3</f>
        <v/>
      </c>
      <c r="R1501">
        <f>R1500+0.05</f>
        <v/>
      </c>
      <c r="S1501">
        <f>S1500+0.01</f>
        <v/>
      </c>
      <c r="T1501">
        <f>T1500+0.7</f>
        <v/>
      </c>
      <c r="U1501">
        <f>U1500+1.1</f>
        <v/>
      </c>
      <c r="V1501">
        <f>V1500+0.25</f>
        <v/>
      </c>
      <c r="W1501">
        <f>W1500+0.5</f>
        <v/>
      </c>
    </row>
    <row r="1502">
      <c r="E1502">
        <f>O1502=ROUND(1491*0.1,10)</f>
        <v/>
      </c>
      <c r="F1502">
        <f>P1502=ROUND(1491*0.2,10)</f>
        <v/>
      </c>
      <c r="G1502">
        <f>Q1502=ROUND(1491*0.3,10)</f>
        <v/>
      </c>
      <c r="H1502">
        <f>R1502=ROUND(1491*0.05,10)</f>
        <v/>
      </c>
      <c r="I1502">
        <f>S1502=ROUND(1491*0.01,10)</f>
        <v/>
      </c>
      <c r="J1502">
        <f>T1502=ROUND(1491*0.7,10)</f>
        <v/>
      </c>
      <c r="K1502">
        <f>U1502=ROUND(1491*1.1,10)</f>
        <v/>
      </c>
      <c r="L1502">
        <f>V1502=ROUND(1491*0.25,10)</f>
        <v/>
      </c>
      <c r="M1502">
        <f>W1502=ROUND(1491*0.5,10)</f>
        <v/>
      </c>
      <c r="O1502">
        <f>O1501+0.1</f>
        <v/>
      </c>
      <c r="P1502">
        <f>P1501+0.2</f>
        <v/>
      </c>
      <c r="Q1502">
        <f>Q1501+0.3</f>
        <v/>
      </c>
      <c r="R1502">
        <f>R1501+0.05</f>
        <v/>
      </c>
      <c r="S1502">
        <f>S1501+0.01</f>
        <v/>
      </c>
      <c r="T1502">
        <f>T1501+0.7</f>
        <v/>
      </c>
      <c r="U1502">
        <f>U1501+1.1</f>
        <v/>
      </c>
      <c r="V1502">
        <f>V1501+0.25</f>
        <v/>
      </c>
      <c r="W1502">
        <f>W1501+0.5</f>
        <v/>
      </c>
    </row>
    <row r="1503">
      <c r="E1503">
        <f>O1503=ROUND(1492*0.1,10)</f>
        <v/>
      </c>
      <c r="F1503">
        <f>P1503=ROUND(1492*0.2,10)</f>
        <v/>
      </c>
      <c r="G1503">
        <f>Q1503=ROUND(1492*0.3,10)</f>
        <v/>
      </c>
      <c r="H1503">
        <f>R1503=ROUND(1492*0.05,10)</f>
        <v/>
      </c>
      <c r="I1503">
        <f>S1503=ROUND(1492*0.01,10)</f>
        <v/>
      </c>
      <c r="J1503">
        <f>T1503=ROUND(1492*0.7,10)</f>
        <v/>
      </c>
      <c r="K1503">
        <f>U1503=ROUND(1492*1.1,10)</f>
        <v/>
      </c>
      <c r="L1503">
        <f>V1503=ROUND(1492*0.25,10)</f>
        <v/>
      </c>
      <c r="M1503">
        <f>W1503=ROUND(1492*0.5,10)</f>
        <v/>
      </c>
      <c r="O1503">
        <f>O1502+0.1</f>
        <v/>
      </c>
      <c r="P1503">
        <f>P1502+0.2</f>
        <v/>
      </c>
      <c r="Q1503">
        <f>Q1502+0.3</f>
        <v/>
      </c>
      <c r="R1503">
        <f>R1502+0.05</f>
        <v/>
      </c>
      <c r="S1503">
        <f>S1502+0.01</f>
        <v/>
      </c>
      <c r="T1503">
        <f>T1502+0.7</f>
        <v/>
      </c>
      <c r="U1503">
        <f>U1502+1.1</f>
        <v/>
      </c>
      <c r="V1503">
        <f>V1502+0.25</f>
        <v/>
      </c>
      <c r="W1503">
        <f>W1502+0.5</f>
        <v/>
      </c>
    </row>
    <row r="1504">
      <c r="E1504">
        <f>O1504=ROUND(1493*0.1,10)</f>
        <v/>
      </c>
      <c r="F1504">
        <f>P1504=ROUND(1493*0.2,10)</f>
        <v/>
      </c>
      <c r="G1504">
        <f>Q1504=ROUND(1493*0.3,10)</f>
        <v/>
      </c>
      <c r="H1504">
        <f>R1504=ROUND(1493*0.05,10)</f>
        <v/>
      </c>
      <c r="I1504">
        <f>S1504=ROUND(1493*0.01,10)</f>
        <v/>
      </c>
      <c r="J1504">
        <f>T1504=ROUND(1493*0.7,10)</f>
        <v/>
      </c>
      <c r="K1504">
        <f>U1504=ROUND(1493*1.1,10)</f>
        <v/>
      </c>
      <c r="L1504">
        <f>V1504=ROUND(1493*0.25,10)</f>
        <v/>
      </c>
      <c r="M1504">
        <f>W1504=ROUND(1493*0.5,10)</f>
        <v/>
      </c>
      <c r="O1504">
        <f>O1503+0.1</f>
        <v/>
      </c>
      <c r="P1504">
        <f>P1503+0.2</f>
        <v/>
      </c>
      <c r="Q1504">
        <f>Q1503+0.3</f>
        <v/>
      </c>
      <c r="R1504">
        <f>R1503+0.05</f>
        <v/>
      </c>
      <c r="S1504">
        <f>S1503+0.01</f>
        <v/>
      </c>
      <c r="T1504">
        <f>T1503+0.7</f>
        <v/>
      </c>
      <c r="U1504">
        <f>U1503+1.1</f>
        <v/>
      </c>
      <c r="V1504">
        <f>V1503+0.25</f>
        <v/>
      </c>
      <c r="W1504">
        <f>W1503+0.5</f>
        <v/>
      </c>
    </row>
    <row r="1505">
      <c r="E1505">
        <f>O1505=ROUND(1494*0.1,10)</f>
        <v/>
      </c>
      <c r="F1505">
        <f>P1505=ROUND(1494*0.2,10)</f>
        <v/>
      </c>
      <c r="G1505">
        <f>Q1505=ROUND(1494*0.3,10)</f>
        <v/>
      </c>
      <c r="H1505">
        <f>R1505=ROUND(1494*0.05,10)</f>
        <v/>
      </c>
      <c r="I1505">
        <f>S1505=ROUND(1494*0.01,10)</f>
        <v/>
      </c>
      <c r="J1505">
        <f>T1505=ROUND(1494*0.7,10)</f>
        <v/>
      </c>
      <c r="K1505">
        <f>U1505=ROUND(1494*1.1,10)</f>
        <v/>
      </c>
      <c r="L1505">
        <f>V1505=ROUND(1494*0.25,10)</f>
        <v/>
      </c>
      <c r="M1505">
        <f>W1505=ROUND(1494*0.5,10)</f>
        <v/>
      </c>
      <c r="O1505">
        <f>O1504+0.1</f>
        <v/>
      </c>
      <c r="P1505">
        <f>P1504+0.2</f>
        <v/>
      </c>
      <c r="Q1505">
        <f>Q1504+0.3</f>
        <v/>
      </c>
      <c r="R1505">
        <f>R1504+0.05</f>
        <v/>
      </c>
      <c r="S1505">
        <f>S1504+0.01</f>
        <v/>
      </c>
      <c r="T1505">
        <f>T1504+0.7</f>
        <v/>
      </c>
      <c r="U1505">
        <f>U1504+1.1</f>
        <v/>
      </c>
      <c r="V1505">
        <f>V1504+0.25</f>
        <v/>
      </c>
      <c r="W1505">
        <f>W1504+0.5</f>
        <v/>
      </c>
    </row>
    <row r="1506">
      <c r="E1506">
        <f>O1506=ROUND(1495*0.1,10)</f>
        <v/>
      </c>
      <c r="F1506">
        <f>P1506=ROUND(1495*0.2,10)</f>
        <v/>
      </c>
      <c r="G1506">
        <f>Q1506=ROUND(1495*0.3,10)</f>
        <v/>
      </c>
      <c r="H1506">
        <f>R1506=ROUND(1495*0.05,10)</f>
        <v/>
      </c>
      <c r="I1506">
        <f>S1506=ROUND(1495*0.01,10)</f>
        <v/>
      </c>
      <c r="J1506">
        <f>T1506=ROUND(1495*0.7,10)</f>
        <v/>
      </c>
      <c r="K1506">
        <f>U1506=ROUND(1495*1.1,10)</f>
        <v/>
      </c>
      <c r="L1506">
        <f>V1506=ROUND(1495*0.25,10)</f>
        <v/>
      </c>
      <c r="M1506">
        <f>W1506=ROUND(1495*0.5,10)</f>
        <v/>
      </c>
      <c r="O1506">
        <f>O1505+0.1</f>
        <v/>
      </c>
      <c r="P1506">
        <f>P1505+0.2</f>
        <v/>
      </c>
      <c r="Q1506">
        <f>Q1505+0.3</f>
        <v/>
      </c>
      <c r="R1506">
        <f>R1505+0.05</f>
        <v/>
      </c>
      <c r="S1506">
        <f>S1505+0.01</f>
        <v/>
      </c>
      <c r="T1506">
        <f>T1505+0.7</f>
        <v/>
      </c>
      <c r="U1506">
        <f>U1505+1.1</f>
        <v/>
      </c>
      <c r="V1506">
        <f>V1505+0.25</f>
        <v/>
      </c>
      <c r="W1506">
        <f>W1505+0.5</f>
        <v/>
      </c>
    </row>
    <row r="1507">
      <c r="E1507">
        <f>O1507=ROUND(1496*0.1,10)</f>
        <v/>
      </c>
      <c r="F1507">
        <f>P1507=ROUND(1496*0.2,10)</f>
        <v/>
      </c>
      <c r="G1507">
        <f>Q1507=ROUND(1496*0.3,10)</f>
        <v/>
      </c>
      <c r="H1507">
        <f>R1507=ROUND(1496*0.05,10)</f>
        <v/>
      </c>
      <c r="I1507">
        <f>S1507=ROUND(1496*0.01,10)</f>
        <v/>
      </c>
      <c r="J1507">
        <f>T1507=ROUND(1496*0.7,10)</f>
        <v/>
      </c>
      <c r="K1507">
        <f>U1507=ROUND(1496*1.1,10)</f>
        <v/>
      </c>
      <c r="L1507">
        <f>V1507=ROUND(1496*0.25,10)</f>
        <v/>
      </c>
      <c r="M1507">
        <f>W1507=ROUND(1496*0.5,10)</f>
        <v/>
      </c>
      <c r="O1507">
        <f>O1506+0.1</f>
        <v/>
      </c>
      <c r="P1507">
        <f>P1506+0.2</f>
        <v/>
      </c>
      <c r="Q1507">
        <f>Q1506+0.3</f>
        <v/>
      </c>
      <c r="R1507">
        <f>R1506+0.05</f>
        <v/>
      </c>
      <c r="S1507">
        <f>S1506+0.01</f>
        <v/>
      </c>
      <c r="T1507">
        <f>T1506+0.7</f>
        <v/>
      </c>
      <c r="U1507">
        <f>U1506+1.1</f>
        <v/>
      </c>
      <c r="V1507">
        <f>V1506+0.25</f>
        <v/>
      </c>
      <c r="W1507">
        <f>W1506+0.5</f>
        <v/>
      </c>
    </row>
    <row r="1508">
      <c r="E1508">
        <f>O1508=ROUND(1497*0.1,10)</f>
        <v/>
      </c>
      <c r="F1508">
        <f>P1508=ROUND(1497*0.2,10)</f>
        <v/>
      </c>
      <c r="G1508">
        <f>Q1508=ROUND(1497*0.3,10)</f>
        <v/>
      </c>
      <c r="H1508">
        <f>R1508=ROUND(1497*0.05,10)</f>
        <v/>
      </c>
      <c r="I1508">
        <f>S1508=ROUND(1497*0.01,10)</f>
        <v/>
      </c>
      <c r="J1508">
        <f>T1508=ROUND(1497*0.7,10)</f>
        <v/>
      </c>
      <c r="K1508">
        <f>U1508=ROUND(1497*1.1,10)</f>
        <v/>
      </c>
      <c r="L1508">
        <f>V1508=ROUND(1497*0.25,10)</f>
        <v/>
      </c>
      <c r="M1508">
        <f>W1508=ROUND(1497*0.5,10)</f>
        <v/>
      </c>
      <c r="O1508">
        <f>O1507+0.1</f>
        <v/>
      </c>
      <c r="P1508">
        <f>P1507+0.2</f>
        <v/>
      </c>
      <c r="Q1508">
        <f>Q1507+0.3</f>
        <v/>
      </c>
      <c r="R1508">
        <f>R1507+0.05</f>
        <v/>
      </c>
      <c r="S1508">
        <f>S1507+0.01</f>
        <v/>
      </c>
      <c r="T1508">
        <f>T1507+0.7</f>
        <v/>
      </c>
      <c r="U1508">
        <f>U1507+1.1</f>
        <v/>
      </c>
      <c r="V1508">
        <f>V1507+0.25</f>
        <v/>
      </c>
      <c r="W1508">
        <f>W1507+0.5</f>
        <v/>
      </c>
    </row>
    <row r="1509">
      <c r="E1509">
        <f>O1509=ROUND(1498*0.1,10)</f>
        <v/>
      </c>
      <c r="F1509">
        <f>P1509=ROUND(1498*0.2,10)</f>
        <v/>
      </c>
      <c r="G1509">
        <f>Q1509=ROUND(1498*0.3,10)</f>
        <v/>
      </c>
      <c r="H1509">
        <f>R1509=ROUND(1498*0.05,10)</f>
        <v/>
      </c>
      <c r="I1509">
        <f>S1509=ROUND(1498*0.01,10)</f>
        <v/>
      </c>
      <c r="J1509">
        <f>T1509=ROUND(1498*0.7,10)</f>
        <v/>
      </c>
      <c r="K1509">
        <f>U1509=ROUND(1498*1.1,10)</f>
        <v/>
      </c>
      <c r="L1509">
        <f>V1509=ROUND(1498*0.25,10)</f>
        <v/>
      </c>
      <c r="M1509">
        <f>W1509=ROUND(1498*0.5,10)</f>
        <v/>
      </c>
      <c r="O1509">
        <f>O1508+0.1</f>
        <v/>
      </c>
      <c r="P1509">
        <f>P1508+0.2</f>
        <v/>
      </c>
      <c r="Q1509">
        <f>Q1508+0.3</f>
        <v/>
      </c>
      <c r="R1509">
        <f>R1508+0.05</f>
        <v/>
      </c>
      <c r="S1509">
        <f>S1508+0.01</f>
        <v/>
      </c>
      <c r="T1509">
        <f>T1508+0.7</f>
        <v/>
      </c>
      <c r="U1509">
        <f>U1508+1.1</f>
        <v/>
      </c>
      <c r="V1509">
        <f>V1508+0.25</f>
        <v/>
      </c>
      <c r="W1509">
        <f>W1508+0.5</f>
        <v/>
      </c>
    </row>
    <row r="1510">
      <c r="E1510">
        <f>O1510=ROUND(1499*0.1,10)</f>
        <v/>
      </c>
      <c r="F1510">
        <f>P1510=ROUND(1499*0.2,10)</f>
        <v/>
      </c>
      <c r="G1510">
        <f>Q1510=ROUND(1499*0.3,10)</f>
        <v/>
      </c>
      <c r="H1510">
        <f>R1510=ROUND(1499*0.05,10)</f>
        <v/>
      </c>
      <c r="I1510">
        <f>S1510=ROUND(1499*0.01,10)</f>
        <v/>
      </c>
      <c r="J1510">
        <f>T1510=ROUND(1499*0.7,10)</f>
        <v/>
      </c>
      <c r="K1510">
        <f>U1510=ROUND(1499*1.1,10)</f>
        <v/>
      </c>
      <c r="L1510">
        <f>V1510=ROUND(1499*0.25,10)</f>
        <v/>
      </c>
      <c r="M1510">
        <f>W1510=ROUND(1499*0.5,10)</f>
        <v/>
      </c>
      <c r="O1510">
        <f>O1509+0.1</f>
        <v/>
      </c>
      <c r="P1510">
        <f>P1509+0.2</f>
        <v/>
      </c>
      <c r="Q1510">
        <f>Q1509+0.3</f>
        <v/>
      </c>
      <c r="R1510">
        <f>R1509+0.05</f>
        <v/>
      </c>
      <c r="S1510">
        <f>S1509+0.01</f>
        <v/>
      </c>
      <c r="T1510">
        <f>T1509+0.7</f>
        <v/>
      </c>
      <c r="U1510">
        <f>U1509+1.1</f>
        <v/>
      </c>
      <c r="V1510">
        <f>V1509+0.25</f>
        <v/>
      </c>
      <c r="W1510">
        <f>W1509+0.5</f>
        <v/>
      </c>
    </row>
    <row r="1511">
      <c r="E1511">
        <f>O1511=ROUND(1500*0.1,10)</f>
        <v/>
      </c>
      <c r="F1511">
        <f>P1511=ROUND(1500*0.2,10)</f>
        <v/>
      </c>
      <c r="G1511">
        <f>Q1511=ROUND(1500*0.3,10)</f>
        <v/>
      </c>
      <c r="H1511">
        <f>R1511=ROUND(1500*0.05,10)</f>
        <v/>
      </c>
      <c r="I1511">
        <f>S1511=ROUND(1500*0.01,10)</f>
        <v/>
      </c>
      <c r="J1511">
        <f>T1511=ROUND(1500*0.7,10)</f>
        <v/>
      </c>
      <c r="K1511">
        <f>U1511=ROUND(1500*1.1,10)</f>
        <v/>
      </c>
      <c r="L1511">
        <f>V1511=ROUND(1500*0.25,10)</f>
        <v/>
      </c>
      <c r="M1511">
        <f>W1511=ROUND(1500*0.5,10)</f>
        <v/>
      </c>
      <c r="O1511">
        <f>O1510+0.1</f>
        <v/>
      </c>
      <c r="P1511">
        <f>P1510+0.2</f>
        <v/>
      </c>
      <c r="Q1511">
        <f>Q1510+0.3</f>
        <v/>
      </c>
      <c r="R1511">
        <f>R1510+0.05</f>
        <v/>
      </c>
      <c r="S1511">
        <f>S1510+0.01</f>
        <v/>
      </c>
      <c r="T1511">
        <f>T1510+0.7</f>
        <v/>
      </c>
      <c r="U1511">
        <f>U1510+1.1</f>
        <v/>
      </c>
      <c r="V1511">
        <f>V1510+0.25</f>
        <v/>
      </c>
      <c r="W1511">
        <f>W1510+0.5</f>
        <v/>
      </c>
    </row>
    <row r="1512">
      <c r="E1512">
        <f>O1512=ROUND(1501*0.1,10)</f>
        <v/>
      </c>
      <c r="F1512">
        <f>P1512=ROUND(1501*0.2,10)</f>
        <v/>
      </c>
      <c r="G1512">
        <f>Q1512=ROUND(1501*0.3,10)</f>
        <v/>
      </c>
      <c r="H1512">
        <f>R1512=ROUND(1501*0.05,10)</f>
        <v/>
      </c>
      <c r="I1512">
        <f>S1512=ROUND(1501*0.01,10)</f>
        <v/>
      </c>
      <c r="J1512">
        <f>T1512=ROUND(1501*0.7,10)</f>
        <v/>
      </c>
      <c r="K1512">
        <f>U1512=ROUND(1501*1.1,10)</f>
        <v/>
      </c>
      <c r="L1512">
        <f>V1512=ROUND(1501*0.25,10)</f>
        <v/>
      </c>
      <c r="M1512">
        <f>W1512=ROUND(1501*0.5,10)</f>
        <v/>
      </c>
      <c r="O1512">
        <f>O1511+0.1</f>
        <v/>
      </c>
      <c r="P1512">
        <f>P1511+0.2</f>
        <v/>
      </c>
      <c r="Q1512">
        <f>Q1511+0.3</f>
        <v/>
      </c>
      <c r="R1512">
        <f>R1511+0.05</f>
        <v/>
      </c>
      <c r="S1512">
        <f>S1511+0.01</f>
        <v/>
      </c>
      <c r="T1512">
        <f>T1511+0.7</f>
        <v/>
      </c>
      <c r="U1512">
        <f>U1511+1.1</f>
        <v/>
      </c>
      <c r="V1512">
        <f>V1511+0.25</f>
        <v/>
      </c>
      <c r="W1512">
        <f>W1511+0.5</f>
        <v/>
      </c>
    </row>
    <row r="1513">
      <c r="E1513">
        <f>O1513=ROUND(1502*0.1,10)</f>
        <v/>
      </c>
      <c r="F1513">
        <f>P1513=ROUND(1502*0.2,10)</f>
        <v/>
      </c>
      <c r="G1513">
        <f>Q1513=ROUND(1502*0.3,10)</f>
        <v/>
      </c>
      <c r="H1513">
        <f>R1513=ROUND(1502*0.05,10)</f>
        <v/>
      </c>
      <c r="I1513">
        <f>S1513=ROUND(1502*0.01,10)</f>
        <v/>
      </c>
      <c r="J1513">
        <f>T1513=ROUND(1502*0.7,10)</f>
        <v/>
      </c>
      <c r="K1513">
        <f>U1513=ROUND(1502*1.1,10)</f>
        <v/>
      </c>
      <c r="L1513">
        <f>V1513=ROUND(1502*0.25,10)</f>
        <v/>
      </c>
      <c r="M1513">
        <f>W1513=ROUND(1502*0.5,10)</f>
        <v/>
      </c>
      <c r="O1513">
        <f>O1512+0.1</f>
        <v/>
      </c>
      <c r="P1513">
        <f>P1512+0.2</f>
        <v/>
      </c>
      <c r="Q1513">
        <f>Q1512+0.3</f>
        <v/>
      </c>
      <c r="R1513">
        <f>R1512+0.05</f>
        <v/>
      </c>
      <c r="S1513">
        <f>S1512+0.01</f>
        <v/>
      </c>
      <c r="T1513">
        <f>T1512+0.7</f>
        <v/>
      </c>
      <c r="U1513">
        <f>U1512+1.1</f>
        <v/>
      </c>
      <c r="V1513">
        <f>V1512+0.25</f>
        <v/>
      </c>
      <c r="W1513">
        <f>W1512+0.5</f>
        <v/>
      </c>
    </row>
    <row r="1514">
      <c r="E1514">
        <f>O1514=ROUND(1503*0.1,10)</f>
        <v/>
      </c>
      <c r="F1514">
        <f>P1514=ROUND(1503*0.2,10)</f>
        <v/>
      </c>
      <c r="G1514">
        <f>Q1514=ROUND(1503*0.3,10)</f>
        <v/>
      </c>
      <c r="H1514">
        <f>R1514=ROUND(1503*0.05,10)</f>
        <v/>
      </c>
      <c r="I1514">
        <f>S1514=ROUND(1503*0.01,10)</f>
        <v/>
      </c>
      <c r="J1514">
        <f>T1514=ROUND(1503*0.7,10)</f>
        <v/>
      </c>
      <c r="K1514">
        <f>U1514=ROUND(1503*1.1,10)</f>
        <v/>
      </c>
      <c r="L1514">
        <f>V1514=ROUND(1503*0.25,10)</f>
        <v/>
      </c>
      <c r="M1514">
        <f>W1514=ROUND(1503*0.5,10)</f>
        <v/>
      </c>
      <c r="O1514">
        <f>O1513+0.1</f>
        <v/>
      </c>
      <c r="P1514">
        <f>P1513+0.2</f>
        <v/>
      </c>
      <c r="Q1514">
        <f>Q1513+0.3</f>
        <v/>
      </c>
      <c r="R1514">
        <f>R1513+0.05</f>
        <v/>
      </c>
      <c r="S1514">
        <f>S1513+0.01</f>
        <v/>
      </c>
      <c r="T1514">
        <f>T1513+0.7</f>
        <v/>
      </c>
      <c r="U1514">
        <f>U1513+1.1</f>
        <v/>
      </c>
      <c r="V1514">
        <f>V1513+0.25</f>
        <v/>
      </c>
      <c r="W1514">
        <f>W1513+0.5</f>
        <v/>
      </c>
    </row>
    <row r="1515">
      <c r="E1515">
        <f>O1515=ROUND(1504*0.1,10)</f>
        <v/>
      </c>
      <c r="F1515">
        <f>P1515=ROUND(1504*0.2,10)</f>
        <v/>
      </c>
      <c r="G1515">
        <f>Q1515=ROUND(1504*0.3,10)</f>
        <v/>
      </c>
      <c r="H1515">
        <f>R1515=ROUND(1504*0.05,10)</f>
        <v/>
      </c>
      <c r="I1515">
        <f>S1515=ROUND(1504*0.01,10)</f>
        <v/>
      </c>
      <c r="J1515">
        <f>T1515=ROUND(1504*0.7,10)</f>
        <v/>
      </c>
      <c r="K1515">
        <f>U1515=ROUND(1504*1.1,10)</f>
        <v/>
      </c>
      <c r="L1515">
        <f>V1515=ROUND(1504*0.25,10)</f>
        <v/>
      </c>
      <c r="M1515">
        <f>W1515=ROUND(1504*0.5,10)</f>
        <v/>
      </c>
      <c r="O1515">
        <f>O1514+0.1</f>
        <v/>
      </c>
      <c r="P1515">
        <f>P1514+0.2</f>
        <v/>
      </c>
      <c r="Q1515">
        <f>Q1514+0.3</f>
        <v/>
      </c>
      <c r="R1515">
        <f>R1514+0.05</f>
        <v/>
      </c>
      <c r="S1515">
        <f>S1514+0.01</f>
        <v/>
      </c>
      <c r="T1515">
        <f>T1514+0.7</f>
        <v/>
      </c>
      <c r="U1515">
        <f>U1514+1.1</f>
        <v/>
      </c>
      <c r="V1515">
        <f>V1514+0.25</f>
        <v/>
      </c>
      <c r="W1515">
        <f>W1514+0.5</f>
        <v/>
      </c>
    </row>
    <row r="1516">
      <c r="E1516">
        <f>O1516=ROUND(1505*0.1,10)</f>
        <v/>
      </c>
      <c r="F1516">
        <f>P1516=ROUND(1505*0.2,10)</f>
        <v/>
      </c>
      <c r="G1516">
        <f>Q1516=ROUND(1505*0.3,10)</f>
        <v/>
      </c>
      <c r="H1516">
        <f>R1516=ROUND(1505*0.05,10)</f>
        <v/>
      </c>
      <c r="I1516">
        <f>S1516=ROUND(1505*0.01,10)</f>
        <v/>
      </c>
      <c r="J1516">
        <f>T1516=ROUND(1505*0.7,10)</f>
        <v/>
      </c>
      <c r="K1516">
        <f>U1516=ROUND(1505*1.1,10)</f>
        <v/>
      </c>
      <c r="L1516">
        <f>V1516=ROUND(1505*0.25,10)</f>
        <v/>
      </c>
      <c r="M1516">
        <f>W1516=ROUND(1505*0.5,10)</f>
        <v/>
      </c>
      <c r="O1516">
        <f>O1515+0.1</f>
        <v/>
      </c>
      <c r="P1516">
        <f>P1515+0.2</f>
        <v/>
      </c>
      <c r="Q1516">
        <f>Q1515+0.3</f>
        <v/>
      </c>
      <c r="R1516">
        <f>R1515+0.05</f>
        <v/>
      </c>
      <c r="S1516">
        <f>S1515+0.01</f>
        <v/>
      </c>
      <c r="T1516">
        <f>T1515+0.7</f>
        <v/>
      </c>
      <c r="U1516">
        <f>U1515+1.1</f>
        <v/>
      </c>
      <c r="V1516">
        <f>V1515+0.25</f>
        <v/>
      </c>
      <c r="W1516">
        <f>W1515+0.5</f>
        <v/>
      </c>
    </row>
    <row r="1517">
      <c r="E1517">
        <f>O1517=ROUND(1506*0.1,10)</f>
        <v/>
      </c>
      <c r="F1517">
        <f>P1517=ROUND(1506*0.2,10)</f>
        <v/>
      </c>
      <c r="G1517">
        <f>Q1517=ROUND(1506*0.3,10)</f>
        <v/>
      </c>
      <c r="H1517">
        <f>R1517=ROUND(1506*0.05,10)</f>
        <v/>
      </c>
      <c r="I1517">
        <f>S1517=ROUND(1506*0.01,10)</f>
        <v/>
      </c>
      <c r="J1517">
        <f>T1517=ROUND(1506*0.7,10)</f>
        <v/>
      </c>
      <c r="K1517">
        <f>U1517=ROUND(1506*1.1,10)</f>
        <v/>
      </c>
      <c r="L1517">
        <f>V1517=ROUND(1506*0.25,10)</f>
        <v/>
      </c>
      <c r="M1517">
        <f>W1517=ROUND(1506*0.5,10)</f>
        <v/>
      </c>
      <c r="O1517">
        <f>O1516+0.1</f>
        <v/>
      </c>
      <c r="P1517">
        <f>P1516+0.2</f>
        <v/>
      </c>
      <c r="Q1517">
        <f>Q1516+0.3</f>
        <v/>
      </c>
      <c r="R1517">
        <f>R1516+0.05</f>
        <v/>
      </c>
      <c r="S1517">
        <f>S1516+0.01</f>
        <v/>
      </c>
      <c r="T1517">
        <f>T1516+0.7</f>
        <v/>
      </c>
      <c r="U1517">
        <f>U1516+1.1</f>
        <v/>
      </c>
      <c r="V1517">
        <f>V1516+0.25</f>
        <v/>
      </c>
      <c r="W1517">
        <f>W1516+0.5</f>
        <v/>
      </c>
    </row>
    <row r="1518">
      <c r="E1518">
        <f>O1518=ROUND(1507*0.1,10)</f>
        <v/>
      </c>
      <c r="F1518">
        <f>P1518=ROUND(1507*0.2,10)</f>
        <v/>
      </c>
      <c r="G1518">
        <f>Q1518=ROUND(1507*0.3,10)</f>
        <v/>
      </c>
      <c r="H1518">
        <f>R1518=ROUND(1507*0.05,10)</f>
        <v/>
      </c>
      <c r="I1518">
        <f>S1518=ROUND(1507*0.01,10)</f>
        <v/>
      </c>
      <c r="J1518">
        <f>T1518=ROUND(1507*0.7,10)</f>
        <v/>
      </c>
      <c r="K1518">
        <f>U1518=ROUND(1507*1.1,10)</f>
        <v/>
      </c>
      <c r="L1518">
        <f>V1518=ROUND(1507*0.25,10)</f>
        <v/>
      </c>
      <c r="M1518">
        <f>W1518=ROUND(1507*0.5,10)</f>
        <v/>
      </c>
      <c r="O1518">
        <f>O1517+0.1</f>
        <v/>
      </c>
      <c r="P1518">
        <f>P1517+0.2</f>
        <v/>
      </c>
      <c r="Q1518">
        <f>Q1517+0.3</f>
        <v/>
      </c>
      <c r="R1518">
        <f>R1517+0.05</f>
        <v/>
      </c>
      <c r="S1518">
        <f>S1517+0.01</f>
        <v/>
      </c>
      <c r="T1518">
        <f>T1517+0.7</f>
        <v/>
      </c>
      <c r="U1518">
        <f>U1517+1.1</f>
        <v/>
      </c>
      <c r="V1518">
        <f>V1517+0.25</f>
        <v/>
      </c>
      <c r="W1518">
        <f>W1517+0.5</f>
        <v/>
      </c>
    </row>
    <row r="1519">
      <c r="E1519">
        <f>O1519=ROUND(1508*0.1,10)</f>
        <v/>
      </c>
      <c r="F1519">
        <f>P1519=ROUND(1508*0.2,10)</f>
        <v/>
      </c>
      <c r="G1519">
        <f>Q1519=ROUND(1508*0.3,10)</f>
        <v/>
      </c>
      <c r="H1519">
        <f>R1519=ROUND(1508*0.05,10)</f>
        <v/>
      </c>
      <c r="I1519">
        <f>S1519=ROUND(1508*0.01,10)</f>
        <v/>
      </c>
      <c r="J1519">
        <f>T1519=ROUND(1508*0.7,10)</f>
        <v/>
      </c>
      <c r="K1519">
        <f>U1519=ROUND(1508*1.1,10)</f>
        <v/>
      </c>
      <c r="L1519">
        <f>V1519=ROUND(1508*0.25,10)</f>
        <v/>
      </c>
      <c r="M1519">
        <f>W1519=ROUND(1508*0.5,10)</f>
        <v/>
      </c>
      <c r="O1519">
        <f>O1518+0.1</f>
        <v/>
      </c>
      <c r="P1519">
        <f>P1518+0.2</f>
        <v/>
      </c>
      <c r="Q1519">
        <f>Q1518+0.3</f>
        <v/>
      </c>
      <c r="R1519">
        <f>R1518+0.05</f>
        <v/>
      </c>
      <c r="S1519">
        <f>S1518+0.01</f>
        <v/>
      </c>
      <c r="T1519">
        <f>T1518+0.7</f>
        <v/>
      </c>
      <c r="U1519">
        <f>U1518+1.1</f>
        <v/>
      </c>
      <c r="V1519">
        <f>V1518+0.25</f>
        <v/>
      </c>
      <c r="W1519">
        <f>W1518+0.5</f>
        <v/>
      </c>
    </row>
    <row r="1520">
      <c r="E1520">
        <f>O1520=ROUND(1509*0.1,10)</f>
        <v/>
      </c>
      <c r="F1520">
        <f>P1520=ROUND(1509*0.2,10)</f>
        <v/>
      </c>
      <c r="G1520">
        <f>Q1520=ROUND(1509*0.3,10)</f>
        <v/>
      </c>
      <c r="H1520">
        <f>R1520=ROUND(1509*0.05,10)</f>
        <v/>
      </c>
      <c r="I1520">
        <f>S1520=ROUND(1509*0.01,10)</f>
        <v/>
      </c>
      <c r="J1520">
        <f>T1520=ROUND(1509*0.7,10)</f>
        <v/>
      </c>
      <c r="K1520">
        <f>U1520=ROUND(1509*1.1,10)</f>
        <v/>
      </c>
      <c r="L1520">
        <f>V1520=ROUND(1509*0.25,10)</f>
        <v/>
      </c>
      <c r="M1520">
        <f>W1520=ROUND(1509*0.5,10)</f>
        <v/>
      </c>
      <c r="O1520">
        <f>O1519+0.1</f>
        <v/>
      </c>
      <c r="P1520">
        <f>P1519+0.2</f>
        <v/>
      </c>
      <c r="Q1520">
        <f>Q1519+0.3</f>
        <v/>
      </c>
      <c r="R1520">
        <f>R1519+0.05</f>
        <v/>
      </c>
      <c r="S1520">
        <f>S1519+0.01</f>
        <v/>
      </c>
      <c r="T1520">
        <f>T1519+0.7</f>
        <v/>
      </c>
      <c r="U1520">
        <f>U1519+1.1</f>
        <v/>
      </c>
      <c r="V1520">
        <f>V1519+0.25</f>
        <v/>
      </c>
      <c r="W1520">
        <f>W1519+0.5</f>
        <v/>
      </c>
    </row>
    <row r="1521">
      <c r="E1521">
        <f>O1521=ROUND(1510*0.1,10)</f>
        <v/>
      </c>
      <c r="F1521">
        <f>P1521=ROUND(1510*0.2,10)</f>
        <v/>
      </c>
      <c r="G1521">
        <f>Q1521=ROUND(1510*0.3,10)</f>
        <v/>
      </c>
      <c r="H1521">
        <f>R1521=ROUND(1510*0.05,10)</f>
        <v/>
      </c>
      <c r="I1521">
        <f>S1521=ROUND(1510*0.01,10)</f>
        <v/>
      </c>
      <c r="J1521">
        <f>T1521=ROUND(1510*0.7,10)</f>
        <v/>
      </c>
      <c r="K1521">
        <f>U1521=ROUND(1510*1.1,10)</f>
        <v/>
      </c>
      <c r="L1521">
        <f>V1521=ROUND(1510*0.25,10)</f>
        <v/>
      </c>
      <c r="M1521">
        <f>W1521=ROUND(1510*0.5,10)</f>
        <v/>
      </c>
      <c r="O1521">
        <f>O1520+0.1</f>
        <v/>
      </c>
      <c r="P1521">
        <f>P1520+0.2</f>
        <v/>
      </c>
      <c r="Q1521">
        <f>Q1520+0.3</f>
        <v/>
      </c>
      <c r="R1521">
        <f>R1520+0.05</f>
        <v/>
      </c>
      <c r="S1521">
        <f>S1520+0.01</f>
        <v/>
      </c>
      <c r="T1521">
        <f>T1520+0.7</f>
        <v/>
      </c>
      <c r="U1521">
        <f>U1520+1.1</f>
        <v/>
      </c>
      <c r="V1521">
        <f>V1520+0.25</f>
        <v/>
      </c>
      <c r="W1521">
        <f>W1520+0.5</f>
        <v/>
      </c>
    </row>
    <row r="1522">
      <c r="E1522">
        <f>O1522=ROUND(1511*0.1,10)</f>
        <v/>
      </c>
      <c r="F1522">
        <f>P1522=ROUND(1511*0.2,10)</f>
        <v/>
      </c>
      <c r="G1522">
        <f>Q1522=ROUND(1511*0.3,10)</f>
        <v/>
      </c>
      <c r="H1522">
        <f>R1522=ROUND(1511*0.05,10)</f>
        <v/>
      </c>
      <c r="I1522">
        <f>S1522=ROUND(1511*0.01,10)</f>
        <v/>
      </c>
      <c r="J1522">
        <f>T1522=ROUND(1511*0.7,10)</f>
        <v/>
      </c>
      <c r="K1522">
        <f>U1522=ROUND(1511*1.1,10)</f>
        <v/>
      </c>
      <c r="L1522">
        <f>V1522=ROUND(1511*0.25,10)</f>
        <v/>
      </c>
      <c r="M1522">
        <f>W1522=ROUND(1511*0.5,10)</f>
        <v/>
      </c>
      <c r="O1522">
        <f>O1521+0.1</f>
        <v/>
      </c>
      <c r="P1522">
        <f>P1521+0.2</f>
        <v/>
      </c>
      <c r="Q1522">
        <f>Q1521+0.3</f>
        <v/>
      </c>
      <c r="R1522">
        <f>R1521+0.05</f>
        <v/>
      </c>
      <c r="S1522">
        <f>S1521+0.01</f>
        <v/>
      </c>
      <c r="T1522">
        <f>T1521+0.7</f>
        <v/>
      </c>
      <c r="U1522">
        <f>U1521+1.1</f>
        <v/>
      </c>
      <c r="V1522">
        <f>V1521+0.25</f>
        <v/>
      </c>
      <c r="W1522">
        <f>W1521+0.5</f>
        <v/>
      </c>
    </row>
    <row r="1523">
      <c r="E1523">
        <f>O1523=ROUND(1512*0.1,10)</f>
        <v/>
      </c>
      <c r="F1523">
        <f>P1523=ROUND(1512*0.2,10)</f>
        <v/>
      </c>
      <c r="G1523">
        <f>Q1523=ROUND(1512*0.3,10)</f>
        <v/>
      </c>
      <c r="H1523">
        <f>R1523=ROUND(1512*0.05,10)</f>
        <v/>
      </c>
      <c r="I1523">
        <f>S1523=ROUND(1512*0.01,10)</f>
        <v/>
      </c>
      <c r="J1523">
        <f>T1523=ROUND(1512*0.7,10)</f>
        <v/>
      </c>
      <c r="K1523">
        <f>U1523=ROUND(1512*1.1,10)</f>
        <v/>
      </c>
      <c r="L1523">
        <f>V1523=ROUND(1512*0.25,10)</f>
        <v/>
      </c>
      <c r="M1523">
        <f>W1523=ROUND(1512*0.5,10)</f>
        <v/>
      </c>
      <c r="O1523">
        <f>O1522+0.1</f>
        <v/>
      </c>
      <c r="P1523">
        <f>P1522+0.2</f>
        <v/>
      </c>
      <c r="Q1523">
        <f>Q1522+0.3</f>
        <v/>
      </c>
      <c r="R1523">
        <f>R1522+0.05</f>
        <v/>
      </c>
      <c r="S1523">
        <f>S1522+0.01</f>
        <v/>
      </c>
      <c r="T1523">
        <f>T1522+0.7</f>
        <v/>
      </c>
      <c r="U1523">
        <f>U1522+1.1</f>
        <v/>
      </c>
      <c r="V1523">
        <f>V1522+0.25</f>
        <v/>
      </c>
      <c r="W1523">
        <f>W1522+0.5</f>
        <v/>
      </c>
    </row>
    <row r="1524">
      <c r="E1524">
        <f>O1524=ROUND(1513*0.1,10)</f>
        <v/>
      </c>
      <c r="F1524">
        <f>P1524=ROUND(1513*0.2,10)</f>
        <v/>
      </c>
      <c r="G1524">
        <f>Q1524=ROUND(1513*0.3,10)</f>
        <v/>
      </c>
      <c r="H1524">
        <f>R1524=ROUND(1513*0.05,10)</f>
        <v/>
      </c>
      <c r="I1524">
        <f>S1524=ROUND(1513*0.01,10)</f>
        <v/>
      </c>
      <c r="J1524">
        <f>T1524=ROUND(1513*0.7,10)</f>
        <v/>
      </c>
      <c r="K1524">
        <f>U1524=ROUND(1513*1.1,10)</f>
        <v/>
      </c>
      <c r="L1524">
        <f>V1524=ROUND(1513*0.25,10)</f>
        <v/>
      </c>
      <c r="M1524">
        <f>W1524=ROUND(1513*0.5,10)</f>
        <v/>
      </c>
      <c r="O1524">
        <f>O1523+0.1</f>
        <v/>
      </c>
      <c r="P1524">
        <f>P1523+0.2</f>
        <v/>
      </c>
      <c r="Q1524">
        <f>Q1523+0.3</f>
        <v/>
      </c>
      <c r="R1524">
        <f>R1523+0.05</f>
        <v/>
      </c>
      <c r="S1524">
        <f>S1523+0.01</f>
        <v/>
      </c>
      <c r="T1524">
        <f>T1523+0.7</f>
        <v/>
      </c>
      <c r="U1524">
        <f>U1523+1.1</f>
        <v/>
      </c>
      <c r="V1524">
        <f>V1523+0.25</f>
        <v/>
      </c>
      <c r="W1524">
        <f>W1523+0.5</f>
        <v/>
      </c>
    </row>
    <row r="1525">
      <c r="E1525">
        <f>O1525=ROUND(1514*0.1,10)</f>
        <v/>
      </c>
      <c r="F1525">
        <f>P1525=ROUND(1514*0.2,10)</f>
        <v/>
      </c>
      <c r="G1525">
        <f>Q1525=ROUND(1514*0.3,10)</f>
        <v/>
      </c>
      <c r="H1525">
        <f>R1525=ROUND(1514*0.05,10)</f>
        <v/>
      </c>
      <c r="I1525">
        <f>S1525=ROUND(1514*0.01,10)</f>
        <v/>
      </c>
      <c r="J1525">
        <f>T1525=ROUND(1514*0.7,10)</f>
        <v/>
      </c>
      <c r="K1525">
        <f>U1525=ROUND(1514*1.1,10)</f>
        <v/>
      </c>
      <c r="L1525">
        <f>V1525=ROUND(1514*0.25,10)</f>
        <v/>
      </c>
      <c r="M1525">
        <f>W1525=ROUND(1514*0.5,10)</f>
        <v/>
      </c>
      <c r="O1525">
        <f>O1524+0.1</f>
        <v/>
      </c>
      <c r="P1525">
        <f>P1524+0.2</f>
        <v/>
      </c>
      <c r="Q1525">
        <f>Q1524+0.3</f>
        <v/>
      </c>
      <c r="R1525">
        <f>R1524+0.05</f>
        <v/>
      </c>
      <c r="S1525">
        <f>S1524+0.01</f>
        <v/>
      </c>
      <c r="T1525">
        <f>T1524+0.7</f>
        <v/>
      </c>
      <c r="U1525">
        <f>U1524+1.1</f>
        <v/>
      </c>
      <c r="V1525">
        <f>V1524+0.25</f>
        <v/>
      </c>
      <c r="W1525">
        <f>W1524+0.5</f>
        <v/>
      </c>
    </row>
    <row r="1526">
      <c r="E1526">
        <f>O1526=ROUND(1515*0.1,10)</f>
        <v/>
      </c>
      <c r="F1526">
        <f>P1526=ROUND(1515*0.2,10)</f>
        <v/>
      </c>
      <c r="G1526">
        <f>Q1526=ROUND(1515*0.3,10)</f>
        <v/>
      </c>
      <c r="H1526">
        <f>R1526=ROUND(1515*0.05,10)</f>
        <v/>
      </c>
      <c r="I1526">
        <f>S1526=ROUND(1515*0.01,10)</f>
        <v/>
      </c>
      <c r="J1526">
        <f>T1526=ROUND(1515*0.7,10)</f>
        <v/>
      </c>
      <c r="K1526">
        <f>U1526=ROUND(1515*1.1,10)</f>
        <v/>
      </c>
      <c r="L1526">
        <f>V1526=ROUND(1515*0.25,10)</f>
        <v/>
      </c>
      <c r="M1526">
        <f>W1526=ROUND(1515*0.5,10)</f>
        <v/>
      </c>
      <c r="O1526">
        <f>O1525+0.1</f>
        <v/>
      </c>
      <c r="P1526">
        <f>P1525+0.2</f>
        <v/>
      </c>
      <c r="Q1526">
        <f>Q1525+0.3</f>
        <v/>
      </c>
      <c r="R1526">
        <f>R1525+0.05</f>
        <v/>
      </c>
      <c r="S1526">
        <f>S1525+0.01</f>
        <v/>
      </c>
      <c r="T1526">
        <f>T1525+0.7</f>
        <v/>
      </c>
      <c r="U1526">
        <f>U1525+1.1</f>
        <v/>
      </c>
      <c r="V1526">
        <f>V1525+0.25</f>
        <v/>
      </c>
      <c r="W1526">
        <f>W1525+0.5</f>
        <v/>
      </c>
    </row>
    <row r="1527">
      <c r="E1527">
        <f>O1527=ROUND(1516*0.1,10)</f>
        <v/>
      </c>
      <c r="F1527">
        <f>P1527=ROUND(1516*0.2,10)</f>
        <v/>
      </c>
      <c r="G1527">
        <f>Q1527=ROUND(1516*0.3,10)</f>
        <v/>
      </c>
      <c r="H1527">
        <f>R1527=ROUND(1516*0.05,10)</f>
        <v/>
      </c>
      <c r="I1527">
        <f>S1527=ROUND(1516*0.01,10)</f>
        <v/>
      </c>
      <c r="J1527">
        <f>T1527=ROUND(1516*0.7,10)</f>
        <v/>
      </c>
      <c r="K1527">
        <f>U1527=ROUND(1516*1.1,10)</f>
        <v/>
      </c>
      <c r="L1527">
        <f>V1527=ROUND(1516*0.25,10)</f>
        <v/>
      </c>
      <c r="M1527">
        <f>W1527=ROUND(1516*0.5,10)</f>
        <v/>
      </c>
      <c r="O1527">
        <f>O1526+0.1</f>
        <v/>
      </c>
      <c r="P1527">
        <f>P1526+0.2</f>
        <v/>
      </c>
      <c r="Q1527">
        <f>Q1526+0.3</f>
        <v/>
      </c>
      <c r="R1527">
        <f>R1526+0.05</f>
        <v/>
      </c>
      <c r="S1527">
        <f>S1526+0.01</f>
        <v/>
      </c>
      <c r="T1527">
        <f>T1526+0.7</f>
        <v/>
      </c>
      <c r="U1527">
        <f>U1526+1.1</f>
        <v/>
      </c>
      <c r="V1527">
        <f>V1526+0.25</f>
        <v/>
      </c>
      <c r="W1527">
        <f>W1526+0.5</f>
        <v/>
      </c>
    </row>
    <row r="1528">
      <c r="E1528">
        <f>O1528=ROUND(1517*0.1,10)</f>
        <v/>
      </c>
      <c r="F1528">
        <f>P1528=ROUND(1517*0.2,10)</f>
        <v/>
      </c>
      <c r="G1528">
        <f>Q1528=ROUND(1517*0.3,10)</f>
        <v/>
      </c>
      <c r="H1528">
        <f>R1528=ROUND(1517*0.05,10)</f>
        <v/>
      </c>
      <c r="I1528">
        <f>S1528=ROUND(1517*0.01,10)</f>
        <v/>
      </c>
      <c r="J1528">
        <f>T1528=ROUND(1517*0.7,10)</f>
        <v/>
      </c>
      <c r="K1528">
        <f>U1528=ROUND(1517*1.1,10)</f>
        <v/>
      </c>
      <c r="L1528">
        <f>V1528=ROUND(1517*0.25,10)</f>
        <v/>
      </c>
      <c r="M1528">
        <f>W1528=ROUND(1517*0.5,10)</f>
        <v/>
      </c>
      <c r="O1528">
        <f>O1527+0.1</f>
        <v/>
      </c>
      <c r="P1528">
        <f>P1527+0.2</f>
        <v/>
      </c>
      <c r="Q1528">
        <f>Q1527+0.3</f>
        <v/>
      </c>
      <c r="R1528">
        <f>R1527+0.05</f>
        <v/>
      </c>
      <c r="S1528">
        <f>S1527+0.01</f>
        <v/>
      </c>
      <c r="T1528">
        <f>T1527+0.7</f>
        <v/>
      </c>
      <c r="U1528">
        <f>U1527+1.1</f>
        <v/>
      </c>
      <c r="V1528">
        <f>V1527+0.25</f>
        <v/>
      </c>
      <c r="W1528">
        <f>W1527+0.5</f>
        <v/>
      </c>
    </row>
    <row r="1529">
      <c r="E1529">
        <f>O1529=ROUND(1518*0.1,10)</f>
        <v/>
      </c>
      <c r="F1529">
        <f>P1529=ROUND(1518*0.2,10)</f>
        <v/>
      </c>
      <c r="G1529">
        <f>Q1529=ROUND(1518*0.3,10)</f>
        <v/>
      </c>
      <c r="H1529">
        <f>R1529=ROUND(1518*0.05,10)</f>
        <v/>
      </c>
      <c r="I1529">
        <f>S1529=ROUND(1518*0.01,10)</f>
        <v/>
      </c>
      <c r="J1529">
        <f>T1529=ROUND(1518*0.7,10)</f>
        <v/>
      </c>
      <c r="K1529">
        <f>U1529=ROUND(1518*1.1,10)</f>
        <v/>
      </c>
      <c r="L1529">
        <f>V1529=ROUND(1518*0.25,10)</f>
        <v/>
      </c>
      <c r="M1529">
        <f>W1529=ROUND(1518*0.5,10)</f>
        <v/>
      </c>
      <c r="O1529">
        <f>O1528+0.1</f>
        <v/>
      </c>
      <c r="P1529">
        <f>P1528+0.2</f>
        <v/>
      </c>
      <c r="Q1529">
        <f>Q1528+0.3</f>
        <v/>
      </c>
      <c r="R1529">
        <f>R1528+0.05</f>
        <v/>
      </c>
      <c r="S1529">
        <f>S1528+0.01</f>
        <v/>
      </c>
      <c r="T1529">
        <f>T1528+0.7</f>
        <v/>
      </c>
      <c r="U1529">
        <f>U1528+1.1</f>
        <v/>
      </c>
      <c r="V1529">
        <f>V1528+0.25</f>
        <v/>
      </c>
      <c r="W1529">
        <f>W1528+0.5</f>
        <v/>
      </c>
    </row>
    <row r="1530">
      <c r="E1530">
        <f>O1530=ROUND(1519*0.1,10)</f>
        <v/>
      </c>
      <c r="F1530">
        <f>P1530=ROUND(1519*0.2,10)</f>
        <v/>
      </c>
      <c r="G1530">
        <f>Q1530=ROUND(1519*0.3,10)</f>
        <v/>
      </c>
      <c r="H1530">
        <f>R1530=ROUND(1519*0.05,10)</f>
        <v/>
      </c>
      <c r="I1530">
        <f>S1530=ROUND(1519*0.01,10)</f>
        <v/>
      </c>
      <c r="J1530">
        <f>T1530=ROUND(1519*0.7,10)</f>
        <v/>
      </c>
      <c r="K1530">
        <f>U1530=ROUND(1519*1.1,10)</f>
        <v/>
      </c>
      <c r="L1530">
        <f>V1530=ROUND(1519*0.25,10)</f>
        <v/>
      </c>
      <c r="M1530">
        <f>W1530=ROUND(1519*0.5,10)</f>
        <v/>
      </c>
      <c r="O1530">
        <f>O1529+0.1</f>
        <v/>
      </c>
      <c r="P1530">
        <f>P1529+0.2</f>
        <v/>
      </c>
      <c r="Q1530">
        <f>Q1529+0.3</f>
        <v/>
      </c>
      <c r="R1530">
        <f>R1529+0.05</f>
        <v/>
      </c>
      <c r="S1530">
        <f>S1529+0.01</f>
        <v/>
      </c>
      <c r="T1530">
        <f>T1529+0.7</f>
        <v/>
      </c>
      <c r="U1530">
        <f>U1529+1.1</f>
        <v/>
      </c>
      <c r="V1530">
        <f>V1529+0.25</f>
        <v/>
      </c>
      <c r="W1530">
        <f>W1529+0.5</f>
        <v/>
      </c>
    </row>
    <row r="1531">
      <c r="E1531">
        <f>O1531=ROUND(1520*0.1,10)</f>
        <v/>
      </c>
      <c r="F1531">
        <f>P1531=ROUND(1520*0.2,10)</f>
        <v/>
      </c>
      <c r="G1531">
        <f>Q1531=ROUND(1520*0.3,10)</f>
        <v/>
      </c>
      <c r="H1531">
        <f>R1531=ROUND(1520*0.05,10)</f>
        <v/>
      </c>
      <c r="I1531">
        <f>S1531=ROUND(1520*0.01,10)</f>
        <v/>
      </c>
      <c r="J1531">
        <f>T1531=ROUND(1520*0.7,10)</f>
        <v/>
      </c>
      <c r="K1531">
        <f>U1531=ROUND(1520*1.1,10)</f>
        <v/>
      </c>
      <c r="L1531">
        <f>V1531=ROUND(1520*0.25,10)</f>
        <v/>
      </c>
      <c r="M1531">
        <f>W1531=ROUND(1520*0.5,10)</f>
        <v/>
      </c>
      <c r="O1531">
        <f>O1530+0.1</f>
        <v/>
      </c>
      <c r="P1531">
        <f>P1530+0.2</f>
        <v/>
      </c>
      <c r="Q1531">
        <f>Q1530+0.3</f>
        <v/>
      </c>
      <c r="R1531">
        <f>R1530+0.05</f>
        <v/>
      </c>
      <c r="S1531">
        <f>S1530+0.01</f>
        <v/>
      </c>
      <c r="T1531">
        <f>T1530+0.7</f>
        <v/>
      </c>
      <c r="U1531">
        <f>U1530+1.1</f>
        <v/>
      </c>
      <c r="V1531">
        <f>V1530+0.25</f>
        <v/>
      </c>
      <c r="W1531">
        <f>W1530+0.5</f>
        <v/>
      </c>
    </row>
    <row r="1532">
      <c r="E1532">
        <f>O1532=ROUND(1521*0.1,10)</f>
        <v/>
      </c>
      <c r="F1532">
        <f>P1532=ROUND(1521*0.2,10)</f>
        <v/>
      </c>
      <c r="G1532">
        <f>Q1532=ROUND(1521*0.3,10)</f>
        <v/>
      </c>
      <c r="H1532">
        <f>R1532=ROUND(1521*0.05,10)</f>
        <v/>
      </c>
      <c r="I1532">
        <f>S1532=ROUND(1521*0.01,10)</f>
        <v/>
      </c>
      <c r="J1532">
        <f>T1532=ROUND(1521*0.7,10)</f>
        <v/>
      </c>
      <c r="K1532">
        <f>U1532=ROUND(1521*1.1,10)</f>
        <v/>
      </c>
      <c r="L1532">
        <f>V1532=ROUND(1521*0.25,10)</f>
        <v/>
      </c>
      <c r="M1532">
        <f>W1532=ROUND(1521*0.5,10)</f>
        <v/>
      </c>
      <c r="O1532">
        <f>O1531+0.1</f>
        <v/>
      </c>
      <c r="P1532">
        <f>P1531+0.2</f>
        <v/>
      </c>
      <c r="Q1532">
        <f>Q1531+0.3</f>
        <v/>
      </c>
      <c r="R1532">
        <f>R1531+0.05</f>
        <v/>
      </c>
      <c r="S1532">
        <f>S1531+0.01</f>
        <v/>
      </c>
      <c r="T1532">
        <f>T1531+0.7</f>
        <v/>
      </c>
      <c r="U1532">
        <f>U1531+1.1</f>
        <v/>
      </c>
      <c r="V1532">
        <f>V1531+0.25</f>
        <v/>
      </c>
      <c r="W1532">
        <f>W1531+0.5</f>
        <v/>
      </c>
    </row>
    <row r="1533">
      <c r="E1533">
        <f>O1533=ROUND(1522*0.1,10)</f>
        <v/>
      </c>
      <c r="F1533">
        <f>P1533=ROUND(1522*0.2,10)</f>
        <v/>
      </c>
      <c r="G1533">
        <f>Q1533=ROUND(1522*0.3,10)</f>
        <v/>
      </c>
      <c r="H1533">
        <f>R1533=ROUND(1522*0.05,10)</f>
        <v/>
      </c>
      <c r="I1533">
        <f>S1533=ROUND(1522*0.01,10)</f>
        <v/>
      </c>
      <c r="J1533">
        <f>T1533=ROUND(1522*0.7,10)</f>
        <v/>
      </c>
      <c r="K1533">
        <f>U1533=ROUND(1522*1.1,10)</f>
        <v/>
      </c>
      <c r="L1533">
        <f>V1533=ROUND(1522*0.25,10)</f>
        <v/>
      </c>
      <c r="M1533">
        <f>W1533=ROUND(1522*0.5,10)</f>
        <v/>
      </c>
      <c r="O1533">
        <f>O1532+0.1</f>
        <v/>
      </c>
      <c r="P1533">
        <f>P1532+0.2</f>
        <v/>
      </c>
      <c r="Q1533">
        <f>Q1532+0.3</f>
        <v/>
      </c>
      <c r="R1533">
        <f>R1532+0.05</f>
        <v/>
      </c>
      <c r="S1533">
        <f>S1532+0.01</f>
        <v/>
      </c>
      <c r="T1533">
        <f>T1532+0.7</f>
        <v/>
      </c>
      <c r="U1533">
        <f>U1532+1.1</f>
        <v/>
      </c>
      <c r="V1533">
        <f>V1532+0.25</f>
        <v/>
      </c>
      <c r="W1533">
        <f>W1532+0.5</f>
        <v/>
      </c>
    </row>
    <row r="1534">
      <c r="E1534">
        <f>O1534=ROUND(1523*0.1,10)</f>
        <v/>
      </c>
      <c r="F1534">
        <f>P1534=ROUND(1523*0.2,10)</f>
        <v/>
      </c>
      <c r="G1534">
        <f>Q1534=ROUND(1523*0.3,10)</f>
        <v/>
      </c>
      <c r="H1534">
        <f>R1534=ROUND(1523*0.05,10)</f>
        <v/>
      </c>
      <c r="I1534">
        <f>S1534=ROUND(1523*0.01,10)</f>
        <v/>
      </c>
      <c r="J1534">
        <f>T1534=ROUND(1523*0.7,10)</f>
        <v/>
      </c>
      <c r="K1534">
        <f>U1534=ROUND(1523*1.1,10)</f>
        <v/>
      </c>
      <c r="L1534">
        <f>V1534=ROUND(1523*0.25,10)</f>
        <v/>
      </c>
      <c r="M1534">
        <f>W1534=ROUND(1523*0.5,10)</f>
        <v/>
      </c>
      <c r="O1534">
        <f>O1533+0.1</f>
        <v/>
      </c>
      <c r="P1534">
        <f>P1533+0.2</f>
        <v/>
      </c>
      <c r="Q1534">
        <f>Q1533+0.3</f>
        <v/>
      </c>
      <c r="R1534">
        <f>R1533+0.05</f>
        <v/>
      </c>
      <c r="S1534">
        <f>S1533+0.01</f>
        <v/>
      </c>
      <c r="T1534">
        <f>T1533+0.7</f>
        <v/>
      </c>
      <c r="U1534">
        <f>U1533+1.1</f>
        <v/>
      </c>
      <c r="V1534">
        <f>V1533+0.25</f>
        <v/>
      </c>
      <c r="W1534">
        <f>W1533+0.5</f>
        <v/>
      </c>
    </row>
    <row r="1535">
      <c r="E1535">
        <f>O1535=ROUND(1524*0.1,10)</f>
        <v/>
      </c>
      <c r="F1535">
        <f>P1535=ROUND(1524*0.2,10)</f>
        <v/>
      </c>
      <c r="G1535">
        <f>Q1535=ROUND(1524*0.3,10)</f>
        <v/>
      </c>
      <c r="H1535">
        <f>R1535=ROUND(1524*0.05,10)</f>
        <v/>
      </c>
      <c r="I1535">
        <f>S1535=ROUND(1524*0.01,10)</f>
        <v/>
      </c>
      <c r="J1535">
        <f>T1535=ROUND(1524*0.7,10)</f>
        <v/>
      </c>
      <c r="K1535">
        <f>U1535=ROUND(1524*1.1,10)</f>
        <v/>
      </c>
      <c r="L1535">
        <f>V1535=ROUND(1524*0.25,10)</f>
        <v/>
      </c>
      <c r="M1535">
        <f>W1535=ROUND(1524*0.5,10)</f>
        <v/>
      </c>
      <c r="O1535">
        <f>O1534+0.1</f>
        <v/>
      </c>
      <c r="P1535">
        <f>P1534+0.2</f>
        <v/>
      </c>
      <c r="Q1535">
        <f>Q1534+0.3</f>
        <v/>
      </c>
      <c r="R1535">
        <f>R1534+0.05</f>
        <v/>
      </c>
      <c r="S1535">
        <f>S1534+0.01</f>
        <v/>
      </c>
      <c r="T1535">
        <f>T1534+0.7</f>
        <v/>
      </c>
      <c r="U1535">
        <f>U1534+1.1</f>
        <v/>
      </c>
      <c r="V1535">
        <f>V1534+0.25</f>
        <v/>
      </c>
      <c r="W1535">
        <f>W1534+0.5</f>
        <v/>
      </c>
    </row>
    <row r="1536">
      <c r="E1536">
        <f>O1536=ROUND(1525*0.1,10)</f>
        <v/>
      </c>
      <c r="F1536">
        <f>P1536=ROUND(1525*0.2,10)</f>
        <v/>
      </c>
      <c r="G1536">
        <f>Q1536=ROUND(1525*0.3,10)</f>
        <v/>
      </c>
      <c r="H1536">
        <f>R1536=ROUND(1525*0.05,10)</f>
        <v/>
      </c>
      <c r="I1536">
        <f>S1536=ROUND(1525*0.01,10)</f>
        <v/>
      </c>
      <c r="J1536">
        <f>T1536=ROUND(1525*0.7,10)</f>
        <v/>
      </c>
      <c r="K1536">
        <f>U1536=ROUND(1525*1.1,10)</f>
        <v/>
      </c>
      <c r="L1536">
        <f>V1536=ROUND(1525*0.25,10)</f>
        <v/>
      </c>
      <c r="M1536">
        <f>W1536=ROUND(1525*0.5,10)</f>
        <v/>
      </c>
      <c r="O1536">
        <f>O1535+0.1</f>
        <v/>
      </c>
      <c r="P1536">
        <f>P1535+0.2</f>
        <v/>
      </c>
      <c r="Q1536">
        <f>Q1535+0.3</f>
        <v/>
      </c>
      <c r="R1536">
        <f>R1535+0.05</f>
        <v/>
      </c>
      <c r="S1536">
        <f>S1535+0.01</f>
        <v/>
      </c>
      <c r="T1536">
        <f>T1535+0.7</f>
        <v/>
      </c>
      <c r="U1536">
        <f>U1535+1.1</f>
        <v/>
      </c>
      <c r="V1536">
        <f>V1535+0.25</f>
        <v/>
      </c>
      <c r="W1536">
        <f>W1535+0.5</f>
        <v/>
      </c>
    </row>
    <row r="1537">
      <c r="E1537">
        <f>O1537=ROUND(1526*0.1,10)</f>
        <v/>
      </c>
      <c r="F1537">
        <f>P1537=ROUND(1526*0.2,10)</f>
        <v/>
      </c>
      <c r="G1537">
        <f>Q1537=ROUND(1526*0.3,10)</f>
        <v/>
      </c>
      <c r="H1537">
        <f>R1537=ROUND(1526*0.05,10)</f>
        <v/>
      </c>
      <c r="I1537">
        <f>S1537=ROUND(1526*0.01,10)</f>
        <v/>
      </c>
      <c r="J1537">
        <f>T1537=ROUND(1526*0.7,10)</f>
        <v/>
      </c>
      <c r="K1537">
        <f>U1537=ROUND(1526*1.1,10)</f>
        <v/>
      </c>
      <c r="L1537">
        <f>V1537=ROUND(1526*0.25,10)</f>
        <v/>
      </c>
      <c r="M1537">
        <f>W1537=ROUND(1526*0.5,10)</f>
        <v/>
      </c>
      <c r="O1537">
        <f>O1536+0.1</f>
        <v/>
      </c>
      <c r="P1537">
        <f>P1536+0.2</f>
        <v/>
      </c>
      <c r="Q1537">
        <f>Q1536+0.3</f>
        <v/>
      </c>
      <c r="R1537">
        <f>R1536+0.05</f>
        <v/>
      </c>
      <c r="S1537">
        <f>S1536+0.01</f>
        <v/>
      </c>
      <c r="T1537">
        <f>T1536+0.7</f>
        <v/>
      </c>
      <c r="U1537">
        <f>U1536+1.1</f>
        <v/>
      </c>
      <c r="V1537">
        <f>V1536+0.25</f>
        <v/>
      </c>
      <c r="W1537">
        <f>W1536+0.5</f>
        <v/>
      </c>
    </row>
    <row r="1538">
      <c r="E1538">
        <f>O1538=ROUND(1527*0.1,10)</f>
        <v/>
      </c>
      <c r="F1538">
        <f>P1538=ROUND(1527*0.2,10)</f>
        <v/>
      </c>
      <c r="G1538">
        <f>Q1538=ROUND(1527*0.3,10)</f>
        <v/>
      </c>
      <c r="H1538">
        <f>R1538=ROUND(1527*0.05,10)</f>
        <v/>
      </c>
      <c r="I1538">
        <f>S1538=ROUND(1527*0.01,10)</f>
        <v/>
      </c>
      <c r="J1538">
        <f>T1538=ROUND(1527*0.7,10)</f>
        <v/>
      </c>
      <c r="K1538">
        <f>U1538=ROUND(1527*1.1,10)</f>
        <v/>
      </c>
      <c r="L1538">
        <f>V1538=ROUND(1527*0.25,10)</f>
        <v/>
      </c>
      <c r="M1538">
        <f>W1538=ROUND(1527*0.5,10)</f>
        <v/>
      </c>
      <c r="O1538">
        <f>O1537+0.1</f>
        <v/>
      </c>
      <c r="P1538">
        <f>P1537+0.2</f>
        <v/>
      </c>
      <c r="Q1538">
        <f>Q1537+0.3</f>
        <v/>
      </c>
      <c r="R1538">
        <f>R1537+0.05</f>
        <v/>
      </c>
      <c r="S1538">
        <f>S1537+0.01</f>
        <v/>
      </c>
      <c r="T1538">
        <f>T1537+0.7</f>
        <v/>
      </c>
      <c r="U1538">
        <f>U1537+1.1</f>
        <v/>
      </c>
      <c r="V1538">
        <f>V1537+0.25</f>
        <v/>
      </c>
      <c r="W1538">
        <f>W1537+0.5</f>
        <v/>
      </c>
    </row>
    <row r="1539">
      <c r="E1539">
        <f>O1539=ROUND(1528*0.1,10)</f>
        <v/>
      </c>
      <c r="F1539">
        <f>P1539=ROUND(1528*0.2,10)</f>
        <v/>
      </c>
      <c r="G1539">
        <f>Q1539=ROUND(1528*0.3,10)</f>
        <v/>
      </c>
      <c r="H1539">
        <f>R1539=ROUND(1528*0.05,10)</f>
        <v/>
      </c>
      <c r="I1539">
        <f>S1539=ROUND(1528*0.01,10)</f>
        <v/>
      </c>
      <c r="J1539">
        <f>T1539=ROUND(1528*0.7,10)</f>
        <v/>
      </c>
      <c r="K1539">
        <f>U1539=ROUND(1528*1.1,10)</f>
        <v/>
      </c>
      <c r="L1539">
        <f>V1539=ROUND(1528*0.25,10)</f>
        <v/>
      </c>
      <c r="M1539">
        <f>W1539=ROUND(1528*0.5,10)</f>
        <v/>
      </c>
      <c r="O1539">
        <f>O1538+0.1</f>
        <v/>
      </c>
      <c r="P1539">
        <f>P1538+0.2</f>
        <v/>
      </c>
      <c r="Q1539">
        <f>Q1538+0.3</f>
        <v/>
      </c>
      <c r="R1539">
        <f>R1538+0.05</f>
        <v/>
      </c>
      <c r="S1539">
        <f>S1538+0.01</f>
        <v/>
      </c>
      <c r="T1539">
        <f>T1538+0.7</f>
        <v/>
      </c>
      <c r="U1539">
        <f>U1538+1.1</f>
        <v/>
      </c>
      <c r="V1539">
        <f>V1538+0.25</f>
        <v/>
      </c>
      <c r="W1539">
        <f>W1538+0.5</f>
        <v/>
      </c>
    </row>
    <row r="1540">
      <c r="E1540">
        <f>O1540=ROUND(1529*0.1,10)</f>
        <v/>
      </c>
      <c r="F1540">
        <f>P1540=ROUND(1529*0.2,10)</f>
        <v/>
      </c>
      <c r="G1540">
        <f>Q1540=ROUND(1529*0.3,10)</f>
        <v/>
      </c>
      <c r="H1540">
        <f>R1540=ROUND(1529*0.05,10)</f>
        <v/>
      </c>
      <c r="I1540">
        <f>S1540=ROUND(1529*0.01,10)</f>
        <v/>
      </c>
      <c r="J1540">
        <f>T1540=ROUND(1529*0.7,10)</f>
        <v/>
      </c>
      <c r="K1540">
        <f>U1540=ROUND(1529*1.1,10)</f>
        <v/>
      </c>
      <c r="L1540">
        <f>V1540=ROUND(1529*0.25,10)</f>
        <v/>
      </c>
      <c r="M1540">
        <f>W1540=ROUND(1529*0.5,10)</f>
        <v/>
      </c>
      <c r="O1540">
        <f>O1539+0.1</f>
        <v/>
      </c>
      <c r="P1540">
        <f>P1539+0.2</f>
        <v/>
      </c>
      <c r="Q1540">
        <f>Q1539+0.3</f>
        <v/>
      </c>
      <c r="R1540">
        <f>R1539+0.05</f>
        <v/>
      </c>
      <c r="S1540">
        <f>S1539+0.01</f>
        <v/>
      </c>
      <c r="T1540">
        <f>T1539+0.7</f>
        <v/>
      </c>
      <c r="U1540">
        <f>U1539+1.1</f>
        <v/>
      </c>
      <c r="V1540">
        <f>V1539+0.25</f>
        <v/>
      </c>
      <c r="W1540">
        <f>W1539+0.5</f>
        <v/>
      </c>
    </row>
    <row r="1541">
      <c r="E1541">
        <f>O1541=ROUND(1530*0.1,10)</f>
        <v/>
      </c>
      <c r="F1541">
        <f>P1541=ROUND(1530*0.2,10)</f>
        <v/>
      </c>
      <c r="G1541">
        <f>Q1541=ROUND(1530*0.3,10)</f>
        <v/>
      </c>
      <c r="H1541">
        <f>R1541=ROUND(1530*0.05,10)</f>
        <v/>
      </c>
      <c r="I1541">
        <f>S1541=ROUND(1530*0.01,10)</f>
        <v/>
      </c>
      <c r="J1541">
        <f>T1541=ROUND(1530*0.7,10)</f>
        <v/>
      </c>
      <c r="K1541">
        <f>U1541=ROUND(1530*1.1,10)</f>
        <v/>
      </c>
      <c r="L1541">
        <f>V1541=ROUND(1530*0.25,10)</f>
        <v/>
      </c>
      <c r="M1541">
        <f>W1541=ROUND(1530*0.5,10)</f>
        <v/>
      </c>
      <c r="O1541">
        <f>O1540+0.1</f>
        <v/>
      </c>
      <c r="P1541">
        <f>P1540+0.2</f>
        <v/>
      </c>
      <c r="Q1541">
        <f>Q1540+0.3</f>
        <v/>
      </c>
      <c r="R1541">
        <f>R1540+0.05</f>
        <v/>
      </c>
      <c r="S1541">
        <f>S1540+0.01</f>
        <v/>
      </c>
      <c r="T1541">
        <f>T1540+0.7</f>
        <v/>
      </c>
      <c r="U1541">
        <f>U1540+1.1</f>
        <v/>
      </c>
      <c r="V1541">
        <f>V1540+0.25</f>
        <v/>
      </c>
      <c r="W1541">
        <f>W1540+0.5</f>
        <v/>
      </c>
    </row>
    <row r="1542">
      <c r="E1542">
        <f>O1542=ROUND(1531*0.1,10)</f>
        <v/>
      </c>
      <c r="F1542">
        <f>P1542=ROUND(1531*0.2,10)</f>
        <v/>
      </c>
      <c r="G1542">
        <f>Q1542=ROUND(1531*0.3,10)</f>
        <v/>
      </c>
      <c r="H1542">
        <f>R1542=ROUND(1531*0.05,10)</f>
        <v/>
      </c>
      <c r="I1542">
        <f>S1542=ROUND(1531*0.01,10)</f>
        <v/>
      </c>
      <c r="J1542">
        <f>T1542=ROUND(1531*0.7,10)</f>
        <v/>
      </c>
      <c r="K1542">
        <f>U1542=ROUND(1531*1.1,10)</f>
        <v/>
      </c>
      <c r="L1542">
        <f>V1542=ROUND(1531*0.25,10)</f>
        <v/>
      </c>
      <c r="M1542">
        <f>W1542=ROUND(1531*0.5,10)</f>
        <v/>
      </c>
      <c r="O1542">
        <f>O1541+0.1</f>
        <v/>
      </c>
      <c r="P1542">
        <f>P1541+0.2</f>
        <v/>
      </c>
      <c r="Q1542">
        <f>Q1541+0.3</f>
        <v/>
      </c>
      <c r="R1542">
        <f>R1541+0.05</f>
        <v/>
      </c>
      <c r="S1542">
        <f>S1541+0.01</f>
        <v/>
      </c>
      <c r="T1542">
        <f>T1541+0.7</f>
        <v/>
      </c>
      <c r="U1542">
        <f>U1541+1.1</f>
        <v/>
      </c>
      <c r="V1542">
        <f>V1541+0.25</f>
        <v/>
      </c>
      <c r="W1542">
        <f>W1541+0.5</f>
        <v/>
      </c>
    </row>
    <row r="1543">
      <c r="E1543">
        <f>O1543=ROUND(1532*0.1,10)</f>
        <v/>
      </c>
      <c r="F1543">
        <f>P1543=ROUND(1532*0.2,10)</f>
        <v/>
      </c>
      <c r="G1543">
        <f>Q1543=ROUND(1532*0.3,10)</f>
        <v/>
      </c>
      <c r="H1543">
        <f>R1543=ROUND(1532*0.05,10)</f>
        <v/>
      </c>
      <c r="I1543">
        <f>S1543=ROUND(1532*0.01,10)</f>
        <v/>
      </c>
      <c r="J1543">
        <f>T1543=ROUND(1532*0.7,10)</f>
        <v/>
      </c>
      <c r="K1543">
        <f>U1543=ROUND(1532*1.1,10)</f>
        <v/>
      </c>
      <c r="L1543">
        <f>V1543=ROUND(1532*0.25,10)</f>
        <v/>
      </c>
      <c r="M1543">
        <f>W1543=ROUND(1532*0.5,10)</f>
        <v/>
      </c>
      <c r="O1543">
        <f>O1542+0.1</f>
        <v/>
      </c>
      <c r="P1543">
        <f>P1542+0.2</f>
        <v/>
      </c>
      <c r="Q1543">
        <f>Q1542+0.3</f>
        <v/>
      </c>
      <c r="R1543">
        <f>R1542+0.05</f>
        <v/>
      </c>
      <c r="S1543">
        <f>S1542+0.01</f>
        <v/>
      </c>
      <c r="T1543">
        <f>T1542+0.7</f>
        <v/>
      </c>
      <c r="U1543">
        <f>U1542+1.1</f>
        <v/>
      </c>
      <c r="V1543">
        <f>V1542+0.25</f>
        <v/>
      </c>
      <c r="W1543">
        <f>W1542+0.5</f>
        <v/>
      </c>
    </row>
    <row r="1544">
      <c r="E1544">
        <f>O1544=ROUND(1533*0.1,10)</f>
        <v/>
      </c>
      <c r="F1544">
        <f>P1544=ROUND(1533*0.2,10)</f>
        <v/>
      </c>
      <c r="G1544">
        <f>Q1544=ROUND(1533*0.3,10)</f>
        <v/>
      </c>
      <c r="H1544">
        <f>R1544=ROUND(1533*0.05,10)</f>
        <v/>
      </c>
      <c r="I1544">
        <f>S1544=ROUND(1533*0.01,10)</f>
        <v/>
      </c>
      <c r="J1544">
        <f>T1544=ROUND(1533*0.7,10)</f>
        <v/>
      </c>
      <c r="K1544">
        <f>U1544=ROUND(1533*1.1,10)</f>
        <v/>
      </c>
      <c r="L1544">
        <f>V1544=ROUND(1533*0.25,10)</f>
        <v/>
      </c>
      <c r="M1544">
        <f>W1544=ROUND(1533*0.5,10)</f>
        <v/>
      </c>
      <c r="O1544">
        <f>O1543+0.1</f>
        <v/>
      </c>
      <c r="P1544">
        <f>P1543+0.2</f>
        <v/>
      </c>
      <c r="Q1544">
        <f>Q1543+0.3</f>
        <v/>
      </c>
      <c r="R1544">
        <f>R1543+0.05</f>
        <v/>
      </c>
      <c r="S1544">
        <f>S1543+0.01</f>
        <v/>
      </c>
      <c r="T1544">
        <f>T1543+0.7</f>
        <v/>
      </c>
      <c r="U1544">
        <f>U1543+1.1</f>
        <v/>
      </c>
      <c r="V1544">
        <f>V1543+0.25</f>
        <v/>
      </c>
      <c r="W1544">
        <f>W1543+0.5</f>
        <v/>
      </c>
    </row>
    <row r="1545">
      <c r="E1545">
        <f>O1545=ROUND(1534*0.1,10)</f>
        <v/>
      </c>
      <c r="F1545">
        <f>P1545=ROUND(1534*0.2,10)</f>
        <v/>
      </c>
      <c r="G1545">
        <f>Q1545=ROUND(1534*0.3,10)</f>
        <v/>
      </c>
      <c r="H1545">
        <f>R1545=ROUND(1534*0.05,10)</f>
        <v/>
      </c>
      <c r="I1545">
        <f>S1545=ROUND(1534*0.01,10)</f>
        <v/>
      </c>
      <c r="J1545">
        <f>T1545=ROUND(1534*0.7,10)</f>
        <v/>
      </c>
      <c r="K1545">
        <f>U1545=ROUND(1534*1.1,10)</f>
        <v/>
      </c>
      <c r="L1545">
        <f>V1545=ROUND(1534*0.25,10)</f>
        <v/>
      </c>
      <c r="M1545">
        <f>W1545=ROUND(1534*0.5,10)</f>
        <v/>
      </c>
      <c r="O1545">
        <f>O1544+0.1</f>
        <v/>
      </c>
      <c r="P1545">
        <f>P1544+0.2</f>
        <v/>
      </c>
      <c r="Q1545">
        <f>Q1544+0.3</f>
        <v/>
      </c>
      <c r="R1545">
        <f>R1544+0.05</f>
        <v/>
      </c>
      <c r="S1545">
        <f>S1544+0.01</f>
        <v/>
      </c>
      <c r="T1545">
        <f>T1544+0.7</f>
        <v/>
      </c>
      <c r="U1545">
        <f>U1544+1.1</f>
        <v/>
      </c>
      <c r="V1545">
        <f>V1544+0.25</f>
        <v/>
      </c>
      <c r="W1545">
        <f>W1544+0.5</f>
        <v/>
      </c>
    </row>
    <row r="1546">
      <c r="E1546">
        <f>O1546=ROUND(1535*0.1,10)</f>
        <v/>
      </c>
      <c r="F1546">
        <f>P1546=ROUND(1535*0.2,10)</f>
        <v/>
      </c>
      <c r="G1546">
        <f>Q1546=ROUND(1535*0.3,10)</f>
        <v/>
      </c>
      <c r="H1546">
        <f>R1546=ROUND(1535*0.05,10)</f>
        <v/>
      </c>
      <c r="I1546">
        <f>S1546=ROUND(1535*0.01,10)</f>
        <v/>
      </c>
      <c r="J1546">
        <f>T1546=ROUND(1535*0.7,10)</f>
        <v/>
      </c>
      <c r="K1546">
        <f>U1546=ROUND(1535*1.1,10)</f>
        <v/>
      </c>
      <c r="L1546">
        <f>V1546=ROUND(1535*0.25,10)</f>
        <v/>
      </c>
      <c r="M1546">
        <f>W1546=ROUND(1535*0.5,10)</f>
        <v/>
      </c>
      <c r="O1546">
        <f>O1545+0.1</f>
        <v/>
      </c>
      <c r="P1546">
        <f>P1545+0.2</f>
        <v/>
      </c>
      <c r="Q1546">
        <f>Q1545+0.3</f>
        <v/>
      </c>
      <c r="R1546">
        <f>R1545+0.05</f>
        <v/>
      </c>
      <c r="S1546">
        <f>S1545+0.01</f>
        <v/>
      </c>
      <c r="T1546">
        <f>T1545+0.7</f>
        <v/>
      </c>
      <c r="U1546">
        <f>U1545+1.1</f>
        <v/>
      </c>
      <c r="V1546">
        <f>V1545+0.25</f>
        <v/>
      </c>
      <c r="W1546">
        <f>W1545+0.5</f>
        <v/>
      </c>
    </row>
    <row r="1547">
      <c r="E1547">
        <f>O1547=ROUND(1536*0.1,10)</f>
        <v/>
      </c>
      <c r="F1547">
        <f>P1547=ROUND(1536*0.2,10)</f>
        <v/>
      </c>
      <c r="G1547">
        <f>Q1547=ROUND(1536*0.3,10)</f>
        <v/>
      </c>
      <c r="H1547">
        <f>R1547=ROUND(1536*0.05,10)</f>
        <v/>
      </c>
      <c r="I1547">
        <f>S1547=ROUND(1536*0.01,10)</f>
        <v/>
      </c>
      <c r="J1547">
        <f>T1547=ROUND(1536*0.7,10)</f>
        <v/>
      </c>
      <c r="K1547">
        <f>U1547=ROUND(1536*1.1,10)</f>
        <v/>
      </c>
      <c r="L1547">
        <f>V1547=ROUND(1536*0.25,10)</f>
        <v/>
      </c>
      <c r="M1547">
        <f>W1547=ROUND(1536*0.5,10)</f>
        <v/>
      </c>
      <c r="O1547">
        <f>O1546+0.1</f>
        <v/>
      </c>
      <c r="P1547">
        <f>P1546+0.2</f>
        <v/>
      </c>
      <c r="Q1547">
        <f>Q1546+0.3</f>
        <v/>
      </c>
      <c r="R1547">
        <f>R1546+0.05</f>
        <v/>
      </c>
      <c r="S1547">
        <f>S1546+0.01</f>
        <v/>
      </c>
      <c r="T1547">
        <f>T1546+0.7</f>
        <v/>
      </c>
      <c r="U1547">
        <f>U1546+1.1</f>
        <v/>
      </c>
      <c r="V1547">
        <f>V1546+0.25</f>
        <v/>
      </c>
      <c r="W1547">
        <f>W1546+0.5</f>
        <v/>
      </c>
    </row>
    <row r="1548">
      <c r="E1548">
        <f>O1548=ROUND(1537*0.1,10)</f>
        <v/>
      </c>
      <c r="F1548">
        <f>P1548=ROUND(1537*0.2,10)</f>
        <v/>
      </c>
      <c r="G1548">
        <f>Q1548=ROUND(1537*0.3,10)</f>
        <v/>
      </c>
      <c r="H1548">
        <f>R1548=ROUND(1537*0.05,10)</f>
        <v/>
      </c>
      <c r="I1548">
        <f>S1548=ROUND(1537*0.01,10)</f>
        <v/>
      </c>
      <c r="J1548">
        <f>T1548=ROUND(1537*0.7,10)</f>
        <v/>
      </c>
      <c r="K1548">
        <f>U1548=ROUND(1537*1.1,10)</f>
        <v/>
      </c>
      <c r="L1548">
        <f>V1548=ROUND(1537*0.25,10)</f>
        <v/>
      </c>
      <c r="M1548">
        <f>W1548=ROUND(1537*0.5,10)</f>
        <v/>
      </c>
      <c r="O1548">
        <f>O1547+0.1</f>
        <v/>
      </c>
      <c r="P1548">
        <f>P1547+0.2</f>
        <v/>
      </c>
      <c r="Q1548">
        <f>Q1547+0.3</f>
        <v/>
      </c>
      <c r="R1548">
        <f>R1547+0.05</f>
        <v/>
      </c>
      <c r="S1548">
        <f>S1547+0.01</f>
        <v/>
      </c>
      <c r="T1548">
        <f>T1547+0.7</f>
        <v/>
      </c>
      <c r="U1548">
        <f>U1547+1.1</f>
        <v/>
      </c>
      <c r="V1548">
        <f>V1547+0.25</f>
        <v/>
      </c>
      <c r="W1548">
        <f>W1547+0.5</f>
        <v/>
      </c>
    </row>
    <row r="1549">
      <c r="E1549">
        <f>O1549=ROUND(1538*0.1,10)</f>
        <v/>
      </c>
      <c r="F1549">
        <f>P1549=ROUND(1538*0.2,10)</f>
        <v/>
      </c>
      <c r="G1549">
        <f>Q1549=ROUND(1538*0.3,10)</f>
        <v/>
      </c>
      <c r="H1549">
        <f>R1549=ROUND(1538*0.05,10)</f>
        <v/>
      </c>
      <c r="I1549">
        <f>S1549=ROUND(1538*0.01,10)</f>
        <v/>
      </c>
      <c r="J1549">
        <f>T1549=ROUND(1538*0.7,10)</f>
        <v/>
      </c>
      <c r="K1549">
        <f>U1549=ROUND(1538*1.1,10)</f>
        <v/>
      </c>
      <c r="L1549">
        <f>V1549=ROUND(1538*0.25,10)</f>
        <v/>
      </c>
      <c r="M1549">
        <f>W1549=ROUND(1538*0.5,10)</f>
        <v/>
      </c>
      <c r="O1549">
        <f>O1548+0.1</f>
        <v/>
      </c>
      <c r="P1549">
        <f>P1548+0.2</f>
        <v/>
      </c>
      <c r="Q1549">
        <f>Q1548+0.3</f>
        <v/>
      </c>
      <c r="R1549">
        <f>R1548+0.05</f>
        <v/>
      </c>
      <c r="S1549">
        <f>S1548+0.01</f>
        <v/>
      </c>
      <c r="T1549">
        <f>T1548+0.7</f>
        <v/>
      </c>
      <c r="U1549">
        <f>U1548+1.1</f>
        <v/>
      </c>
      <c r="V1549">
        <f>V1548+0.25</f>
        <v/>
      </c>
      <c r="W1549">
        <f>W1548+0.5</f>
        <v/>
      </c>
    </row>
    <row r="1550">
      <c r="E1550">
        <f>O1550=ROUND(1539*0.1,10)</f>
        <v/>
      </c>
      <c r="F1550">
        <f>P1550=ROUND(1539*0.2,10)</f>
        <v/>
      </c>
      <c r="G1550">
        <f>Q1550=ROUND(1539*0.3,10)</f>
        <v/>
      </c>
      <c r="H1550">
        <f>R1550=ROUND(1539*0.05,10)</f>
        <v/>
      </c>
      <c r="I1550">
        <f>S1550=ROUND(1539*0.01,10)</f>
        <v/>
      </c>
      <c r="J1550">
        <f>T1550=ROUND(1539*0.7,10)</f>
        <v/>
      </c>
      <c r="K1550">
        <f>U1550=ROUND(1539*1.1,10)</f>
        <v/>
      </c>
      <c r="L1550">
        <f>V1550=ROUND(1539*0.25,10)</f>
        <v/>
      </c>
      <c r="M1550">
        <f>W1550=ROUND(1539*0.5,10)</f>
        <v/>
      </c>
      <c r="O1550">
        <f>O1549+0.1</f>
        <v/>
      </c>
      <c r="P1550">
        <f>P1549+0.2</f>
        <v/>
      </c>
      <c r="Q1550">
        <f>Q1549+0.3</f>
        <v/>
      </c>
      <c r="R1550">
        <f>R1549+0.05</f>
        <v/>
      </c>
      <c r="S1550">
        <f>S1549+0.01</f>
        <v/>
      </c>
      <c r="T1550">
        <f>T1549+0.7</f>
        <v/>
      </c>
      <c r="U1550">
        <f>U1549+1.1</f>
        <v/>
      </c>
      <c r="V1550">
        <f>V1549+0.25</f>
        <v/>
      </c>
      <c r="W1550">
        <f>W1549+0.5</f>
        <v/>
      </c>
    </row>
    <row r="1551">
      <c r="E1551">
        <f>O1551=ROUND(1540*0.1,10)</f>
        <v/>
      </c>
      <c r="F1551">
        <f>P1551=ROUND(1540*0.2,10)</f>
        <v/>
      </c>
      <c r="G1551">
        <f>Q1551=ROUND(1540*0.3,10)</f>
        <v/>
      </c>
      <c r="H1551">
        <f>R1551=ROUND(1540*0.05,10)</f>
        <v/>
      </c>
      <c r="I1551">
        <f>S1551=ROUND(1540*0.01,10)</f>
        <v/>
      </c>
      <c r="J1551">
        <f>T1551=ROUND(1540*0.7,10)</f>
        <v/>
      </c>
      <c r="K1551">
        <f>U1551=ROUND(1540*1.1,10)</f>
        <v/>
      </c>
      <c r="L1551">
        <f>V1551=ROUND(1540*0.25,10)</f>
        <v/>
      </c>
      <c r="M1551">
        <f>W1551=ROUND(1540*0.5,10)</f>
        <v/>
      </c>
      <c r="O1551">
        <f>O1550+0.1</f>
        <v/>
      </c>
      <c r="P1551">
        <f>P1550+0.2</f>
        <v/>
      </c>
      <c r="Q1551">
        <f>Q1550+0.3</f>
        <v/>
      </c>
      <c r="R1551">
        <f>R1550+0.05</f>
        <v/>
      </c>
      <c r="S1551">
        <f>S1550+0.01</f>
        <v/>
      </c>
      <c r="T1551">
        <f>T1550+0.7</f>
        <v/>
      </c>
      <c r="U1551">
        <f>U1550+1.1</f>
        <v/>
      </c>
      <c r="V1551">
        <f>V1550+0.25</f>
        <v/>
      </c>
      <c r="W1551">
        <f>W1550+0.5</f>
        <v/>
      </c>
    </row>
    <row r="1552">
      <c r="E1552">
        <f>O1552=ROUND(1541*0.1,10)</f>
        <v/>
      </c>
      <c r="F1552">
        <f>P1552=ROUND(1541*0.2,10)</f>
        <v/>
      </c>
      <c r="G1552">
        <f>Q1552=ROUND(1541*0.3,10)</f>
        <v/>
      </c>
      <c r="H1552">
        <f>R1552=ROUND(1541*0.05,10)</f>
        <v/>
      </c>
      <c r="I1552">
        <f>S1552=ROUND(1541*0.01,10)</f>
        <v/>
      </c>
      <c r="J1552">
        <f>T1552=ROUND(1541*0.7,10)</f>
        <v/>
      </c>
      <c r="K1552">
        <f>U1552=ROUND(1541*1.1,10)</f>
        <v/>
      </c>
      <c r="L1552">
        <f>V1552=ROUND(1541*0.25,10)</f>
        <v/>
      </c>
      <c r="M1552">
        <f>W1552=ROUND(1541*0.5,10)</f>
        <v/>
      </c>
      <c r="O1552">
        <f>O1551+0.1</f>
        <v/>
      </c>
      <c r="P1552">
        <f>P1551+0.2</f>
        <v/>
      </c>
      <c r="Q1552">
        <f>Q1551+0.3</f>
        <v/>
      </c>
      <c r="R1552">
        <f>R1551+0.05</f>
        <v/>
      </c>
      <c r="S1552">
        <f>S1551+0.01</f>
        <v/>
      </c>
      <c r="T1552">
        <f>T1551+0.7</f>
        <v/>
      </c>
      <c r="U1552">
        <f>U1551+1.1</f>
        <v/>
      </c>
      <c r="V1552">
        <f>V1551+0.25</f>
        <v/>
      </c>
      <c r="W1552">
        <f>W1551+0.5</f>
        <v/>
      </c>
    </row>
    <row r="1553">
      <c r="E1553">
        <f>O1553=ROUND(1542*0.1,10)</f>
        <v/>
      </c>
      <c r="F1553">
        <f>P1553=ROUND(1542*0.2,10)</f>
        <v/>
      </c>
      <c r="G1553">
        <f>Q1553=ROUND(1542*0.3,10)</f>
        <v/>
      </c>
      <c r="H1553">
        <f>R1553=ROUND(1542*0.05,10)</f>
        <v/>
      </c>
      <c r="I1553">
        <f>S1553=ROUND(1542*0.01,10)</f>
        <v/>
      </c>
      <c r="J1553">
        <f>T1553=ROUND(1542*0.7,10)</f>
        <v/>
      </c>
      <c r="K1553">
        <f>U1553=ROUND(1542*1.1,10)</f>
        <v/>
      </c>
      <c r="L1553">
        <f>V1553=ROUND(1542*0.25,10)</f>
        <v/>
      </c>
      <c r="M1553">
        <f>W1553=ROUND(1542*0.5,10)</f>
        <v/>
      </c>
      <c r="O1553">
        <f>O1552+0.1</f>
        <v/>
      </c>
      <c r="P1553">
        <f>P1552+0.2</f>
        <v/>
      </c>
      <c r="Q1553">
        <f>Q1552+0.3</f>
        <v/>
      </c>
      <c r="R1553">
        <f>R1552+0.05</f>
        <v/>
      </c>
      <c r="S1553">
        <f>S1552+0.01</f>
        <v/>
      </c>
      <c r="T1553">
        <f>T1552+0.7</f>
        <v/>
      </c>
      <c r="U1553">
        <f>U1552+1.1</f>
        <v/>
      </c>
      <c r="V1553">
        <f>V1552+0.25</f>
        <v/>
      </c>
      <c r="W1553">
        <f>W1552+0.5</f>
        <v/>
      </c>
    </row>
    <row r="1554">
      <c r="E1554">
        <f>O1554=ROUND(1543*0.1,10)</f>
        <v/>
      </c>
      <c r="F1554">
        <f>P1554=ROUND(1543*0.2,10)</f>
        <v/>
      </c>
      <c r="G1554">
        <f>Q1554=ROUND(1543*0.3,10)</f>
        <v/>
      </c>
      <c r="H1554">
        <f>R1554=ROUND(1543*0.05,10)</f>
        <v/>
      </c>
      <c r="I1554">
        <f>S1554=ROUND(1543*0.01,10)</f>
        <v/>
      </c>
      <c r="J1554">
        <f>T1554=ROUND(1543*0.7,10)</f>
        <v/>
      </c>
      <c r="K1554">
        <f>U1554=ROUND(1543*1.1,10)</f>
        <v/>
      </c>
      <c r="L1554">
        <f>V1554=ROUND(1543*0.25,10)</f>
        <v/>
      </c>
      <c r="M1554">
        <f>W1554=ROUND(1543*0.5,10)</f>
        <v/>
      </c>
      <c r="O1554">
        <f>O1553+0.1</f>
        <v/>
      </c>
      <c r="P1554">
        <f>P1553+0.2</f>
        <v/>
      </c>
      <c r="Q1554">
        <f>Q1553+0.3</f>
        <v/>
      </c>
      <c r="R1554">
        <f>R1553+0.05</f>
        <v/>
      </c>
      <c r="S1554">
        <f>S1553+0.01</f>
        <v/>
      </c>
      <c r="T1554">
        <f>T1553+0.7</f>
        <v/>
      </c>
      <c r="U1554">
        <f>U1553+1.1</f>
        <v/>
      </c>
      <c r="V1554">
        <f>V1553+0.25</f>
        <v/>
      </c>
      <c r="W1554">
        <f>W1553+0.5</f>
        <v/>
      </c>
    </row>
    <row r="1555">
      <c r="E1555">
        <f>O1555=ROUND(1544*0.1,10)</f>
        <v/>
      </c>
      <c r="F1555">
        <f>P1555=ROUND(1544*0.2,10)</f>
        <v/>
      </c>
      <c r="G1555">
        <f>Q1555=ROUND(1544*0.3,10)</f>
        <v/>
      </c>
      <c r="H1555">
        <f>R1555=ROUND(1544*0.05,10)</f>
        <v/>
      </c>
      <c r="I1555">
        <f>S1555=ROUND(1544*0.01,10)</f>
        <v/>
      </c>
      <c r="J1555">
        <f>T1555=ROUND(1544*0.7,10)</f>
        <v/>
      </c>
      <c r="K1555">
        <f>U1555=ROUND(1544*1.1,10)</f>
        <v/>
      </c>
      <c r="L1555">
        <f>V1555=ROUND(1544*0.25,10)</f>
        <v/>
      </c>
      <c r="M1555">
        <f>W1555=ROUND(1544*0.5,10)</f>
        <v/>
      </c>
      <c r="O1555">
        <f>O1554+0.1</f>
        <v/>
      </c>
      <c r="P1555">
        <f>P1554+0.2</f>
        <v/>
      </c>
      <c r="Q1555">
        <f>Q1554+0.3</f>
        <v/>
      </c>
      <c r="R1555">
        <f>R1554+0.05</f>
        <v/>
      </c>
      <c r="S1555">
        <f>S1554+0.01</f>
        <v/>
      </c>
      <c r="T1555">
        <f>T1554+0.7</f>
        <v/>
      </c>
      <c r="U1555">
        <f>U1554+1.1</f>
        <v/>
      </c>
      <c r="V1555">
        <f>V1554+0.25</f>
        <v/>
      </c>
      <c r="W1555">
        <f>W1554+0.5</f>
        <v/>
      </c>
    </row>
    <row r="1556">
      <c r="E1556">
        <f>O1556=ROUND(1545*0.1,10)</f>
        <v/>
      </c>
      <c r="F1556">
        <f>P1556=ROUND(1545*0.2,10)</f>
        <v/>
      </c>
      <c r="G1556">
        <f>Q1556=ROUND(1545*0.3,10)</f>
        <v/>
      </c>
      <c r="H1556">
        <f>R1556=ROUND(1545*0.05,10)</f>
        <v/>
      </c>
      <c r="I1556">
        <f>S1556=ROUND(1545*0.01,10)</f>
        <v/>
      </c>
      <c r="J1556">
        <f>T1556=ROUND(1545*0.7,10)</f>
        <v/>
      </c>
      <c r="K1556">
        <f>U1556=ROUND(1545*1.1,10)</f>
        <v/>
      </c>
      <c r="L1556">
        <f>V1556=ROUND(1545*0.25,10)</f>
        <v/>
      </c>
      <c r="M1556">
        <f>W1556=ROUND(1545*0.5,10)</f>
        <v/>
      </c>
      <c r="O1556">
        <f>O1555+0.1</f>
        <v/>
      </c>
      <c r="P1556">
        <f>P1555+0.2</f>
        <v/>
      </c>
      <c r="Q1556">
        <f>Q1555+0.3</f>
        <v/>
      </c>
      <c r="R1556">
        <f>R1555+0.05</f>
        <v/>
      </c>
      <c r="S1556">
        <f>S1555+0.01</f>
        <v/>
      </c>
      <c r="T1556">
        <f>T1555+0.7</f>
        <v/>
      </c>
      <c r="U1556">
        <f>U1555+1.1</f>
        <v/>
      </c>
      <c r="V1556">
        <f>V1555+0.25</f>
        <v/>
      </c>
      <c r="W1556">
        <f>W1555+0.5</f>
        <v/>
      </c>
    </row>
    <row r="1557">
      <c r="E1557">
        <f>O1557=ROUND(1546*0.1,10)</f>
        <v/>
      </c>
      <c r="F1557">
        <f>P1557=ROUND(1546*0.2,10)</f>
        <v/>
      </c>
      <c r="G1557">
        <f>Q1557=ROUND(1546*0.3,10)</f>
        <v/>
      </c>
      <c r="H1557">
        <f>R1557=ROUND(1546*0.05,10)</f>
        <v/>
      </c>
      <c r="I1557">
        <f>S1557=ROUND(1546*0.01,10)</f>
        <v/>
      </c>
      <c r="J1557">
        <f>T1557=ROUND(1546*0.7,10)</f>
        <v/>
      </c>
      <c r="K1557">
        <f>U1557=ROUND(1546*1.1,10)</f>
        <v/>
      </c>
      <c r="L1557">
        <f>V1557=ROUND(1546*0.25,10)</f>
        <v/>
      </c>
      <c r="M1557">
        <f>W1557=ROUND(1546*0.5,10)</f>
        <v/>
      </c>
      <c r="O1557">
        <f>O1556+0.1</f>
        <v/>
      </c>
      <c r="P1557">
        <f>P1556+0.2</f>
        <v/>
      </c>
      <c r="Q1557">
        <f>Q1556+0.3</f>
        <v/>
      </c>
      <c r="R1557">
        <f>R1556+0.05</f>
        <v/>
      </c>
      <c r="S1557">
        <f>S1556+0.01</f>
        <v/>
      </c>
      <c r="T1557">
        <f>T1556+0.7</f>
        <v/>
      </c>
      <c r="U1557">
        <f>U1556+1.1</f>
        <v/>
      </c>
      <c r="V1557">
        <f>V1556+0.25</f>
        <v/>
      </c>
      <c r="W1557">
        <f>W1556+0.5</f>
        <v/>
      </c>
    </row>
    <row r="1558">
      <c r="E1558">
        <f>O1558=ROUND(1547*0.1,10)</f>
        <v/>
      </c>
      <c r="F1558">
        <f>P1558=ROUND(1547*0.2,10)</f>
        <v/>
      </c>
      <c r="G1558">
        <f>Q1558=ROUND(1547*0.3,10)</f>
        <v/>
      </c>
      <c r="H1558">
        <f>R1558=ROUND(1547*0.05,10)</f>
        <v/>
      </c>
      <c r="I1558">
        <f>S1558=ROUND(1547*0.01,10)</f>
        <v/>
      </c>
      <c r="J1558">
        <f>T1558=ROUND(1547*0.7,10)</f>
        <v/>
      </c>
      <c r="K1558">
        <f>U1558=ROUND(1547*1.1,10)</f>
        <v/>
      </c>
      <c r="L1558">
        <f>V1558=ROUND(1547*0.25,10)</f>
        <v/>
      </c>
      <c r="M1558">
        <f>W1558=ROUND(1547*0.5,10)</f>
        <v/>
      </c>
      <c r="O1558">
        <f>O1557+0.1</f>
        <v/>
      </c>
      <c r="P1558">
        <f>P1557+0.2</f>
        <v/>
      </c>
      <c r="Q1558">
        <f>Q1557+0.3</f>
        <v/>
      </c>
      <c r="R1558">
        <f>R1557+0.05</f>
        <v/>
      </c>
      <c r="S1558">
        <f>S1557+0.01</f>
        <v/>
      </c>
      <c r="T1558">
        <f>T1557+0.7</f>
        <v/>
      </c>
      <c r="U1558">
        <f>U1557+1.1</f>
        <v/>
      </c>
      <c r="V1558">
        <f>V1557+0.25</f>
        <v/>
      </c>
      <c r="W1558">
        <f>W1557+0.5</f>
        <v/>
      </c>
    </row>
    <row r="1559">
      <c r="E1559">
        <f>O1559=ROUND(1548*0.1,10)</f>
        <v/>
      </c>
      <c r="F1559">
        <f>P1559=ROUND(1548*0.2,10)</f>
        <v/>
      </c>
      <c r="G1559">
        <f>Q1559=ROUND(1548*0.3,10)</f>
        <v/>
      </c>
      <c r="H1559">
        <f>R1559=ROUND(1548*0.05,10)</f>
        <v/>
      </c>
      <c r="I1559">
        <f>S1559=ROUND(1548*0.01,10)</f>
        <v/>
      </c>
      <c r="J1559">
        <f>T1559=ROUND(1548*0.7,10)</f>
        <v/>
      </c>
      <c r="K1559">
        <f>U1559=ROUND(1548*1.1,10)</f>
        <v/>
      </c>
      <c r="L1559">
        <f>V1559=ROUND(1548*0.25,10)</f>
        <v/>
      </c>
      <c r="M1559">
        <f>W1559=ROUND(1548*0.5,10)</f>
        <v/>
      </c>
      <c r="O1559">
        <f>O1558+0.1</f>
        <v/>
      </c>
      <c r="P1559">
        <f>P1558+0.2</f>
        <v/>
      </c>
      <c r="Q1559">
        <f>Q1558+0.3</f>
        <v/>
      </c>
      <c r="R1559">
        <f>R1558+0.05</f>
        <v/>
      </c>
      <c r="S1559">
        <f>S1558+0.01</f>
        <v/>
      </c>
      <c r="T1559">
        <f>T1558+0.7</f>
        <v/>
      </c>
      <c r="U1559">
        <f>U1558+1.1</f>
        <v/>
      </c>
      <c r="V1559">
        <f>V1558+0.25</f>
        <v/>
      </c>
      <c r="W1559">
        <f>W1558+0.5</f>
        <v/>
      </c>
    </row>
    <row r="1560">
      <c r="E1560">
        <f>O1560=ROUND(1549*0.1,10)</f>
        <v/>
      </c>
      <c r="F1560">
        <f>P1560=ROUND(1549*0.2,10)</f>
        <v/>
      </c>
      <c r="G1560">
        <f>Q1560=ROUND(1549*0.3,10)</f>
        <v/>
      </c>
      <c r="H1560">
        <f>R1560=ROUND(1549*0.05,10)</f>
        <v/>
      </c>
      <c r="I1560">
        <f>S1560=ROUND(1549*0.01,10)</f>
        <v/>
      </c>
      <c r="J1560">
        <f>T1560=ROUND(1549*0.7,10)</f>
        <v/>
      </c>
      <c r="K1560">
        <f>U1560=ROUND(1549*1.1,10)</f>
        <v/>
      </c>
      <c r="L1560">
        <f>V1560=ROUND(1549*0.25,10)</f>
        <v/>
      </c>
      <c r="M1560">
        <f>W1560=ROUND(1549*0.5,10)</f>
        <v/>
      </c>
      <c r="O1560">
        <f>O1559+0.1</f>
        <v/>
      </c>
      <c r="P1560">
        <f>P1559+0.2</f>
        <v/>
      </c>
      <c r="Q1560">
        <f>Q1559+0.3</f>
        <v/>
      </c>
      <c r="R1560">
        <f>R1559+0.05</f>
        <v/>
      </c>
      <c r="S1560">
        <f>S1559+0.01</f>
        <v/>
      </c>
      <c r="T1560">
        <f>T1559+0.7</f>
        <v/>
      </c>
      <c r="U1560">
        <f>U1559+1.1</f>
        <v/>
      </c>
      <c r="V1560">
        <f>V1559+0.25</f>
        <v/>
      </c>
      <c r="W1560">
        <f>W1559+0.5</f>
        <v/>
      </c>
    </row>
    <row r="1561">
      <c r="E1561">
        <f>O1561=ROUND(1550*0.1,10)</f>
        <v/>
      </c>
      <c r="F1561">
        <f>P1561=ROUND(1550*0.2,10)</f>
        <v/>
      </c>
      <c r="G1561">
        <f>Q1561=ROUND(1550*0.3,10)</f>
        <v/>
      </c>
      <c r="H1561">
        <f>R1561=ROUND(1550*0.05,10)</f>
        <v/>
      </c>
      <c r="I1561">
        <f>S1561=ROUND(1550*0.01,10)</f>
        <v/>
      </c>
      <c r="J1561">
        <f>T1561=ROUND(1550*0.7,10)</f>
        <v/>
      </c>
      <c r="K1561">
        <f>U1561=ROUND(1550*1.1,10)</f>
        <v/>
      </c>
      <c r="L1561">
        <f>V1561=ROUND(1550*0.25,10)</f>
        <v/>
      </c>
      <c r="M1561">
        <f>W1561=ROUND(1550*0.5,10)</f>
        <v/>
      </c>
      <c r="O1561">
        <f>O1560+0.1</f>
        <v/>
      </c>
      <c r="P1561">
        <f>P1560+0.2</f>
        <v/>
      </c>
      <c r="Q1561">
        <f>Q1560+0.3</f>
        <v/>
      </c>
      <c r="R1561">
        <f>R1560+0.05</f>
        <v/>
      </c>
      <c r="S1561">
        <f>S1560+0.01</f>
        <v/>
      </c>
      <c r="T1561">
        <f>T1560+0.7</f>
        <v/>
      </c>
      <c r="U1561">
        <f>U1560+1.1</f>
        <v/>
      </c>
      <c r="V1561">
        <f>V1560+0.25</f>
        <v/>
      </c>
      <c r="W1561">
        <f>W1560+0.5</f>
        <v/>
      </c>
    </row>
    <row r="1562">
      <c r="E1562">
        <f>O1562=ROUND(1551*0.1,10)</f>
        <v/>
      </c>
      <c r="F1562">
        <f>P1562=ROUND(1551*0.2,10)</f>
        <v/>
      </c>
      <c r="G1562">
        <f>Q1562=ROUND(1551*0.3,10)</f>
        <v/>
      </c>
      <c r="H1562">
        <f>R1562=ROUND(1551*0.05,10)</f>
        <v/>
      </c>
      <c r="I1562">
        <f>S1562=ROUND(1551*0.01,10)</f>
        <v/>
      </c>
      <c r="J1562">
        <f>T1562=ROUND(1551*0.7,10)</f>
        <v/>
      </c>
      <c r="K1562">
        <f>U1562=ROUND(1551*1.1,10)</f>
        <v/>
      </c>
      <c r="L1562">
        <f>V1562=ROUND(1551*0.25,10)</f>
        <v/>
      </c>
      <c r="M1562">
        <f>W1562=ROUND(1551*0.5,10)</f>
        <v/>
      </c>
      <c r="O1562">
        <f>O1561+0.1</f>
        <v/>
      </c>
      <c r="P1562">
        <f>P1561+0.2</f>
        <v/>
      </c>
      <c r="Q1562">
        <f>Q1561+0.3</f>
        <v/>
      </c>
      <c r="R1562">
        <f>R1561+0.05</f>
        <v/>
      </c>
      <c r="S1562">
        <f>S1561+0.01</f>
        <v/>
      </c>
      <c r="T1562">
        <f>T1561+0.7</f>
        <v/>
      </c>
      <c r="U1562">
        <f>U1561+1.1</f>
        <v/>
      </c>
      <c r="V1562">
        <f>V1561+0.25</f>
        <v/>
      </c>
      <c r="W1562">
        <f>W1561+0.5</f>
        <v/>
      </c>
    </row>
    <row r="1563">
      <c r="E1563">
        <f>O1563=ROUND(1552*0.1,10)</f>
        <v/>
      </c>
      <c r="F1563">
        <f>P1563=ROUND(1552*0.2,10)</f>
        <v/>
      </c>
      <c r="G1563">
        <f>Q1563=ROUND(1552*0.3,10)</f>
        <v/>
      </c>
      <c r="H1563">
        <f>R1563=ROUND(1552*0.05,10)</f>
        <v/>
      </c>
      <c r="I1563">
        <f>S1563=ROUND(1552*0.01,10)</f>
        <v/>
      </c>
      <c r="J1563">
        <f>T1563=ROUND(1552*0.7,10)</f>
        <v/>
      </c>
      <c r="K1563">
        <f>U1563=ROUND(1552*1.1,10)</f>
        <v/>
      </c>
      <c r="L1563">
        <f>V1563=ROUND(1552*0.25,10)</f>
        <v/>
      </c>
      <c r="M1563">
        <f>W1563=ROUND(1552*0.5,10)</f>
        <v/>
      </c>
      <c r="O1563">
        <f>O1562+0.1</f>
        <v/>
      </c>
      <c r="P1563">
        <f>P1562+0.2</f>
        <v/>
      </c>
      <c r="Q1563">
        <f>Q1562+0.3</f>
        <v/>
      </c>
      <c r="R1563">
        <f>R1562+0.05</f>
        <v/>
      </c>
      <c r="S1563">
        <f>S1562+0.01</f>
        <v/>
      </c>
      <c r="T1563">
        <f>T1562+0.7</f>
        <v/>
      </c>
      <c r="U1563">
        <f>U1562+1.1</f>
        <v/>
      </c>
      <c r="V1563">
        <f>V1562+0.25</f>
        <v/>
      </c>
      <c r="W1563">
        <f>W1562+0.5</f>
        <v/>
      </c>
    </row>
    <row r="1564">
      <c r="E1564">
        <f>O1564=ROUND(1553*0.1,10)</f>
        <v/>
      </c>
      <c r="F1564">
        <f>P1564=ROUND(1553*0.2,10)</f>
        <v/>
      </c>
      <c r="G1564">
        <f>Q1564=ROUND(1553*0.3,10)</f>
        <v/>
      </c>
      <c r="H1564">
        <f>R1564=ROUND(1553*0.05,10)</f>
        <v/>
      </c>
      <c r="I1564">
        <f>S1564=ROUND(1553*0.01,10)</f>
        <v/>
      </c>
      <c r="J1564">
        <f>T1564=ROUND(1553*0.7,10)</f>
        <v/>
      </c>
      <c r="K1564">
        <f>U1564=ROUND(1553*1.1,10)</f>
        <v/>
      </c>
      <c r="L1564">
        <f>V1564=ROUND(1553*0.25,10)</f>
        <v/>
      </c>
      <c r="M1564">
        <f>W1564=ROUND(1553*0.5,10)</f>
        <v/>
      </c>
      <c r="O1564">
        <f>O1563+0.1</f>
        <v/>
      </c>
      <c r="P1564">
        <f>P1563+0.2</f>
        <v/>
      </c>
      <c r="Q1564">
        <f>Q1563+0.3</f>
        <v/>
      </c>
      <c r="R1564">
        <f>R1563+0.05</f>
        <v/>
      </c>
      <c r="S1564">
        <f>S1563+0.01</f>
        <v/>
      </c>
      <c r="T1564">
        <f>T1563+0.7</f>
        <v/>
      </c>
      <c r="U1564">
        <f>U1563+1.1</f>
        <v/>
      </c>
      <c r="V1564">
        <f>V1563+0.25</f>
        <v/>
      </c>
      <c r="W1564">
        <f>W1563+0.5</f>
        <v/>
      </c>
    </row>
    <row r="1565">
      <c r="E1565">
        <f>O1565=ROUND(1554*0.1,10)</f>
        <v/>
      </c>
      <c r="F1565">
        <f>P1565=ROUND(1554*0.2,10)</f>
        <v/>
      </c>
      <c r="G1565">
        <f>Q1565=ROUND(1554*0.3,10)</f>
        <v/>
      </c>
      <c r="H1565">
        <f>R1565=ROUND(1554*0.05,10)</f>
        <v/>
      </c>
      <c r="I1565">
        <f>S1565=ROUND(1554*0.01,10)</f>
        <v/>
      </c>
      <c r="J1565">
        <f>T1565=ROUND(1554*0.7,10)</f>
        <v/>
      </c>
      <c r="K1565">
        <f>U1565=ROUND(1554*1.1,10)</f>
        <v/>
      </c>
      <c r="L1565">
        <f>V1565=ROUND(1554*0.25,10)</f>
        <v/>
      </c>
      <c r="M1565">
        <f>W1565=ROUND(1554*0.5,10)</f>
        <v/>
      </c>
      <c r="O1565">
        <f>O1564+0.1</f>
        <v/>
      </c>
      <c r="P1565">
        <f>P1564+0.2</f>
        <v/>
      </c>
      <c r="Q1565">
        <f>Q1564+0.3</f>
        <v/>
      </c>
      <c r="R1565">
        <f>R1564+0.05</f>
        <v/>
      </c>
      <c r="S1565">
        <f>S1564+0.01</f>
        <v/>
      </c>
      <c r="T1565">
        <f>T1564+0.7</f>
        <v/>
      </c>
      <c r="U1565">
        <f>U1564+1.1</f>
        <v/>
      </c>
      <c r="V1565">
        <f>V1564+0.25</f>
        <v/>
      </c>
      <c r="W1565">
        <f>W1564+0.5</f>
        <v/>
      </c>
    </row>
    <row r="1566">
      <c r="E1566">
        <f>O1566=ROUND(1555*0.1,10)</f>
        <v/>
      </c>
      <c r="F1566">
        <f>P1566=ROUND(1555*0.2,10)</f>
        <v/>
      </c>
      <c r="G1566">
        <f>Q1566=ROUND(1555*0.3,10)</f>
        <v/>
      </c>
      <c r="H1566">
        <f>R1566=ROUND(1555*0.05,10)</f>
        <v/>
      </c>
      <c r="I1566">
        <f>S1566=ROUND(1555*0.01,10)</f>
        <v/>
      </c>
      <c r="J1566">
        <f>T1566=ROUND(1555*0.7,10)</f>
        <v/>
      </c>
      <c r="K1566">
        <f>U1566=ROUND(1555*1.1,10)</f>
        <v/>
      </c>
      <c r="L1566">
        <f>V1566=ROUND(1555*0.25,10)</f>
        <v/>
      </c>
      <c r="M1566">
        <f>W1566=ROUND(1555*0.5,10)</f>
        <v/>
      </c>
      <c r="O1566">
        <f>O1565+0.1</f>
        <v/>
      </c>
      <c r="P1566">
        <f>P1565+0.2</f>
        <v/>
      </c>
      <c r="Q1566">
        <f>Q1565+0.3</f>
        <v/>
      </c>
      <c r="R1566">
        <f>R1565+0.05</f>
        <v/>
      </c>
      <c r="S1566">
        <f>S1565+0.01</f>
        <v/>
      </c>
      <c r="T1566">
        <f>T1565+0.7</f>
        <v/>
      </c>
      <c r="U1566">
        <f>U1565+1.1</f>
        <v/>
      </c>
      <c r="V1566">
        <f>V1565+0.25</f>
        <v/>
      </c>
      <c r="W1566">
        <f>W1565+0.5</f>
        <v/>
      </c>
    </row>
    <row r="1567">
      <c r="E1567">
        <f>O1567=ROUND(1556*0.1,10)</f>
        <v/>
      </c>
      <c r="F1567">
        <f>P1567=ROUND(1556*0.2,10)</f>
        <v/>
      </c>
      <c r="G1567">
        <f>Q1567=ROUND(1556*0.3,10)</f>
        <v/>
      </c>
      <c r="H1567">
        <f>R1567=ROUND(1556*0.05,10)</f>
        <v/>
      </c>
      <c r="I1567">
        <f>S1567=ROUND(1556*0.01,10)</f>
        <v/>
      </c>
      <c r="J1567">
        <f>T1567=ROUND(1556*0.7,10)</f>
        <v/>
      </c>
      <c r="K1567">
        <f>U1567=ROUND(1556*1.1,10)</f>
        <v/>
      </c>
      <c r="L1567">
        <f>V1567=ROUND(1556*0.25,10)</f>
        <v/>
      </c>
      <c r="M1567">
        <f>W1567=ROUND(1556*0.5,10)</f>
        <v/>
      </c>
      <c r="O1567">
        <f>O1566+0.1</f>
        <v/>
      </c>
      <c r="P1567">
        <f>P1566+0.2</f>
        <v/>
      </c>
      <c r="Q1567">
        <f>Q1566+0.3</f>
        <v/>
      </c>
      <c r="R1567">
        <f>R1566+0.05</f>
        <v/>
      </c>
      <c r="S1567">
        <f>S1566+0.01</f>
        <v/>
      </c>
      <c r="T1567">
        <f>T1566+0.7</f>
        <v/>
      </c>
      <c r="U1567">
        <f>U1566+1.1</f>
        <v/>
      </c>
      <c r="V1567">
        <f>V1566+0.25</f>
        <v/>
      </c>
      <c r="W1567">
        <f>W1566+0.5</f>
        <v/>
      </c>
    </row>
    <row r="1568">
      <c r="E1568">
        <f>O1568=ROUND(1557*0.1,10)</f>
        <v/>
      </c>
      <c r="F1568">
        <f>P1568=ROUND(1557*0.2,10)</f>
        <v/>
      </c>
      <c r="G1568">
        <f>Q1568=ROUND(1557*0.3,10)</f>
        <v/>
      </c>
      <c r="H1568">
        <f>R1568=ROUND(1557*0.05,10)</f>
        <v/>
      </c>
      <c r="I1568">
        <f>S1568=ROUND(1557*0.01,10)</f>
        <v/>
      </c>
      <c r="J1568">
        <f>T1568=ROUND(1557*0.7,10)</f>
        <v/>
      </c>
      <c r="K1568">
        <f>U1568=ROUND(1557*1.1,10)</f>
        <v/>
      </c>
      <c r="L1568">
        <f>V1568=ROUND(1557*0.25,10)</f>
        <v/>
      </c>
      <c r="M1568">
        <f>W1568=ROUND(1557*0.5,10)</f>
        <v/>
      </c>
      <c r="O1568">
        <f>O1567+0.1</f>
        <v/>
      </c>
      <c r="P1568">
        <f>P1567+0.2</f>
        <v/>
      </c>
      <c r="Q1568">
        <f>Q1567+0.3</f>
        <v/>
      </c>
      <c r="R1568">
        <f>R1567+0.05</f>
        <v/>
      </c>
      <c r="S1568">
        <f>S1567+0.01</f>
        <v/>
      </c>
      <c r="T1568">
        <f>T1567+0.7</f>
        <v/>
      </c>
      <c r="U1568">
        <f>U1567+1.1</f>
        <v/>
      </c>
      <c r="V1568">
        <f>V1567+0.25</f>
        <v/>
      </c>
      <c r="W1568">
        <f>W1567+0.5</f>
        <v/>
      </c>
    </row>
    <row r="1569">
      <c r="E1569">
        <f>O1569=ROUND(1558*0.1,10)</f>
        <v/>
      </c>
      <c r="F1569">
        <f>P1569=ROUND(1558*0.2,10)</f>
        <v/>
      </c>
      <c r="G1569">
        <f>Q1569=ROUND(1558*0.3,10)</f>
        <v/>
      </c>
      <c r="H1569">
        <f>R1569=ROUND(1558*0.05,10)</f>
        <v/>
      </c>
      <c r="I1569">
        <f>S1569=ROUND(1558*0.01,10)</f>
        <v/>
      </c>
      <c r="J1569">
        <f>T1569=ROUND(1558*0.7,10)</f>
        <v/>
      </c>
      <c r="K1569">
        <f>U1569=ROUND(1558*1.1,10)</f>
        <v/>
      </c>
      <c r="L1569">
        <f>V1569=ROUND(1558*0.25,10)</f>
        <v/>
      </c>
      <c r="M1569">
        <f>W1569=ROUND(1558*0.5,10)</f>
        <v/>
      </c>
      <c r="O1569">
        <f>O1568+0.1</f>
        <v/>
      </c>
      <c r="P1569">
        <f>P1568+0.2</f>
        <v/>
      </c>
      <c r="Q1569">
        <f>Q1568+0.3</f>
        <v/>
      </c>
      <c r="R1569">
        <f>R1568+0.05</f>
        <v/>
      </c>
      <c r="S1569">
        <f>S1568+0.01</f>
        <v/>
      </c>
      <c r="T1569">
        <f>T1568+0.7</f>
        <v/>
      </c>
      <c r="U1569">
        <f>U1568+1.1</f>
        <v/>
      </c>
      <c r="V1569">
        <f>V1568+0.25</f>
        <v/>
      </c>
      <c r="W1569">
        <f>W1568+0.5</f>
        <v/>
      </c>
    </row>
    <row r="1570">
      <c r="E1570">
        <f>O1570=ROUND(1559*0.1,10)</f>
        <v/>
      </c>
      <c r="F1570">
        <f>P1570=ROUND(1559*0.2,10)</f>
        <v/>
      </c>
      <c r="G1570">
        <f>Q1570=ROUND(1559*0.3,10)</f>
        <v/>
      </c>
      <c r="H1570">
        <f>R1570=ROUND(1559*0.05,10)</f>
        <v/>
      </c>
      <c r="I1570">
        <f>S1570=ROUND(1559*0.01,10)</f>
        <v/>
      </c>
      <c r="J1570">
        <f>T1570=ROUND(1559*0.7,10)</f>
        <v/>
      </c>
      <c r="K1570">
        <f>U1570=ROUND(1559*1.1,10)</f>
        <v/>
      </c>
      <c r="L1570">
        <f>V1570=ROUND(1559*0.25,10)</f>
        <v/>
      </c>
      <c r="M1570">
        <f>W1570=ROUND(1559*0.5,10)</f>
        <v/>
      </c>
      <c r="O1570">
        <f>O1569+0.1</f>
        <v/>
      </c>
      <c r="P1570">
        <f>P1569+0.2</f>
        <v/>
      </c>
      <c r="Q1570">
        <f>Q1569+0.3</f>
        <v/>
      </c>
      <c r="R1570">
        <f>R1569+0.05</f>
        <v/>
      </c>
      <c r="S1570">
        <f>S1569+0.01</f>
        <v/>
      </c>
      <c r="T1570">
        <f>T1569+0.7</f>
        <v/>
      </c>
      <c r="U1570">
        <f>U1569+1.1</f>
        <v/>
      </c>
      <c r="V1570">
        <f>V1569+0.25</f>
        <v/>
      </c>
      <c r="W1570">
        <f>W1569+0.5</f>
        <v/>
      </c>
    </row>
    <row r="1571">
      <c r="E1571">
        <f>O1571=ROUND(1560*0.1,10)</f>
        <v/>
      </c>
      <c r="F1571">
        <f>P1571=ROUND(1560*0.2,10)</f>
        <v/>
      </c>
      <c r="G1571">
        <f>Q1571=ROUND(1560*0.3,10)</f>
        <v/>
      </c>
      <c r="H1571">
        <f>R1571=ROUND(1560*0.05,10)</f>
        <v/>
      </c>
      <c r="I1571">
        <f>S1571=ROUND(1560*0.01,10)</f>
        <v/>
      </c>
      <c r="J1571">
        <f>T1571=ROUND(1560*0.7,10)</f>
        <v/>
      </c>
      <c r="K1571">
        <f>U1571=ROUND(1560*1.1,10)</f>
        <v/>
      </c>
      <c r="L1571">
        <f>V1571=ROUND(1560*0.25,10)</f>
        <v/>
      </c>
      <c r="M1571">
        <f>W1571=ROUND(1560*0.5,10)</f>
        <v/>
      </c>
      <c r="O1571">
        <f>O1570+0.1</f>
        <v/>
      </c>
      <c r="P1571">
        <f>P1570+0.2</f>
        <v/>
      </c>
      <c r="Q1571">
        <f>Q1570+0.3</f>
        <v/>
      </c>
      <c r="R1571">
        <f>R1570+0.05</f>
        <v/>
      </c>
      <c r="S1571">
        <f>S1570+0.01</f>
        <v/>
      </c>
      <c r="T1571">
        <f>T1570+0.7</f>
        <v/>
      </c>
      <c r="U1571">
        <f>U1570+1.1</f>
        <v/>
      </c>
      <c r="V1571">
        <f>V1570+0.25</f>
        <v/>
      </c>
      <c r="W1571">
        <f>W1570+0.5</f>
        <v/>
      </c>
    </row>
    <row r="1572">
      <c r="E1572">
        <f>O1572=ROUND(1561*0.1,10)</f>
        <v/>
      </c>
      <c r="F1572">
        <f>P1572=ROUND(1561*0.2,10)</f>
        <v/>
      </c>
      <c r="G1572">
        <f>Q1572=ROUND(1561*0.3,10)</f>
        <v/>
      </c>
      <c r="H1572">
        <f>R1572=ROUND(1561*0.05,10)</f>
        <v/>
      </c>
      <c r="I1572">
        <f>S1572=ROUND(1561*0.01,10)</f>
        <v/>
      </c>
      <c r="J1572">
        <f>T1572=ROUND(1561*0.7,10)</f>
        <v/>
      </c>
      <c r="K1572">
        <f>U1572=ROUND(1561*1.1,10)</f>
        <v/>
      </c>
      <c r="L1572">
        <f>V1572=ROUND(1561*0.25,10)</f>
        <v/>
      </c>
      <c r="M1572">
        <f>W1572=ROUND(1561*0.5,10)</f>
        <v/>
      </c>
      <c r="O1572">
        <f>O1571+0.1</f>
        <v/>
      </c>
      <c r="P1572">
        <f>P1571+0.2</f>
        <v/>
      </c>
      <c r="Q1572">
        <f>Q1571+0.3</f>
        <v/>
      </c>
      <c r="R1572">
        <f>R1571+0.05</f>
        <v/>
      </c>
      <c r="S1572">
        <f>S1571+0.01</f>
        <v/>
      </c>
      <c r="T1572">
        <f>T1571+0.7</f>
        <v/>
      </c>
      <c r="U1572">
        <f>U1571+1.1</f>
        <v/>
      </c>
      <c r="V1572">
        <f>V1571+0.25</f>
        <v/>
      </c>
      <c r="W1572">
        <f>W1571+0.5</f>
        <v/>
      </c>
    </row>
    <row r="1573">
      <c r="E1573">
        <f>O1573=ROUND(1562*0.1,10)</f>
        <v/>
      </c>
      <c r="F1573">
        <f>P1573=ROUND(1562*0.2,10)</f>
        <v/>
      </c>
      <c r="G1573">
        <f>Q1573=ROUND(1562*0.3,10)</f>
        <v/>
      </c>
      <c r="H1573">
        <f>R1573=ROUND(1562*0.05,10)</f>
        <v/>
      </c>
      <c r="I1573">
        <f>S1573=ROUND(1562*0.01,10)</f>
        <v/>
      </c>
      <c r="J1573">
        <f>T1573=ROUND(1562*0.7,10)</f>
        <v/>
      </c>
      <c r="K1573">
        <f>U1573=ROUND(1562*1.1,10)</f>
        <v/>
      </c>
      <c r="L1573">
        <f>V1573=ROUND(1562*0.25,10)</f>
        <v/>
      </c>
      <c r="M1573">
        <f>W1573=ROUND(1562*0.5,10)</f>
        <v/>
      </c>
      <c r="O1573">
        <f>O1572+0.1</f>
        <v/>
      </c>
      <c r="P1573">
        <f>P1572+0.2</f>
        <v/>
      </c>
      <c r="Q1573">
        <f>Q1572+0.3</f>
        <v/>
      </c>
      <c r="R1573">
        <f>R1572+0.05</f>
        <v/>
      </c>
      <c r="S1573">
        <f>S1572+0.01</f>
        <v/>
      </c>
      <c r="T1573">
        <f>T1572+0.7</f>
        <v/>
      </c>
      <c r="U1573">
        <f>U1572+1.1</f>
        <v/>
      </c>
      <c r="V1573">
        <f>V1572+0.25</f>
        <v/>
      </c>
      <c r="W1573">
        <f>W1572+0.5</f>
        <v/>
      </c>
    </row>
    <row r="1574">
      <c r="E1574">
        <f>O1574=ROUND(1563*0.1,10)</f>
        <v/>
      </c>
      <c r="F1574">
        <f>P1574=ROUND(1563*0.2,10)</f>
        <v/>
      </c>
      <c r="G1574">
        <f>Q1574=ROUND(1563*0.3,10)</f>
        <v/>
      </c>
      <c r="H1574">
        <f>R1574=ROUND(1563*0.05,10)</f>
        <v/>
      </c>
      <c r="I1574">
        <f>S1574=ROUND(1563*0.01,10)</f>
        <v/>
      </c>
      <c r="J1574">
        <f>T1574=ROUND(1563*0.7,10)</f>
        <v/>
      </c>
      <c r="K1574">
        <f>U1574=ROUND(1563*1.1,10)</f>
        <v/>
      </c>
      <c r="L1574">
        <f>V1574=ROUND(1563*0.25,10)</f>
        <v/>
      </c>
      <c r="M1574">
        <f>W1574=ROUND(1563*0.5,10)</f>
        <v/>
      </c>
      <c r="O1574">
        <f>O1573+0.1</f>
        <v/>
      </c>
      <c r="P1574">
        <f>P1573+0.2</f>
        <v/>
      </c>
      <c r="Q1574">
        <f>Q1573+0.3</f>
        <v/>
      </c>
      <c r="R1574">
        <f>R1573+0.05</f>
        <v/>
      </c>
      <c r="S1574">
        <f>S1573+0.01</f>
        <v/>
      </c>
      <c r="T1574">
        <f>T1573+0.7</f>
        <v/>
      </c>
      <c r="U1574">
        <f>U1573+1.1</f>
        <v/>
      </c>
      <c r="V1574">
        <f>V1573+0.25</f>
        <v/>
      </c>
      <c r="W1574">
        <f>W1573+0.5</f>
        <v/>
      </c>
    </row>
    <row r="1575">
      <c r="E1575">
        <f>O1575=ROUND(1564*0.1,10)</f>
        <v/>
      </c>
      <c r="F1575">
        <f>P1575=ROUND(1564*0.2,10)</f>
        <v/>
      </c>
      <c r="G1575">
        <f>Q1575=ROUND(1564*0.3,10)</f>
        <v/>
      </c>
      <c r="H1575">
        <f>R1575=ROUND(1564*0.05,10)</f>
        <v/>
      </c>
      <c r="I1575">
        <f>S1575=ROUND(1564*0.01,10)</f>
        <v/>
      </c>
      <c r="J1575">
        <f>T1575=ROUND(1564*0.7,10)</f>
        <v/>
      </c>
      <c r="K1575">
        <f>U1575=ROUND(1564*1.1,10)</f>
        <v/>
      </c>
      <c r="L1575">
        <f>V1575=ROUND(1564*0.25,10)</f>
        <v/>
      </c>
      <c r="M1575">
        <f>W1575=ROUND(1564*0.5,10)</f>
        <v/>
      </c>
      <c r="O1575">
        <f>O1574+0.1</f>
        <v/>
      </c>
      <c r="P1575">
        <f>P1574+0.2</f>
        <v/>
      </c>
      <c r="Q1575">
        <f>Q1574+0.3</f>
        <v/>
      </c>
      <c r="R1575">
        <f>R1574+0.05</f>
        <v/>
      </c>
      <c r="S1575">
        <f>S1574+0.01</f>
        <v/>
      </c>
      <c r="T1575">
        <f>T1574+0.7</f>
        <v/>
      </c>
      <c r="U1575">
        <f>U1574+1.1</f>
        <v/>
      </c>
      <c r="V1575">
        <f>V1574+0.25</f>
        <v/>
      </c>
      <c r="W1575">
        <f>W1574+0.5</f>
        <v/>
      </c>
    </row>
    <row r="1576">
      <c r="E1576">
        <f>O1576=ROUND(1565*0.1,10)</f>
        <v/>
      </c>
      <c r="F1576">
        <f>P1576=ROUND(1565*0.2,10)</f>
        <v/>
      </c>
      <c r="G1576">
        <f>Q1576=ROUND(1565*0.3,10)</f>
        <v/>
      </c>
      <c r="H1576">
        <f>R1576=ROUND(1565*0.05,10)</f>
        <v/>
      </c>
      <c r="I1576">
        <f>S1576=ROUND(1565*0.01,10)</f>
        <v/>
      </c>
      <c r="J1576">
        <f>T1576=ROUND(1565*0.7,10)</f>
        <v/>
      </c>
      <c r="K1576">
        <f>U1576=ROUND(1565*1.1,10)</f>
        <v/>
      </c>
      <c r="L1576">
        <f>V1576=ROUND(1565*0.25,10)</f>
        <v/>
      </c>
      <c r="M1576">
        <f>W1576=ROUND(1565*0.5,10)</f>
        <v/>
      </c>
      <c r="O1576">
        <f>O1575+0.1</f>
        <v/>
      </c>
      <c r="P1576">
        <f>P1575+0.2</f>
        <v/>
      </c>
      <c r="Q1576">
        <f>Q1575+0.3</f>
        <v/>
      </c>
      <c r="R1576">
        <f>R1575+0.05</f>
        <v/>
      </c>
      <c r="S1576">
        <f>S1575+0.01</f>
        <v/>
      </c>
      <c r="T1576">
        <f>T1575+0.7</f>
        <v/>
      </c>
      <c r="U1576">
        <f>U1575+1.1</f>
        <v/>
      </c>
      <c r="V1576">
        <f>V1575+0.25</f>
        <v/>
      </c>
      <c r="W1576">
        <f>W1575+0.5</f>
        <v/>
      </c>
    </row>
    <row r="1577">
      <c r="E1577">
        <f>O1577=ROUND(1566*0.1,10)</f>
        <v/>
      </c>
      <c r="F1577">
        <f>P1577=ROUND(1566*0.2,10)</f>
        <v/>
      </c>
      <c r="G1577">
        <f>Q1577=ROUND(1566*0.3,10)</f>
        <v/>
      </c>
      <c r="H1577">
        <f>R1577=ROUND(1566*0.05,10)</f>
        <v/>
      </c>
      <c r="I1577">
        <f>S1577=ROUND(1566*0.01,10)</f>
        <v/>
      </c>
      <c r="J1577">
        <f>T1577=ROUND(1566*0.7,10)</f>
        <v/>
      </c>
      <c r="K1577">
        <f>U1577=ROUND(1566*1.1,10)</f>
        <v/>
      </c>
      <c r="L1577">
        <f>V1577=ROUND(1566*0.25,10)</f>
        <v/>
      </c>
      <c r="M1577">
        <f>W1577=ROUND(1566*0.5,10)</f>
        <v/>
      </c>
      <c r="O1577">
        <f>O1576+0.1</f>
        <v/>
      </c>
      <c r="P1577">
        <f>P1576+0.2</f>
        <v/>
      </c>
      <c r="Q1577">
        <f>Q1576+0.3</f>
        <v/>
      </c>
      <c r="R1577">
        <f>R1576+0.05</f>
        <v/>
      </c>
      <c r="S1577">
        <f>S1576+0.01</f>
        <v/>
      </c>
      <c r="T1577">
        <f>T1576+0.7</f>
        <v/>
      </c>
      <c r="U1577">
        <f>U1576+1.1</f>
        <v/>
      </c>
      <c r="V1577">
        <f>V1576+0.25</f>
        <v/>
      </c>
      <c r="W1577">
        <f>W1576+0.5</f>
        <v/>
      </c>
    </row>
    <row r="1578">
      <c r="E1578">
        <f>O1578=ROUND(1567*0.1,10)</f>
        <v/>
      </c>
      <c r="F1578">
        <f>P1578=ROUND(1567*0.2,10)</f>
        <v/>
      </c>
      <c r="G1578">
        <f>Q1578=ROUND(1567*0.3,10)</f>
        <v/>
      </c>
      <c r="H1578">
        <f>R1578=ROUND(1567*0.05,10)</f>
        <v/>
      </c>
      <c r="I1578">
        <f>S1578=ROUND(1567*0.01,10)</f>
        <v/>
      </c>
      <c r="J1578">
        <f>T1578=ROUND(1567*0.7,10)</f>
        <v/>
      </c>
      <c r="K1578">
        <f>U1578=ROUND(1567*1.1,10)</f>
        <v/>
      </c>
      <c r="L1578">
        <f>V1578=ROUND(1567*0.25,10)</f>
        <v/>
      </c>
      <c r="M1578">
        <f>W1578=ROUND(1567*0.5,10)</f>
        <v/>
      </c>
      <c r="O1578">
        <f>O1577+0.1</f>
        <v/>
      </c>
      <c r="P1578">
        <f>P1577+0.2</f>
        <v/>
      </c>
      <c r="Q1578">
        <f>Q1577+0.3</f>
        <v/>
      </c>
      <c r="R1578">
        <f>R1577+0.05</f>
        <v/>
      </c>
      <c r="S1578">
        <f>S1577+0.01</f>
        <v/>
      </c>
      <c r="T1578">
        <f>T1577+0.7</f>
        <v/>
      </c>
      <c r="U1578">
        <f>U1577+1.1</f>
        <v/>
      </c>
      <c r="V1578">
        <f>V1577+0.25</f>
        <v/>
      </c>
      <c r="W1578">
        <f>W1577+0.5</f>
        <v/>
      </c>
    </row>
    <row r="1579">
      <c r="E1579">
        <f>O1579=ROUND(1568*0.1,10)</f>
        <v/>
      </c>
      <c r="F1579">
        <f>P1579=ROUND(1568*0.2,10)</f>
        <v/>
      </c>
      <c r="G1579">
        <f>Q1579=ROUND(1568*0.3,10)</f>
        <v/>
      </c>
      <c r="H1579">
        <f>R1579=ROUND(1568*0.05,10)</f>
        <v/>
      </c>
      <c r="I1579">
        <f>S1579=ROUND(1568*0.01,10)</f>
        <v/>
      </c>
      <c r="J1579">
        <f>T1579=ROUND(1568*0.7,10)</f>
        <v/>
      </c>
      <c r="K1579">
        <f>U1579=ROUND(1568*1.1,10)</f>
        <v/>
      </c>
      <c r="L1579">
        <f>V1579=ROUND(1568*0.25,10)</f>
        <v/>
      </c>
      <c r="M1579">
        <f>W1579=ROUND(1568*0.5,10)</f>
        <v/>
      </c>
      <c r="O1579">
        <f>O1578+0.1</f>
        <v/>
      </c>
      <c r="P1579">
        <f>P1578+0.2</f>
        <v/>
      </c>
      <c r="Q1579">
        <f>Q1578+0.3</f>
        <v/>
      </c>
      <c r="R1579">
        <f>R1578+0.05</f>
        <v/>
      </c>
      <c r="S1579">
        <f>S1578+0.01</f>
        <v/>
      </c>
      <c r="T1579">
        <f>T1578+0.7</f>
        <v/>
      </c>
      <c r="U1579">
        <f>U1578+1.1</f>
        <v/>
      </c>
      <c r="V1579">
        <f>V1578+0.25</f>
        <v/>
      </c>
      <c r="W1579">
        <f>W1578+0.5</f>
        <v/>
      </c>
    </row>
    <row r="1580">
      <c r="E1580">
        <f>O1580=ROUND(1569*0.1,10)</f>
        <v/>
      </c>
      <c r="F1580">
        <f>P1580=ROUND(1569*0.2,10)</f>
        <v/>
      </c>
      <c r="G1580">
        <f>Q1580=ROUND(1569*0.3,10)</f>
        <v/>
      </c>
      <c r="H1580">
        <f>R1580=ROUND(1569*0.05,10)</f>
        <v/>
      </c>
      <c r="I1580">
        <f>S1580=ROUND(1569*0.01,10)</f>
        <v/>
      </c>
      <c r="J1580">
        <f>T1580=ROUND(1569*0.7,10)</f>
        <v/>
      </c>
      <c r="K1580">
        <f>U1580=ROUND(1569*1.1,10)</f>
        <v/>
      </c>
      <c r="L1580">
        <f>V1580=ROUND(1569*0.25,10)</f>
        <v/>
      </c>
      <c r="M1580">
        <f>W1580=ROUND(1569*0.5,10)</f>
        <v/>
      </c>
      <c r="O1580">
        <f>O1579+0.1</f>
        <v/>
      </c>
      <c r="P1580">
        <f>P1579+0.2</f>
        <v/>
      </c>
      <c r="Q1580">
        <f>Q1579+0.3</f>
        <v/>
      </c>
      <c r="R1580">
        <f>R1579+0.05</f>
        <v/>
      </c>
      <c r="S1580">
        <f>S1579+0.01</f>
        <v/>
      </c>
      <c r="T1580">
        <f>T1579+0.7</f>
        <v/>
      </c>
      <c r="U1580">
        <f>U1579+1.1</f>
        <v/>
      </c>
      <c r="V1580">
        <f>V1579+0.25</f>
        <v/>
      </c>
      <c r="W1580">
        <f>W1579+0.5</f>
        <v/>
      </c>
    </row>
    <row r="1581">
      <c r="E1581">
        <f>O1581=ROUND(1570*0.1,10)</f>
        <v/>
      </c>
      <c r="F1581">
        <f>P1581=ROUND(1570*0.2,10)</f>
        <v/>
      </c>
      <c r="G1581">
        <f>Q1581=ROUND(1570*0.3,10)</f>
        <v/>
      </c>
      <c r="H1581">
        <f>R1581=ROUND(1570*0.05,10)</f>
        <v/>
      </c>
      <c r="I1581">
        <f>S1581=ROUND(1570*0.01,10)</f>
        <v/>
      </c>
      <c r="J1581">
        <f>T1581=ROUND(1570*0.7,10)</f>
        <v/>
      </c>
      <c r="K1581">
        <f>U1581=ROUND(1570*1.1,10)</f>
        <v/>
      </c>
      <c r="L1581">
        <f>V1581=ROUND(1570*0.25,10)</f>
        <v/>
      </c>
      <c r="M1581">
        <f>W1581=ROUND(1570*0.5,10)</f>
        <v/>
      </c>
      <c r="O1581">
        <f>O1580+0.1</f>
        <v/>
      </c>
      <c r="P1581">
        <f>P1580+0.2</f>
        <v/>
      </c>
      <c r="Q1581">
        <f>Q1580+0.3</f>
        <v/>
      </c>
      <c r="R1581">
        <f>R1580+0.05</f>
        <v/>
      </c>
      <c r="S1581">
        <f>S1580+0.01</f>
        <v/>
      </c>
      <c r="T1581">
        <f>T1580+0.7</f>
        <v/>
      </c>
      <c r="U1581">
        <f>U1580+1.1</f>
        <v/>
      </c>
      <c r="V1581">
        <f>V1580+0.25</f>
        <v/>
      </c>
      <c r="W1581">
        <f>W1580+0.5</f>
        <v/>
      </c>
    </row>
    <row r="1582">
      <c r="E1582">
        <f>O1582=ROUND(1571*0.1,10)</f>
        <v/>
      </c>
      <c r="F1582">
        <f>P1582=ROUND(1571*0.2,10)</f>
        <v/>
      </c>
      <c r="G1582">
        <f>Q1582=ROUND(1571*0.3,10)</f>
        <v/>
      </c>
      <c r="H1582">
        <f>R1582=ROUND(1571*0.05,10)</f>
        <v/>
      </c>
      <c r="I1582">
        <f>S1582=ROUND(1571*0.01,10)</f>
        <v/>
      </c>
      <c r="J1582">
        <f>T1582=ROUND(1571*0.7,10)</f>
        <v/>
      </c>
      <c r="K1582">
        <f>U1582=ROUND(1571*1.1,10)</f>
        <v/>
      </c>
      <c r="L1582">
        <f>V1582=ROUND(1571*0.25,10)</f>
        <v/>
      </c>
      <c r="M1582">
        <f>W1582=ROUND(1571*0.5,10)</f>
        <v/>
      </c>
      <c r="O1582">
        <f>O1581+0.1</f>
        <v/>
      </c>
      <c r="P1582">
        <f>P1581+0.2</f>
        <v/>
      </c>
      <c r="Q1582">
        <f>Q1581+0.3</f>
        <v/>
      </c>
      <c r="R1582">
        <f>R1581+0.05</f>
        <v/>
      </c>
      <c r="S1582">
        <f>S1581+0.01</f>
        <v/>
      </c>
      <c r="T1582">
        <f>T1581+0.7</f>
        <v/>
      </c>
      <c r="U1582">
        <f>U1581+1.1</f>
        <v/>
      </c>
      <c r="V1582">
        <f>V1581+0.25</f>
        <v/>
      </c>
      <c r="W1582">
        <f>W1581+0.5</f>
        <v/>
      </c>
    </row>
    <row r="1583">
      <c r="E1583">
        <f>O1583=ROUND(1572*0.1,10)</f>
        <v/>
      </c>
      <c r="F1583">
        <f>P1583=ROUND(1572*0.2,10)</f>
        <v/>
      </c>
      <c r="G1583">
        <f>Q1583=ROUND(1572*0.3,10)</f>
        <v/>
      </c>
      <c r="H1583">
        <f>R1583=ROUND(1572*0.05,10)</f>
        <v/>
      </c>
      <c r="I1583">
        <f>S1583=ROUND(1572*0.01,10)</f>
        <v/>
      </c>
      <c r="J1583">
        <f>T1583=ROUND(1572*0.7,10)</f>
        <v/>
      </c>
      <c r="K1583">
        <f>U1583=ROUND(1572*1.1,10)</f>
        <v/>
      </c>
      <c r="L1583">
        <f>V1583=ROUND(1572*0.25,10)</f>
        <v/>
      </c>
      <c r="M1583">
        <f>W1583=ROUND(1572*0.5,10)</f>
        <v/>
      </c>
      <c r="O1583">
        <f>O1582+0.1</f>
        <v/>
      </c>
      <c r="P1583">
        <f>P1582+0.2</f>
        <v/>
      </c>
      <c r="Q1583">
        <f>Q1582+0.3</f>
        <v/>
      </c>
      <c r="R1583">
        <f>R1582+0.05</f>
        <v/>
      </c>
      <c r="S1583">
        <f>S1582+0.01</f>
        <v/>
      </c>
      <c r="T1583">
        <f>T1582+0.7</f>
        <v/>
      </c>
      <c r="U1583">
        <f>U1582+1.1</f>
        <v/>
      </c>
      <c r="V1583">
        <f>V1582+0.25</f>
        <v/>
      </c>
      <c r="W1583">
        <f>W1582+0.5</f>
        <v/>
      </c>
    </row>
    <row r="1584">
      <c r="E1584">
        <f>O1584=ROUND(1573*0.1,10)</f>
        <v/>
      </c>
      <c r="F1584">
        <f>P1584=ROUND(1573*0.2,10)</f>
        <v/>
      </c>
      <c r="G1584">
        <f>Q1584=ROUND(1573*0.3,10)</f>
        <v/>
      </c>
      <c r="H1584">
        <f>R1584=ROUND(1573*0.05,10)</f>
        <v/>
      </c>
      <c r="I1584">
        <f>S1584=ROUND(1573*0.01,10)</f>
        <v/>
      </c>
      <c r="J1584">
        <f>T1584=ROUND(1573*0.7,10)</f>
        <v/>
      </c>
      <c r="K1584">
        <f>U1584=ROUND(1573*1.1,10)</f>
        <v/>
      </c>
      <c r="L1584">
        <f>V1584=ROUND(1573*0.25,10)</f>
        <v/>
      </c>
      <c r="M1584">
        <f>W1584=ROUND(1573*0.5,10)</f>
        <v/>
      </c>
      <c r="O1584">
        <f>O1583+0.1</f>
        <v/>
      </c>
      <c r="P1584">
        <f>P1583+0.2</f>
        <v/>
      </c>
      <c r="Q1584">
        <f>Q1583+0.3</f>
        <v/>
      </c>
      <c r="R1584">
        <f>R1583+0.05</f>
        <v/>
      </c>
      <c r="S1584">
        <f>S1583+0.01</f>
        <v/>
      </c>
      <c r="T1584">
        <f>T1583+0.7</f>
        <v/>
      </c>
      <c r="U1584">
        <f>U1583+1.1</f>
        <v/>
      </c>
      <c r="V1584">
        <f>V1583+0.25</f>
        <v/>
      </c>
      <c r="W1584">
        <f>W1583+0.5</f>
        <v/>
      </c>
    </row>
    <row r="1585">
      <c r="E1585">
        <f>O1585=ROUND(1574*0.1,10)</f>
        <v/>
      </c>
      <c r="F1585">
        <f>P1585=ROUND(1574*0.2,10)</f>
        <v/>
      </c>
      <c r="G1585">
        <f>Q1585=ROUND(1574*0.3,10)</f>
        <v/>
      </c>
      <c r="H1585">
        <f>R1585=ROUND(1574*0.05,10)</f>
        <v/>
      </c>
      <c r="I1585">
        <f>S1585=ROUND(1574*0.01,10)</f>
        <v/>
      </c>
      <c r="J1585">
        <f>T1585=ROUND(1574*0.7,10)</f>
        <v/>
      </c>
      <c r="K1585">
        <f>U1585=ROUND(1574*1.1,10)</f>
        <v/>
      </c>
      <c r="L1585">
        <f>V1585=ROUND(1574*0.25,10)</f>
        <v/>
      </c>
      <c r="M1585">
        <f>W1585=ROUND(1574*0.5,10)</f>
        <v/>
      </c>
      <c r="O1585">
        <f>O1584+0.1</f>
        <v/>
      </c>
      <c r="P1585">
        <f>P1584+0.2</f>
        <v/>
      </c>
      <c r="Q1585">
        <f>Q1584+0.3</f>
        <v/>
      </c>
      <c r="R1585">
        <f>R1584+0.05</f>
        <v/>
      </c>
      <c r="S1585">
        <f>S1584+0.01</f>
        <v/>
      </c>
      <c r="T1585">
        <f>T1584+0.7</f>
        <v/>
      </c>
      <c r="U1585">
        <f>U1584+1.1</f>
        <v/>
      </c>
      <c r="V1585">
        <f>V1584+0.25</f>
        <v/>
      </c>
      <c r="W1585">
        <f>W1584+0.5</f>
        <v/>
      </c>
    </row>
    <row r="1586">
      <c r="E1586">
        <f>O1586=ROUND(1575*0.1,10)</f>
        <v/>
      </c>
      <c r="F1586">
        <f>P1586=ROUND(1575*0.2,10)</f>
        <v/>
      </c>
      <c r="G1586">
        <f>Q1586=ROUND(1575*0.3,10)</f>
        <v/>
      </c>
      <c r="H1586">
        <f>R1586=ROUND(1575*0.05,10)</f>
        <v/>
      </c>
      <c r="I1586">
        <f>S1586=ROUND(1575*0.01,10)</f>
        <v/>
      </c>
      <c r="J1586">
        <f>T1586=ROUND(1575*0.7,10)</f>
        <v/>
      </c>
      <c r="K1586">
        <f>U1586=ROUND(1575*1.1,10)</f>
        <v/>
      </c>
      <c r="L1586">
        <f>V1586=ROUND(1575*0.25,10)</f>
        <v/>
      </c>
      <c r="M1586">
        <f>W1586=ROUND(1575*0.5,10)</f>
        <v/>
      </c>
      <c r="O1586">
        <f>O1585+0.1</f>
        <v/>
      </c>
      <c r="P1586">
        <f>P1585+0.2</f>
        <v/>
      </c>
      <c r="Q1586">
        <f>Q1585+0.3</f>
        <v/>
      </c>
      <c r="R1586">
        <f>R1585+0.05</f>
        <v/>
      </c>
      <c r="S1586">
        <f>S1585+0.01</f>
        <v/>
      </c>
      <c r="T1586">
        <f>T1585+0.7</f>
        <v/>
      </c>
      <c r="U1586">
        <f>U1585+1.1</f>
        <v/>
      </c>
      <c r="V1586">
        <f>V1585+0.25</f>
        <v/>
      </c>
      <c r="W1586">
        <f>W1585+0.5</f>
        <v/>
      </c>
    </row>
    <row r="1587">
      <c r="E1587">
        <f>O1587=ROUND(1576*0.1,10)</f>
        <v/>
      </c>
      <c r="F1587">
        <f>P1587=ROUND(1576*0.2,10)</f>
        <v/>
      </c>
      <c r="G1587">
        <f>Q1587=ROUND(1576*0.3,10)</f>
        <v/>
      </c>
      <c r="H1587">
        <f>R1587=ROUND(1576*0.05,10)</f>
        <v/>
      </c>
      <c r="I1587">
        <f>S1587=ROUND(1576*0.01,10)</f>
        <v/>
      </c>
      <c r="J1587">
        <f>T1587=ROUND(1576*0.7,10)</f>
        <v/>
      </c>
      <c r="K1587">
        <f>U1587=ROUND(1576*1.1,10)</f>
        <v/>
      </c>
      <c r="L1587">
        <f>V1587=ROUND(1576*0.25,10)</f>
        <v/>
      </c>
      <c r="M1587">
        <f>W1587=ROUND(1576*0.5,10)</f>
        <v/>
      </c>
      <c r="O1587">
        <f>O1586+0.1</f>
        <v/>
      </c>
      <c r="P1587">
        <f>P1586+0.2</f>
        <v/>
      </c>
      <c r="Q1587">
        <f>Q1586+0.3</f>
        <v/>
      </c>
      <c r="R1587">
        <f>R1586+0.05</f>
        <v/>
      </c>
      <c r="S1587">
        <f>S1586+0.01</f>
        <v/>
      </c>
      <c r="T1587">
        <f>T1586+0.7</f>
        <v/>
      </c>
      <c r="U1587">
        <f>U1586+1.1</f>
        <v/>
      </c>
      <c r="V1587">
        <f>V1586+0.25</f>
        <v/>
      </c>
      <c r="W1587">
        <f>W1586+0.5</f>
        <v/>
      </c>
    </row>
    <row r="1588">
      <c r="E1588">
        <f>O1588=ROUND(1577*0.1,10)</f>
        <v/>
      </c>
      <c r="F1588">
        <f>P1588=ROUND(1577*0.2,10)</f>
        <v/>
      </c>
      <c r="G1588">
        <f>Q1588=ROUND(1577*0.3,10)</f>
        <v/>
      </c>
      <c r="H1588">
        <f>R1588=ROUND(1577*0.05,10)</f>
        <v/>
      </c>
      <c r="I1588">
        <f>S1588=ROUND(1577*0.01,10)</f>
        <v/>
      </c>
      <c r="J1588">
        <f>T1588=ROUND(1577*0.7,10)</f>
        <v/>
      </c>
      <c r="K1588">
        <f>U1588=ROUND(1577*1.1,10)</f>
        <v/>
      </c>
      <c r="L1588">
        <f>V1588=ROUND(1577*0.25,10)</f>
        <v/>
      </c>
      <c r="M1588">
        <f>W1588=ROUND(1577*0.5,10)</f>
        <v/>
      </c>
      <c r="O1588">
        <f>O1587+0.1</f>
        <v/>
      </c>
      <c r="P1588">
        <f>P1587+0.2</f>
        <v/>
      </c>
      <c r="Q1588">
        <f>Q1587+0.3</f>
        <v/>
      </c>
      <c r="R1588">
        <f>R1587+0.05</f>
        <v/>
      </c>
      <c r="S1588">
        <f>S1587+0.01</f>
        <v/>
      </c>
      <c r="T1588">
        <f>T1587+0.7</f>
        <v/>
      </c>
      <c r="U1588">
        <f>U1587+1.1</f>
        <v/>
      </c>
      <c r="V1588">
        <f>V1587+0.25</f>
        <v/>
      </c>
      <c r="W1588">
        <f>W1587+0.5</f>
        <v/>
      </c>
    </row>
    <row r="1589">
      <c r="E1589">
        <f>O1589=ROUND(1578*0.1,10)</f>
        <v/>
      </c>
      <c r="F1589">
        <f>P1589=ROUND(1578*0.2,10)</f>
        <v/>
      </c>
      <c r="G1589">
        <f>Q1589=ROUND(1578*0.3,10)</f>
        <v/>
      </c>
      <c r="H1589">
        <f>R1589=ROUND(1578*0.05,10)</f>
        <v/>
      </c>
      <c r="I1589">
        <f>S1589=ROUND(1578*0.01,10)</f>
        <v/>
      </c>
      <c r="J1589">
        <f>T1589=ROUND(1578*0.7,10)</f>
        <v/>
      </c>
      <c r="K1589">
        <f>U1589=ROUND(1578*1.1,10)</f>
        <v/>
      </c>
      <c r="L1589">
        <f>V1589=ROUND(1578*0.25,10)</f>
        <v/>
      </c>
      <c r="M1589">
        <f>W1589=ROUND(1578*0.5,10)</f>
        <v/>
      </c>
      <c r="O1589">
        <f>O1588+0.1</f>
        <v/>
      </c>
      <c r="P1589">
        <f>P1588+0.2</f>
        <v/>
      </c>
      <c r="Q1589">
        <f>Q1588+0.3</f>
        <v/>
      </c>
      <c r="R1589">
        <f>R1588+0.05</f>
        <v/>
      </c>
      <c r="S1589">
        <f>S1588+0.01</f>
        <v/>
      </c>
      <c r="T1589">
        <f>T1588+0.7</f>
        <v/>
      </c>
      <c r="U1589">
        <f>U1588+1.1</f>
        <v/>
      </c>
      <c r="V1589">
        <f>V1588+0.25</f>
        <v/>
      </c>
      <c r="W1589">
        <f>W1588+0.5</f>
        <v/>
      </c>
    </row>
    <row r="1590">
      <c r="E1590">
        <f>O1590=ROUND(1579*0.1,10)</f>
        <v/>
      </c>
      <c r="F1590">
        <f>P1590=ROUND(1579*0.2,10)</f>
        <v/>
      </c>
      <c r="G1590">
        <f>Q1590=ROUND(1579*0.3,10)</f>
        <v/>
      </c>
      <c r="H1590">
        <f>R1590=ROUND(1579*0.05,10)</f>
        <v/>
      </c>
      <c r="I1590">
        <f>S1590=ROUND(1579*0.01,10)</f>
        <v/>
      </c>
      <c r="J1590">
        <f>T1590=ROUND(1579*0.7,10)</f>
        <v/>
      </c>
      <c r="K1590">
        <f>U1590=ROUND(1579*1.1,10)</f>
        <v/>
      </c>
      <c r="L1590">
        <f>V1590=ROUND(1579*0.25,10)</f>
        <v/>
      </c>
      <c r="M1590">
        <f>W1590=ROUND(1579*0.5,10)</f>
        <v/>
      </c>
      <c r="O1590">
        <f>O1589+0.1</f>
        <v/>
      </c>
      <c r="P1590">
        <f>P1589+0.2</f>
        <v/>
      </c>
      <c r="Q1590">
        <f>Q1589+0.3</f>
        <v/>
      </c>
      <c r="R1590">
        <f>R1589+0.05</f>
        <v/>
      </c>
      <c r="S1590">
        <f>S1589+0.01</f>
        <v/>
      </c>
      <c r="T1590">
        <f>T1589+0.7</f>
        <v/>
      </c>
      <c r="U1590">
        <f>U1589+1.1</f>
        <v/>
      </c>
      <c r="V1590">
        <f>V1589+0.25</f>
        <v/>
      </c>
      <c r="W1590">
        <f>W1589+0.5</f>
        <v/>
      </c>
    </row>
    <row r="1591">
      <c r="E1591">
        <f>O1591=ROUND(1580*0.1,10)</f>
        <v/>
      </c>
      <c r="F1591">
        <f>P1591=ROUND(1580*0.2,10)</f>
        <v/>
      </c>
      <c r="G1591">
        <f>Q1591=ROUND(1580*0.3,10)</f>
        <v/>
      </c>
      <c r="H1591">
        <f>R1591=ROUND(1580*0.05,10)</f>
        <v/>
      </c>
      <c r="I1591">
        <f>S1591=ROUND(1580*0.01,10)</f>
        <v/>
      </c>
      <c r="J1591">
        <f>T1591=ROUND(1580*0.7,10)</f>
        <v/>
      </c>
      <c r="K1591">
        <f>U1591=ROUND(1580*1.1,10)</f>
        <v/>
      </c>
      <c r="L1591">
        <f>V1591=ROUND(1580*0.25,10)</f>
        <v/>
      </c>
      <c r="M1591">
        <f>W1591=ROUND(1580*0.5,10)</f>
        <v/>
      </c>
      <c r="O1591">
        <f>O1590+0.1</f>
        <v/>
      </c>
      <c r="P1591">
        <f>P1590+0.2</f>
        <v/>
      </c>
      <c r="Q1591">
        <f>Q1590+0.3</f>
        <v/>
      </c>
      <c r="R1591">
        <f>R1590+0.05</f>
        <v/>
      </c>
      <c r="S1591">
        <f>S1590+0.01</f>
        <v/>
      </c>
      <c r="T1591">
        <f>T1590+0.7</f>
        <v/>
      </c>
      <c r="U1591">
        <f>U1590+1.1</f>
        <v/>
      </c>
      <c r="V1591">
        <f>V1590+0.25</f>
        <v/>
      </c>
      <c r="W1591">
        <f>W1590+0.5</f>
        <v/>
      </c>
    </row>
    <row r="1592">
      <c r="E1592">
        <f>O1592=ROUND(1581*0.1,10)</f>
        <v/>
      </c>
      <c r="F1592">
        <f>P1592=ROUND(1581*0.2,10)</f>
        <v/>
      </c>
      <c r="G1592">
        <f>Q1592=ROUND(1581*0.3,10)</f>
        <v/>
      </c>
      <c r="H1592">
        <f>R1592=ROUND(1581*0.05,10)</f>
        <v/>
      </c>
      <c r="I1592">
        <f>S1592=ROUND(1581*0.01,10)</f>
        <v/>
      </c>
      <c r="J1592">
        <f>T1592=ROUND(1581*0.7,10)</f>
        <v/>
      </c>
      <c r="K1592">
        <f>U1592=ROUND(1581*1.1,10)</f>
        <v/>
      </c>
      <c r="L1592">
        <f>V1592=ROUND(1581*0.25,10)</f>
        <v/>
      </c>
      <c r="M1592">
        <f>W1592=ROUND(1581*0.5,10)</f>
        <v/>
      </c>
      <c r="O1592">
        <f>O1591+0.1</f>
        <v/>
      </c>
      <c r="P1592">
        <f>P1591+0.2</f>
        <v/>
      </c>
      <c r="Q1592">
        <f>Q1591+0.3</f>
        <v/>
      </c>
      <c r="R1592">
        <f>R1591+0.05</f>
        <v/>
      </c>
      <c r="S1592">
        <f>S1591+0.01</f>
        <v/>
      </c>
      <c r="T1592">
        <f>T1591+0.7</f>
        <v/>
      </c>
      <c r="U1592">
        <f>U1591+1.1</f>
        <v/>
      </c>
      <c r="V1592">
        <f>V1591+0.25</f>
        <v/>
      </c>
      <c r="W1592">
        <f>W1591+0.5</f>
        <v/>
      </c>
    </row>
    <row r="1593">
      <c r="E1593">
        <f>O1593=ROUND(1582*0.1,10)</f>
        <v/>
      </c>
      <c r="F1593">
        <f>P1593=ROUND(1582*0.2,10)</f>
        <v/>
      </c>
      <c r="G1593">
        <f>Q1593=ROUND(1582*0.3,10)</f>
        <v/>
      </c>
      <c r="H1593">
        <f>R1593=ROUND(1582*0.05,10)</f>
        <v/>
      </c>
      <c r="I1593">
        <f>S1593=ROUND(1582*0.01,10)</f>
        <v/>
      </c>
      <c r="J1593">
        <f>T1593=ROUND(1582*0.7,10)</f>
        <v/>
      </c>
      <c r="K1593">
        <f>U1593=ROUND(1582*1.1,10)</f>
        <v/>
      </c>
      <c r="L1593">
        <f>V1593=ROUND(1582*0.25,10)</f>
        <v/>
      </c>
      <c r="M1593">
        <f>W1593=ROUND(1582*0.5,10)</f>
        <v/>
      </c>
      <c r="O1593">
        <f>O1592+0.1</f>
        <v/>
      </c>
      <c r="P1593">
        <f>P1592+0.2</f>
        <v/>
      </c>
      <c r="Q1593">
        <f>Q1592+0.3</f>
        <v/>
      </c>
      <c r="R1593">
        <f>R1592+0.05</f>
        <v/>
      </c>
      <c r="S1593">
        <f>S1592+0.01</f>
        <v/>
      </c>
      <c r="T1593">
        <f>T1592+0.7</f>
        <v/>
      </c>
      <c r="U1593">
        <f>U1592+1.1</f>
        <v/>
      </c>
      <c r="V1593">
        <f>V1592+0.25</f>
        <v/>
      </c>
      <c r="W1593">
        <f>W1592+0.5</f>
        <v/>
      </c>
    </row>
    <row r="1594">
      <c r="E1594">
        <f>O1594=ROUND(1583*0.1,10)</f>
        <v/>
      </c>
      <c r="F1594">
        <f>P1594=ROUND(1583*0.2,10)</f>
        <v/>
      </c>
      <c r="G1594">
        <f>Q1594=ROUND(1583*0.3,10)</f>
        <v/>
      </c>
      <c r="H1594">
        <f>R1594=ROUND(1583*0.05,10)</f>
        <v/>
      </c>
      <c r="I1594">
        <f>S1594=ROUND(1583*0.01,10)</f>
        <v/>
      </c>
      <c r="J1594">
        <f>T1594=ROUND(1583*0.7,10)</f>
        <v/>
      </c>
      <c r="K1594">
        <f>U1594=ROUND(1583*1.1,10)</f>
        <v/>
      </c>
      <c r="L1594">
        <f>V1594=ROUND(1583*0.25,10)</f>
        <v/>
      </c>
      <c r="M1594">
        <f>W1594=ROUND(1583*0.5,10)</f>
        <v/>
      </c>
      <c r="O1594">
        <f>O1593+0.1</f>
        <v/>
      </c>
      <c r="P1594">
        <f>P1593+0.2</f>
        <v/>
      </c>
      <c r="Q1594">
        <f>Q1593+0.3</f>
        <v/>
      </c>
      <c r="R1594">
        <f>R1593+0.05</f>
        <v/>
      </c>
      <c r="S1594">
        <f>S1593+0.01</f>
        <v/>
      </c>
      <c r="T1594">
        <f>T1593+0.7</f>
        <v/>
      </c>
      <c r="U1594">
        <f>U1593+1.1</f>
        <v/>
      </c>
      <c r="V1594">
        <f>V1593+0.25</f>
        <v/>
      </c>
      <c r="W1594">
        <f>W1593+0.5</f>
        <v/>
      </c>
    </row>
    <row r="1595">
      <c r="E1595">
        <f>O1595=ROUND(1584*0.1,10)</f>
        <v/>
      </c>
      <c r="F1595">
        <f>P1595=ROUND(1584*0.2,10)</f>
        <v/>
      </c>
      <c r="G1595">
        <f>Q1595=ROUND(1584*0.3,10)</f>
        <v/>
      </c>
      <c r="H1595">
        <f>R1595=ROUND(1584*0.05,10)</f>
        <v/>
      </c>
      <c r="I1595">
        <f>S1595=ROUND(1584*0.01,10)</f>
        <v/>
      </c>
      <c r="J1595">
        <f>T1595=ROUND(1584*0.7,10)</f>
        <v/>
      </c>
      <c r="K1595">
        <f>U1595=ROUND(1584*1.1,10)</f>
        <v/>
      </c>
      <c r="L1595">
        <f>V1595=ROUND(1584*0.25,10)</f>
        <v/>
      </c>
      <c r="M1595">
        <f>W1595=ROUND(1584*0.5,10)</f>
        <v/>
      </c>
      <c r="O1595">
        <f>O1594+0.1</f>
        <v/>
      </c>
      <c r="P1595">
        <f>P1594+0.2</f>
        <v/>
      </c>
      <c r="Q1595">
        <f>Q1594+0.3</f>
        <v/>
      </c>
      <c r="R1595">
        <f>R1594+0.05</f>
        <v/>
      </c>
      <c r="S1595">
        <f>S1594+0.01</f>
        <v/>
      </c>
      <c r="T1595">
        <f>T1594+0.7</f>
        <v/>
      </c>
      <c r="U1595">
        <f>U1594+1.1</f>
        <v/>
      </c>
      <c r="V1595">
        <f>V1594+0.25</f>
        <v/>
      </c>
      <c r="W1595">
        <f>W1594+0.5</f>
        <v/>
      </c>
    </row>
    <row r="1596">
      <c r="E1596">
        <f>O1596=ROUND(1585*0.1,10)</f>
        <v/>
      </c>
      <c r="F1596">
        <f>P1596=ROUND(1585*0.2,10)</f>
        <v/>
      </c>
      <c r="G1596">
        <f>Q1596=ROUND(1585*0.3,10)</f>
        <v/>
      </c>
      <c r="H1596">
        <f>R1596=ROUND(1585*0.05,10)</f>
        <v/>
      </c>
      <c r="I1596">
        <f>S1596=ROUND(1585*0.01,10)</f>
        <v/>
      </c>
      <c r="J1596">
        <f>T1596=ROUND(1585*0.7,10)</f>
        <v/>
      </c>
      <c r="K1596">
        <f>U1596=ROUND(1585*1.1,10)</f>
        <v/>
      </c>
      <c r="L1596">
        <f>V1596=ROUND(1585*0.25,10)</f>
        <v/>
      </c>
      <c r="M1596">
        <f>W1596=ROUND(1585*0.5,10)</f>
        <v/>
      </c>
      <c r="O1596">
        <f>O1595+0.1</f>
        <v/>
      </c>
      <c r="P1596">
        <f>P1595+0.2</f>
        <v/>
      </c>
      <c r="Q1596">
        <f>Q1595+0.3</f>
        <v/>
      </c>
      <c r="R1596">
        <f>R1595+0.05</f>
        <v/>
      </c>
      <c r="S1596">
        <f>S1595+0.01</f>
        <v/>
      </c>
      <c r="T1596">
        <f>T1595+0.7</f>
        <v/>
      </c>
      <c r="U1596">
        <f>U1595+1.1</f>
        <v/>
      </c>
      <c r="V1596">
        <f>V1595+0.25</f>
        <v/>
      </c>
      <c r="W1596">
        <f>W1595+0.5</f>
        <v/>
      </c>
    </row>
    <row r="1597">
      <c r="E1597">
        <f>O1597=ROUND(1586*0.1,10)</f>
        <v/>
      </c>
      <c r="F1597">
        <f>P1597=ROUND(1586*0.2,10)</f>
        <v/>
      </c>
      <c r="G1597">
        <f>Q1597=ROUND(1586*0.3,10)</f>
        <v/>
      </c>
      <c r="H1597">
        <f>R1597=ROUND(1586*0.05,10)</f>
        <v/>
      </c>
      <c r="I1597">
        <f>S1597=ROUND(1586*0.01,10)</f>
        <v/>
      </c>
      <c r="J1597">
        <f>T1597=ROUND(1586*0.7,10)</f>
        <v/>
      </c>
      <c r="K1597">
        <f>U1597=ROUND(1586*1.1,10)</f>
        <v/>
      </c>
      <c r="L1597">
        <f>V1597=ROUND(1586*0.25,10)</f>
        <v/>
      </c>
      <c r="M1597">
        <f>W1597=ROUND(1586*0.5,10)</f>
        <v/>
      </c>
      <c r="O1597">
        <f>O1596+0.1</f>
        <v/>
      </c>
      <c r="P1597">
        <f>P1596+0.2</f>
        <v/>
      </c>
      <c r="Q1597">
        <f>Q1596+0.3</f>
        <v/>
      </c>
      <c r="R1597">
        <f>R1596+0.05</f>
        <v/>
      </c>
      <c r="S1597">
        <f>S1596+0.01</f>
        <v/>
      </c>
      <c r="T1597">
        <f>T1596+0.7</f>
        <v/>
      </c>
      <c r="U1597">
        <f>U1596+1.1</f>
        <v/>
      </c>
      <c r="V1597">
        <f>V1596+0.25</f>
        <v/>
      </c>
      <c r="W1597">
        <f>W1596+0.5</f>
        <v/>
      </c>
    </row>
    <row r="1598">
      <c r="E1598">
        <f>O1598=ROUND(1587*0.1,10)</f>
        <v/>
      </c>
      <c r="F1598">
        <f>P1598=ROUND(1587*0.2,10)</f>
        <v/>
      </c>
      <c r="G1598">
        <f>Q1598=ROUND(1587*0.3,10)</f>
        <v/>
      </c>
      <c r="H1598">
        <f>R1598=ROUND(1587*0.05,10)</f>
        <v/>
      </c>
      <c r="I1598">
        <f>S1598=ROUND(1587*0.01,10)</f>
        <v/>
      </c>
      <c r="J1598">
        <f>T1598=ROUND(1587*0.7,10)</f>
        <v/>
      </c>
      <c r="K1598">
        <f>U1598=ROUND(1587*1.1,10)</f>
        <v/>
      </c>
      <c r="L1598">
        <f>V1598=ROUND(1587*0.25,10)</f>
        <v/>
      </c>
      <c r="M1598">
        <f>W1598=ROUND(1587*0.5,10)</f>
        <v/>
      </c>
      <c r="O1598">
        <f>O1597+0.1</f>
        <v/>
      </c>
      <c r="P1598">
        <f>P1597+0.2</f>
        <v/>
      </c>
      <c r="Q1598">
        <f>Q1597+0.3</f>
        <v/>
      </c>
      <c r="R1598">
        <f>R1597+0.05</f>
        <v/>
      </c>
      <c r="S1598">
        <f>S1597+0.01</f>
        <v/>
      </c>
      <c r="T1598">
        <f>T1597+0.7</f>
        <v/>
      </c>
      <c r="U1598">
        <f>U1597+1.1</f>
        <v/>
      </c>
      <c r="V1598">
        <f>V1597+0.25</f>
        <v/>
      </c>
      <c r="W1598">
        <f>W1597+0.5</f>
        <v/>
      </c>
    </row>
    <row r="1599">
      <c r="E1599">
        <f>O1599=ROUND(1588*0.1,10)</f>
        <v/>
      </c>
      <c r="F1599">
        <f>P1599=ROUND(1588*0.2,10)</f>
        <v/>
      </c>
      <c r="G1599">
        <f>Q1599=ROUND(1588*0.3,10)</f>
        <v/>
      </c>
      <c r="H1599">
        <f>R1599=ROUND(1588*0.05,10)</f>
        <v/>
      </c>
      <c r="I1599">
        <f>S1599=ROUND(1588*0.01,10)</f>
        <v/>
      </c>
      <c r="J1599">
        <f>T1599=ROUND(1588*0.7,10)</f>
        <v/>
      </c>
      <c r="K1599">
        <f>U1599=ROUND(1588*1.1,10)</f>
        <v/>
      </c>
      <c r="L1599">
        <f>V1599=ROUND(1588*0.25,10)</f>
        <v/>
      </c>
      <c r="M1599">
        <f>W1599=ROUND(1588*0.5,10)</f>
        <v/>
      </c>
      <c r="O1599">
        <f>O1598+0.1</f>
        <v/>
      </c>
      <c r="P1599">
        <f>P1598+0.2</f>
        <v/>
      </c>
      <c r="Q1599">
        <f>Q1598+0.3</f>
        <v/>
      </c>
      <c r="R1599">
        <f>R1598+0.05</f>
        <v/>
      </c>
      <c r="S1599">
        <f>S1598+0.01</f>
        <v/>
      </c>
      <c r="T1599">
        <f>T1598+0.7</f>
        <v/>
      </c>
      <c r="U1599">
        <f>U1598+1.1</f>
        <v/>
      </c>
      <c r="V1599">
        <f>V1598+0.25</f>
        <v/>
      </c>
      <c r="W1599">
        <f>W1598+0.5</f>
        <v/>
      </c>
    </row>
    <row r="1600">
      <c r="E1600">
        <f>O1600=ROUND(1589*0.1,10)</f>
        <v/>
      </c>
      <c r="F1600">
        <f>P1600=ROUND(1589*0.2,10)</f>
        <v/>
      </c>
      <c r="G1600">
        <f>Q1600=ROUND(1589*0.3,10)</f>
        <v/>
      </c>
      <c r="H1600">
        <f>R1600=ROUND(1589*0.05,10)</f>
        <v/>
      </c>
      <c r="I1600">
        <f>S1600=ROUND(1589*0.01,10)</f>
        <v/>
      </c>
      <c r="J1600">
        <f>T1600=ROUND(1589*0.7,10)</f>
        <v/>
      </c>
      <c r="K1600">
        <f>U1600=ROUND(1589*1.1,10)</f>
        <v/>
      </c>
      <c r="L1600">
        <f>V1600=ROUND(1589*0.25,10)</f>
        <v/>
      </c>
      <c r="M1600">
        <f>W1600=ROUND(1589*0.5,10)</f>
        <v/>
      </c>
      <c r="O1600">
        <f>O1599+0.1</f>
        <v/>
      </c>
      <c r="P1600">
        <f>P1599+0.2</f>
        <v/>
      </c>
      <c r="Q1600">
        <f>Q1599+0.3</f>
        <v/>
      </c>
      <c r="R1600">
        <f>R1599+0.05</f>
        <v/>
      </c>
      <c r="S1600">
        <f>S1599+0.01</f>
        <v/>
      </c>
      <c r="T1600">
        <f>T1599+0.7</f>
        <v/>
      </c>
      <c r="U1600">
        <f>U1599+1.1</f>
        <v/>
      </c>
      <c r="V1600">
        <f>V1599+0.25</f>
        <v/>
      </c>
      <c r="W1600">
        <f>W1599+0.5</f>
        <v/>
      </c>
    </row>
    <row r="1601">
      <c r="E1601">
        <f>O1601=ROUND(1590*0.1,10)</f>
        <v/>
      </c>
      <c r="F1601">
        <f>P1601=ROUND(1590*0.2,10)</f>
        <v/>
      </c>
      <c r="G1601">
        <f>Q1601=ROUND(1590*0.3,10)</f>
        <v/>
      </c>
      <c r="H1601">
        <f>R1601=ROUND(1590*0.05,10)</f>
        <v/>
      </c>
      <c r="I1601">
        <f>S1601=ROUND(1590*0.01,10)</f>
        <v/>
      </c>
      <c r="J1601">
        <f>T1601=ROUND(1590*0.7,10)</f>
        <v/>
      </c>
      <c r="K1601">
        <f>U1601=ROUND(1590*1.1,10)</f>
        <v/>
      </c>
      <c r="L1601">
        <f>V1601=ROUND(1590*0.25,10)</f>
        <v/>
      </c>
      <c r="M1601">
        <f>W1601=ROUND(1590*0.5,10)</f>
        <v/>
      </c>
      <c r="O1601">
        <f>O1600+0.1</f>
        <v/>
      </c>
      <c r="P1601">
        <f>P1600+0.2</f>
        <v/>
      </c>
      <c r="Q1601">
        <f>Q1600+0.3</f>
        <v/>
      </c>
      <c r="R1601">
        <f>R1600+0.05</f>
        <v/>
      </c>
      <c r="S1601">
        <f>S1600+0.01</f>
        <v/>
      </c>
      <c r="T1601">
        <f>T1600+0.7</f>
        <v/>
      </c>
      <c r="U1601">
        <f>U1600+1.1</f>
        <v/>
      </c>
      <c r="V1601">
        <f>V1600+0.25</f>
        <v/>
      </c>
      <c r="W1601">
        <f>W1600+0.5</f>
        <v/>
      </c>
    </row>
    <row r="1602">
      <c r="E1602">
        <f>O1602=ROUND(1591*0.1,10)</f>
        <v/>
      </c>
      <c r="F1602">
        <f>P1602=ROUND(1591*0.2,10)</f>
        <v/>
      </c>
      <c r="G1602">
        <f>Q1602=ROUND(1591*0.3,10)</f>
        <v/>
      </c>
      <c r="H1602">
        <f>R1602=ROUND(1591*0.05,10)</f>
        <v/>
      </c>
      <c r="I1602">
        <f>S1602=ROUND(1591*0.01,10)</f>
        <v/>
      </c>
      <c r="J1602">
        <f>T1602=ROUND(1591*0.7,10)</f>
        <v/>
      </c>
      <c r="K1602">
        <f>U1602=ROUND(1591*1.1,10)</f>
        <v/>
      </c>
      <c r="L1602">
        <f>V1602=ROUND(1591*0.25,10)</f>
        <v/>
      </c>
      <c r="M1602">
        <f>W1602=ROUND(1591*0.5,10)</f>
        <v/>
      </c>
      <c r="O1602">
        <f>O1601+0.1</f>
        <v/>
      </c>
      <c r="P1602">
        <f>P1601+0.2</f>
        <v/>
      </c>
      <c r="Q1602">
        <f>Q1601+0.3</f>
        <v/>
      </c>
      <c r="R1602">
        <f>R1601+0.05</f>
        <v/>
      </c>
      <c r="S1602">
        <f>S1601+0.01</f>
        <v/>
      </c>
      <c r="T1602">
        <f>T1601+0.7</f>
        <v/>
      </c>
      <c r="U1602">
        <f>U1601+1.1</f>
        <v/>
      </c>
      <c r="V1602">
        <f>V1601+0.25</f>
        <v/>
      </c>
      <c r="W1602">
        <f>W1601+0.5</f>
        <v/>
      </c>
    </row>
    <row r="1603">
      <c r="E1603">
        <f>O1603=ROUND(1592*0.1,10)</f>
        <v/>
      </c>
      <c r="F1603">
        <f>P1603=ROUND(1592*0.2,10)</f>
        <v/>
      </c>
      <c r="G1603">
        <f>Q1603=ROUND(1592*0.3,10)</f>
        <v/>
      </c>
      <c r="H1603">
        <f>R1603=ROUND(1592*0.05,10)</f>
        <v/>
      </c>
      <c r="I1603">
        <f>S1603=ROUND(1592*0.01,10)</f>
        <v/>
      </c>
      <c r="J1603">
        <f>T1603=ROUND(1592*0.7,10)</f>
        <v/>
      </c>
      <c r="K1603">
        <f>U1603=ROUND(1592*1.1,10)</f>
        <v/>
      </c>
      <c r="L1603">
        <f>V1603=ROUND(1592*0.25,10)</f>
        <v/>
      </c>
      <c r="M1603">
        <f>W1603=ROUND(1592*0.5,10)</f>
        <v/>
      </c>
      <c r="O1603">
        <f>O1602+0.1</f>
        <v/>
      </c>
      <c r="P1603">
        <f>P1602+0.2</f>
        <v/>
      </c>
      <c r="Q1603">
        <f>Q1602+0.3</f>
        <v/>
      </c>
      <c r="R1603">
        <f>R1602+0.05</f>
        <v/>
      </c>
      <c r="S1603">
        <f>S1602+0.01</f>
        <v/>
      </c>
      <c r="T1603">
        <f>T1602+0.7</f>
        <v/>
      </c>
      <c r="U1603">
        <f>U1602+1.1</f>
        <v/>
      </c>
      <c r="V1603">
        <f>V1602+0.25</f>
        <v/>
      </c>
      <c r="W1603">
        <f>W1602+0.5</f>
        <v/>
      </c>
    </row>
    <row r="1604">
      <c r="E1604">
        <f>O1604=ROUND(1593*0.1,10)</f>
        <v/>
      </c>
      <c r="F1604">
        <f>P1604=ROUND(1593*0.2,10)</f>
        <v/>
      </c>
      <c r="G1604">
        <f>Q1604=ROUND(1593*0.3,10)</f>
        <v/>
      </c>
      <c r="H1604">
        <f>R1604=ROUND(1593*0.05,10)</f>
        <v/>
      </c>
      <c r="I1604">
        <f>S1604=ROUND(1593*0.01,10)</f>
        <v/>
      </c>
      <c r="J1604">
        <f>T1604=ROUND(1593*0.7,10)</f>
        <v/>
      </c>
      <c r="K1604">
        <f>U1604=ROUND(1593*1.1,10)</f>
        <v/>
      </c>
      <c r="L1604">
        <f>V1604=ROUND(1593*0.25,10)</f>
        <v/>
      </c>
      <c r="M1604">
        <f>W1604=ROUND(1593*0.5,10)</f>
        <v/>
      </c>
      <c r="O1604">
        <f>O1603+0.1</f>
        <v/>
      </c>
      <c r="P1604">
        <f>P1603+0.2</f>
        <v/>
      </c>
      <c r="Q1604">
        <f>Q1603+0.3</f>
        <v/>
      </c>
      <c r="R1604">
        <f>R1603+0.05</f>
        <v/>
      </c>
      <c r="S1604">
        <f>S1603+0.01</f>
        <v/>
      </c>
      <c r="T1604">
        <f>T1603+0.7</f>
        <v/>
      </c>
      <c r="U1604">
        <f>U1603+1.1</f>
        <v/>
      </c>
      <c r="V1604">
        <f>V1603+0.25</f>
        <v/>
      </c>
      <c r="W1604">
        <f>W1603+0.5</f>
        <v/>
      </c>
    </row>
    <row r="1605">
      <c r="E1605">
        <f>O1605=ROUND(1594*0.1,10)</f>
        <v/>
      </c>
      <c r="F1605">
        <f>P1605=ROUND(1594*0.2,10)</f>
        <v/>
      </c>
      <c r="G1605">
        <f>Q1605=ROUND(1594*0.3,10)</f>
        <v/>
      </c>
      <c r="H1605">
        <f>R1605=ROUND(1594*0.05,10)</f>
        <v/>
      </c>
      <c r="I1605">
        <f>S1605=ROUND(1594*0.01,10)</f>
        <v/>
      </c>
      <c r="J1605">
        <f>T1605=ROUND(1594*0.7,10)</f>
        <v/>
      </c>
      <c r="K1605">
        <f>U1605=ROUND(1594*1.1,10)</f>
        <v/>
      </c>
      <c r="L1605">
        <f>V1605=ROUND(1594*0.25,10)</f>
        <v/>
      </c>
      <c r="M1605">
        <f>W1605=ROUND(1594*0.5,10)</f>
        <v/>
      </c>
      <c r="O1605">
        <f>O1604+0.1</f>
        <v/>
      </c>
      <c r="P1605">
        <f>P1604+0.2</f>
        <v/>
      </c>
      <c r="Q1605">
        <f>Q1604+0.3</f>
        <v/>
      </c>
      <c r="R1605">
        <f>R1604+0.05</f>
        <v/>
      </c>
      <c r="S1605">
        <f>S1604+0.01</f>
        <v/>
      </c>
      <c r="T1605">
        <f>T1604+0.7</f>
        <v/>
      </c>
      <c r="U1605">
        <f>U1604+1.1</f>
        <v/>
      </c>
      <c r="V1605">
        <f>V1604+0.25</f>
        <v/>
      </c>
      <c r="W1605">
        <f>W1604+0.5</f>
        <v/>
      </c>
    </row>
    <row r="1606">
      <c r="E1606">
        <f>O1606=ROUND(1595*0.1,10)</f>
        <v/>
      </c>
      <c r="F1606">
        <f>P1606=ROUND(1595*0.2,10)</f>
        <v/>
      </c>
      <c r="G1606">
        <f>Q1606=ROUND(1595*0.3,10)</f>
        <v/>
      </c>
      <c r="H1606">
        <f>R1606=ROUND(1595*0.05,10)</f>
        <v/>
      </c>
      <c r="I1606">
        <f>S1606=ROUND(1595*0.01,10)</f>
        <v/>
      </c>
      <c r="J1606">
        <f>T1606=ROUND(1595*0.7,10)</f>
        <v/>
      </c>
      <c r="K1606">
        <f>U1606=ROUND(1595*1.1,10)</f>
        <v/>
      </c>
      <c r="L1606">
        <f>V1606=ROUND(1595*0.25,10)</f>
        <v/>
      </c>
      <c r="M1606">
        <f>W1606=ROUND(1595*0.5,10)</f>
        <v/>
      </c>
      <c r="O1606">
        <f>O1605+0.1</f>
        <v/>
      </c>
      <c r="P1606">
        <f>P1605+0.2</f>
        <v/>
      </c>
      <c r="Q1606">
        <f>Q1605+0.3</f>
        <v/>
      </c>
      <c r="R1606">
        <f>R1605+0.05</f>
        <v/>
      </c>
      <c r="S1606">
        <f>S1605+0.01</f>
        <v/>
      </c>
      <c r="T1606">
        <f>T1605+0.7</f>
        <v/>
      </c>
      <c r="U1606">
        <f>U1605+1.1</f>
        <v/>
      </c>
      <c r="V1606">
        <f>V1605+0.25</f>
        <v/>
      </c>
      <c r="W1606">
        <f>W1605+0.5</f>
        <v/>
      </c>
    </row>
    <row r="1607">
      <c r="E1607">
        <f>O1607=ROUND(1596*0.1,10)</f>
        <v/>
      </c>
      <c r="F1607">
        <f>P1607=ROUND(1596*0.2,10)</f>
        <v/>
      </c>
      <c r="G1607">
        <f>Q1607=ROUND(1596*0.3,10)</f>
        <v/>
      </c>
      <c r="H1607">
        <f>R1607=ROUND(1596*0.05,10)</f>
        <v/>
      </c>
      <c r="I1607">
        <f>S1607=ROUND(1596*0.01,10)</f>
        <v/>
      </c>
      <c r="J1607">
        <f>T1607=ROUND(1596*0.7,10)</f>
        <v/>
      </c>
      <c r="K1607">
        <f>U1607=ROUND(1596*1.1,10)</f>
        <v/>
      </c>
      <c r="L1607">
        <f>V1607=ROUND(1596*0.25,10)</f>
        <v/>
      </c>
      <c r="M1607">
        <f>W1607=ROUND(1596*0.5,10)</f>
        <v/>
      </c>
      <c r="O1607">
        <f>O1606+0.1</f>
        <v/>
      </c>
      <c r="P1607">
        <f>P1606+0.2</f>
        <v/>
      </c>
      <c r="Q1607">
        <f>Q1606+0.3</f>
        <v/>
      </c>
      <c r="R1607">
        <f>R1606+0.05</f>
        <v/>
      </c>
      <c r="S1607">
        <f>S1606+0.01</f>
        <v/>
      </c>
      <c r="T1607">
        <f>T1606+0.7</f>
        <v/>
      </c>
      <c r="U1607">
        <f>U1606+1.1</f>
        <v/>
      </c>
      <c r="V1607">
        <f>V1606+0.25</f>
        <v/>
      </c>
      <c r="W1607">
        <f>W1606+0.5</f>
        <v/>
      </c>
    </row>
    <row r="1608">
      <c r="E1608">
        <f>O1608=ROUND(1597*0.1,10)</f>
        <v/>
      </c>
      <c r="F1608">
        <f>P1608=ROUND(1597*0.2,10)</f>
        <v/>
      </c>
      <c r="G1608">
        <f>Q1608=ROUND(1597*0.3,10)</f>
        <v/>
      </c>
      <c r="H1608">
        <f>R1608=ROUND(1597*0.05,10)</f>
        <v/>
      </c>
      <c r="I1608">
        <f>S1608=ROUND(1597*0.01,10)</f>
        <v/>
      </c>
      <c r="J1608">
        <f>T1608=ROUND(1597*0.7,10)</f>
        <v/>
      </c>
      <c r="K1608">
        <f>U1608=ROUND(1597*1.1,10)</f>
        <v/>
      </c>
      <c r="L1608">
        <f>V1608=ROUND(1597*0.25,10)</f>
        <v/>
      </c>
      <c r="M1608">
        <f>W1608=ROUND(1597*0.5,10)</f>
        <v/>
      </c>
      <c r="O1608">
        <f>O1607+0.1</f>
        <v/>
      </c>
      <c r="P1608">
        <f>P1607+0.2</f>
        <v/>
      </c>
      <c r="Q1608">
        <f>Q1607+0.3</f>
        <v/>
      </c>
      <c r="R1608">
        <f>R1607+0.05</f>
        <v/>
      </c>
      <c r="S1608">
        <f>S1607+0.01</f>
        <v/>
      </c>
      <c r="T1608">
        <f>T1607+0.7</f>
        <v/>
      </c>
      <c r="U1608">
        <f>U1607+1.1</f>
        <v/>
      </c>
      <c r="V1608">
        <f>V1607+0.25</f>
        <v/>
      </c>
      <c r="W1608">
        <f>W1607+0.5</f>
        <v/>
      </c>
    </row>
    <row r="1609">
      <c r="E1609">
        <f>O1609=ROUND(1598*0.1,10)</f>
        <v/>
      </c>
      <c r="F1609">
        <f>P1609=ROUND(1598*0.2,10)</f>
        <v/>
      </c>
      <c r="G1609">
        <f>Q1609=ROUND(1598*0.3,10)</f>
        <v/>
      </c>
      <c r="H1609">
        <f>R1609=ROUND(1598*0.05,10)</f>
        <v/>
      </c>
      <c r="I1609">
        <f>S1609=ROUND(1598*0.01,10)</f>
        <v/>
      </c>
      <c r="J1609">
        <f>T1609=ROUND(1598*0.7,10)</f>
        <v/>
      </c>
      <c r="K1609">
        <f>U1609=ROUND(1598*1.1,10)</f>
        <v/>
      </c>
      <c r="L1609">
        <f>V1609=ROUND(1598*0.25,10)</f>
        <v/>
      </c>
      <c r="M1609">
        <f>W1609=ROUND(1598*0.5,10)</f>
        <v/>
      </c>
      <c r="O1609">
        <f>O1608+0.1</f>
        <v/>
      </c>
      <c r="P1609">
        <f>P1608+0.2</f>
        <v/>
      </c>
      <c r="Q1609">
        <f>Q1608+0.3</f>
        <v/>
      </c>
      <c r="R1609">
        <f>R1608+0.05</f>
        <v/>
      </c>
      <c r="S1609">
        <f>S1608+0.01</f>
        <v/>
      </c>
      <c r="T1609">
        <f>T1608+0.7</f>
        <v/>
      </c>
      <c r="U1609">
        <f>U1608+1.1</f>
        <v/>
      </c>
      <c r="V1609">
        <f>V1608+0.25</f>
        <v/>
      </c>
      <c r="W1609">
        <f>W1608+0.5</f>
        <v/>
      </c>
    </row>
    <row r="1610">
      <c r="E1610">
        <f>O1610=ROUND(1599*0.1,10)</f>
        <v/>
      </c>
      <c r="F1610">
        <f>P1610=ROUND(1599*0.2,10)</f>
        <v/>
      </c>
      <c r="G1610">
        <f>Q1610=ROUND(1599*0.3,10)</f>
        <v/>
      </c>
      <c r="H1610">
        <f>R1610=ROUND(1599*0.05,10)</f>
        <v/>
      </c>
      <c r="I1610">
        <f>S1610=ROUND(1599*0.01,10)</f>
        <v/>
      </c>
      <c r="J1610">
        <f>T1610=ROUND(1599*0.7,10)</f>
        <v/>
      </c>
      <c r="K1610">
        <f>U1610=ROUND(1599*1.1,10)</f>
        <v/>
      </c>
      <c r="L1610">
        <f>V1610=ROUND(1599*0.25,10)</f>
        <v/>
      </c>
      <c r="M1610">
        <f>W1610=ROUND(1599*0.5,10)</f>
        <v/>
      </c>
      <c r="O1610">
        <f>O1609+0.1</f>
        <v/>
      </c>
      <c r="P1610">
        <f>P1609+0.2</f>
        <v/>
      </c>
      <c r="Q1610">
        <f>Q1609+0.3</f>
        <v/>
      </c>
      <c r="R1610">
        <f>R1609+0.05</f>
        <v/>
      </c>
      <c r="S1610">
        <f>S1609+0.01</f>
        <v/>
      </c>
      <c r="T1610">
        <f>T1609+0.7</f>
        <v/>
      </c>
      <c r="U1610">
        <f>U1609+1.1</f>
        <v/>
      </c>
      <c r="V1610">
        <f>V1609+0.25</f>
        <v/>
      </c>
      <c r="W1610">
        <f>W1609+0.5</f>
        <v/>
      </c>
    </row>
    <row r="1611">
      <c r="E1611">
        <f>O1611=ROUND(1600*0.1,10)</f>
        <v/>
      </c>
      <c r="F1611">
        <f>P1611=ROUND(1600*0.2,10)</f>
        <v/>
      </c>
      <c r="G1611">
        <f>Q1611=ROUND(1600*0.3,10)</f>
        <v/>
      </c>
      <c r="H1611">
        <f>R1611=ROUND(1600*0.05,10)</f>
        <v/>
      </c>
      <c r="I1611">
        <f>S1611=ROUND(1600*0.01,10)</f>
        <v/>
      </c>
      <c r="J1611">
        <f>T1611=ROUND(1600*0.7,10)</f>
        <v/>
      </c>
      <c r="K1611">
        <f>U1611=ROUND(1600*1.1,10)</f>
        <v/>
      </c>
      <c r="L1611">
        <f>V1611=ROUND(1600*0.25,10)</f>
        <v/>
      </c>
      <c r="M1611">
        <f>W1611=ROUND(1600*0.5,10)</f>
        <v/>
      </c>
      <c r="O1611">
        <f>O1610+0.1</f>
        <v/>
      </c>
      <c r="P1611">
        <f>P1610+0.2</f>
        <v/>
      </c>
      <c r="Q1611">
        <f>Q1610+0.3</f>
        <v/>
      </c>
      <c r="R1611">
        <f>R1610+0.05</f>
        <v/>
      </c>
      <c r="S1611">
        <f>S1610+0.01</f>
        <v/>
      </c>
      <c r="T1611">
        <f>T1610+0.7</f>
        <v/>
      </c>
      <c r="U1611">
        <f>U1610+1.1</f>
        <v/>
      </c>
      <c r="V1611">
        <f>V1610+0.25</f>
        <v/>
      </c>
      <c r="W1611">
        <f>W1610+0.5</f>
        <v/>
      </c>
    </row>
    <row r="1612">
      <c r="E1612">
        <f>O1612=ROUND(1601*0.1,10)</f>
        <v/>
      </c>
      <c r="F1612">
        <f>P1612=ROUND(1601*0.2,10)</f>
        <v/>
      </c>
      <c r="G1612">
        <f>Q1612=ROUND(1601*0.3,10)</f>
        <v/>
      </c>
      <c r="H1612">
        <f>R1612=ROUND(1601*0.05,10)</f>
        <v/>
      </c>
      <c r="I1612">
        <f>S1612=ROUND(1601*0.01,10)</f>
        <v/>
      </c>
      <c r="J1612">
        <f>T1612=ROUND(1601*0.7,10)</f>
        <v/>
      </c>
      <c r="K1612">
        <f>U1612=ROUND(1601*1.1,10)</f>
        <v/>
      </c>
      <c r="L1612">
        <f>V1612=ROUND(1601*0.25,10)</f>
        <v/>
      </c>
      <c r="M1612">
        <f>W1612=ROUND(1601*0.5,10)</f>
        <v/>
      </c>
      <c r="O1612">
        <f>O1611+0.1</f>
        <v/>
      </c>
      <c r="P1612">
        <f>P1611+0.2</f>
        <v/>
      </c>
      <c r="Q1612">
        <f>Q1611+0.3</f>
        <v/>
      </c>
      <c r="R1612">
        <f>R1611+0.05</f>
        <v/>
      </c>
      <c r="S1612">
        <f>S1611+0.01</f>
        <v/>
      </c>
      <c r="T1612">
        <f>T1611+0.7</f>
        <v/>
      </c>
      <c r="U1612">
        <f>U1611+1.1</f>
        <v/>
      </c>
      <c r="V1612">
        <f>V1611+0.25</f>
        <v/>
      </c>
      <c r="W1612">
        <f>W1611+0.5</f>
        <v/>
      </c>
    </row>
    <row r="1613">
      <c r="E1613">
        <f>O1613=ROUND(1602*0.1,10)</f>
        <v/>
      </c>
      <c r="F1613">
        <f>P1613=ROUND(1602*0.2,10)</f>
        <v/>
      </c>
      <c r="G1613">
        <f>Q1613=ROUND(1602*0.3,10)</f>
        <v/>
      </c>
      <c r="H1613">
        <f>R1613=ROUND(1602*0.05,10)</f>
        <v/>
      </c>
      <c r="I1613">
        <f>S1613=ROUND(1602*0.01,10)</f>
        <v/>
      </c>
      <c r="J1613">
        <f>T1613=ROUND(1602*0.7,10)</f>
        <v/>
      </c>
      <c r="K1613">
        <f>U1613=ROUND(1602*1.1,10)</f>
        <v/>
      </c>
      <c r="L1613">
        <f>V1613=ROUND(1602*0.25,10)</f>
        <v/>
      </c>
      <c r="M1613">
        <f>W1613=ROUND(1602*0.5,10)</f>
        <v/>
      </c>
      <c r="O1613">
        <f>O1612+0.1</f>
        <v/>
      </c>
      <c r="P1613">
        <f>P1612+0.2</f>
        <v/>
      </c>
      <c r="Q1613">
        <f>Q1612+0.3</f>
        <v/>
      </c>
      <c r="R1613">
        <f>R1612+0.05</f>
        <v/>
      </c>
      <c r="S1613">
        <f>S1612+0.01</f>
        <v/>
      </c>
      <c r="T1613">
        <f>T1612+0.7</f>
        <v/>
      </c>
      <c r="U1613">
        <f>U1612+1.1</f>
        <v/>
      </c>
      <c r="V1613">
        <f>V1612+0.25</f>
        <v/>
      </c>
      <c r="W1613">
        <f>W1612+0.5</f>
        <v/>
      </c>
    </row>
    <row r="1614">
      <c r="E1614">
        <f>O1614=ROUND(1603*0.1,10)</f>
        <v/>
      </c>
      <c r="F1614">
        <f>P1614=ROUND(1603*0.2,10)</f>
        <v/>
      </c>
      <c r="G1614">
        <f>Q1614=ROUND(1603*0.3,10)</f>
        <v/>
      </c>
      <c r="H1614">
        <f>R1614=ROUND(1603*0.05,10)</f>
        <v/>
      </c>
      <c r="I1614">
        <f>S1614=ROUND(1603*0.01,10)</f>
        <v/>
      </c>
      <c r="J1614">
        <f>T1614=ROUND(1603*0.7,10)</f>
        <v/>
      </c>
      <c r="K1614">
        <f>U1614=ROUND(1603*1.1,10)</f>
        <v/>
      </c>
      <c r="L1614">
        <f>V1614=ROUND(1603*0.25,10)</f>
        <v/>
      </c>
      <c r="M1614">
        <f>W1614=ROUND(1603*0.5,10)</f>
        <v/>
      </c>
      <c r="O1614">
        <f>O1613+0.1</f>
        <v/>
      </c>
      <c r="P1614">
        <f>P1613+0.2</f>
        <v/>
      </c>
      <c r="Q1614">
        <f>Q1613+0.3</f>
        <v/>
      </c>
      <c r="R1614">
        <f>R1613+0.05</f>
        <v/>
      </c>
      <c r="S1614">
        <f>S1613+0.01</f>
        <v/>
      </c>
      <c r="T1614">
        <f>T1613+0.7</f>
        <v/>
      </c>
      <c r="U1614">
        <f>U1613+1.1</f>
        <v/>
      </c>
      <c r="V1614">
        <f>V1613+0.25</f>
        <v/>
      </c>
      <c r="W1614">
        <f>W1613+0.5</f>
        <v/>
      </c>
    </row>
    <row r="1615">
      <c r="E1615">
        <f>O1615=ROUND(1604*0.1,10)</f>
        <v/>
      </c>
      <c r="F1615">
        <f>P1615=ROUND(1604*0.2,10)</f>
        <v/>
      </c>
      <c r="G1615">
        <f>Q1615=ROUND(1604*0.3,10)</f>
        <v/>
      </c>
      <c r="H1615">
        <f>R1615=ROUND(1604*0.05,10)</f>
        <v/>
      </c>
      <c r="I1615">
        <f>S1615=ROUND(1604*0.01,10)</f>
        <v/>
      </c>
      <c r="J1615">
        <f>T1615=ROUND(1604*0.7,10)</f>
        <v/>
      </c>
      <c r="K1615">
        <f>U1615=ROUND(1604*1.1,10)</f>
        <v/>
      </c>
      <c r="L1615">
        <f>V1615=ROUND(1604*0.25,10)</f>
        <v/>
      </c>
      <c r="M1615">
        <f>W1615=ROUND(1604*0.5,10)</f>
        <v/>
      </c>
      <c r="O1615">
        <f>O1614+0.1</f>
        <v/>
      </c>
      <c r="P1615">
        <f>P1614+0.2</f>
        <v/>
      </c>
      <c r="Q1615">
        <f>Q1614+0.3</f>
        <v/>
      </c>
      <c r="R1615">
        <f>R1614+0.05</f>
        <v/>
      </c>
      <c r="S1615">
        <f>S1614+0.01</f>
        <v/>
      </c>
      <c r="T1615">
        <f>T1614+0.7</f>
        <v/>
      </c>
      <c r="U1615">
        <f>U1614+1.1</f>
        <v/>
      </c>
      <c r="V1615">
        <f>V1614+0.25</f>
        <v/>
      </c>
      <c r="W1615">
        <f>W1614+0.5</f>
        <v/>
      </c>
    </row>
    <row r="1616">
      <c r="E1616">
        <f>O1616=ROUND(1605*0.1,10)</f>
        <v/>
      </c>
      <c r="F1616">
        <f>P1616=ROUND(1605*0.2,10)</f>
        <v/>
      </c>
      <c r="G1616">
        <f>Q1616=ROUND(1605*0.3,10)</f>
        <v/>
      </c>
      <c r="H1616">
        <f>R1616=ROUND(1605*0.05,10)</f>
        <v/>
      </c>
      <c r="I1616">
        <f>S1616=ROUND(1605*0.01,10)</f>
        <v/>
      </c>
      <c r="J1616">
        <f>T1616=ROUND(1605*0.7,10)</f>
        <v/>
      </c>
      <c r="K1616">
        <f>U1616=ROUND(1605*1.1,10)</f>
        <v/>
      </c>
      <c r="L1616">
        <f>V1616=ROUND(1605*0.25,10)</f>
        <v/>
      </c>
      <c r="M1616">
        <f>W1616=ROUND(1605*0.5,10)</f>
        <v/>
      </c>
      <c r="O1616">
        <f>O1615+0.1</f>
        <v/>
      </c>
      <c r="P1616">
        <f>P1615+0.2</f>
        <v/>
      </c>
      <c r="Q1616">
        <f>Q1615+0.3</f>
        <v/>
      </c>
      <c r="R1616">
        <f>R1615+0.05</f>
        <v/>
      </c>
      <c r="S1616">
        <f>S1615+0.01</f>
        <v/>
      </c>
      <c r="T1616">
        <f>T1615+0.7</f>
        <v/>
      </c>
      <c r="U1616">
        <f>U1615+1.1</f>
        <v/>
      </c>
      <c r="V1616">
        <f>V1615+0.25</f>
        <v/>
      </c>
      <c r="W1616">
        <f>W1615+0.5</f>
        <v/>
      </c>
    </row>
    <row r="1617">
      <c r="E1617">
        <f>O1617=ROUND(1606*0.1,10)</f>
        <v/>
      </c>
      <c r="F1617">
        <f>P1617=ROUND(1606*0.2,10)</f>
        <v/>
      </c>
      <c r="G1617">
        <f>Q1617=ROUND(1606*0.3,10)</f>
        <v/>
      </c>
      <c r="H1617">
        <f>R1617=ROUND(1606*0.05,10)</f>
        <v/>
      </c>
      <c r="I1617">
        <f>S1617=ROUND(1606*0.01,10)</f>
        <v/>
      </c>
      <c r="J1617">
        <f>T1617=ROUND(1606*0.7,10)</f>
        <v/>
      </c>
      <c r="K1617">
        <f>U1617=ROUND(1606*1.1,10)</f>
        <v/>
      </c>
      <c r="L1617">
        <f>V1617=ROUND(1606*0.25,10)</f>
        <v/>
      </c>
      <c r="M1617">
        <f>W1617=ROUND(1606*0.5,10)</f>
        <v/>
      </c>
      <c r="O1617">
        <f>O1616+0.1</f>
        <v/>
      </c>
      <c r="P1617">
        <f>P1616+0.2</f>
        <v/>
      </c>
      <c r="Q1617">
        <f>Q1616+0.3</f>
        <v/>
      </c>
      <c r="R1617">
        <f>R1616+0.05</f>
        <v/>
      </c>
      <c r="S1617">
        <f>S1616+0.01</f>
        <v/>
      </c>
      <c r="T1617">
        <f>T1616+0.7</f>
        <v/>
      </c>
      <c r="U1617">
        <f>U1616+1.1</f>
        <v/>
      </c>
      <c r="V1617">
        <f>V1616+0.25</f>
        <v/>
      </c>
      <c r="W1617">
        <f>W1616+0.5</f>
        <v/>
      </c>
    </row>
    <row r="1618">
      <c r="E1618">
        <f>O1618=ROUND(1607*0.1,10)</f>
        <v/>
      </c>
      <c r="F1618">
        <f>P1618=ROUND(1607*0.2,10)</f>
        <v/>
      </c>
      <c r="G1618">
        <f>Q1618=ROUND(1607*0.3,10)</f>
        <v/>
      </c>
      <c r="H1618">
        <f>R1618=ROUND(1607*0.05,10)</f>
        <v/>
      </c>
      <c r="I1618">
        <f>S1618=ROUND(1607*0.01,10)</f>
        <v/>
      </c>
      <c r="J1618">
        <f>T1618=ROUND(1607*0.7,10)</f>
        <v/>
      </c>
      <c r="K1618">
        <f>U1618=ROUND(1607*1.1,10)</f>
        <v/>
      </c>
      <c r="L1618">
        <f>V1618=ROUND(1607*0.25,10)</f>
        <v/>
      </c>
      <c r="M1618">
        <f>W1618=ROUND(1607*0.5,10)</f>
        <v/>
      </c>
      <c r="O1618">
        <f>O1617+0.1</f>
        <v/>
      </c>
      <c r="P1618">
        <f>P1617+0.2</f>
        <v/>
      </c>
      <c r="Q1618">
        <f>Q1617+0.3</f>
        <v/>
      </c>
      <c r="R1618">
        <f>R1617+0.05</f>
        <v/>
      </c>
      <c r="S1618">
        <f>S1617+0.01</f>
        <v/>
      </c>
      <c r="T1618">
        <f>T1617+0.7</f>
        <v/>
      </c>
      <c r="U1618">
        <f>U1617+1.1</f>
        <v/>
      </c>
      <c r="V1618">
        <f>V1617+0.25</f>
        <v/>
      </c>
      <c r="W1618">
        <f>W1617+0.5</f>
        <v/>
      </c>
    </row>
    <row r="1619">
      <c r="E1619">
        <f>O1619=ROUND(1608*0.1,10)</f>
        <v/>
      </c>
      <c r="F1619">
        <f>P1619=ROUND(1608*0.2,10)</f>
        <v/>
      </c>
      <c r="G1619">
        <f>Q1619=ROUND(1608*0.3,10)</f>
        <v/>
      </c>
      <c r="H1619">
        <f>R1619=ROUND(1608*0.05,10)</f>
        <v/>
      </c>
      <c r="I1619">
        <f>S1619=ROUND(1608*0.01,10)</f>
        <v/>
      </c>
      <c r="J1619">
        <f>T1619=ROUND(1608*0.7,10)</f>
        <v/>
      </c>
      <c r="K1619">
        <f>U1619=ROUND(1608*1.1,10)</f>
        <v/>
      </c>
      <c r="L1619">
        <f>V1619=ROUND(1608*0.25,10)</f>
        <v/>
      </c>
      <c r="M1619">
        <f>W1619=ROUND(1608*0.5,10)</f>
        <v/>
      </c>
      <c r="O1619">
        <f>O1618+0.1</f>
        <v/>
      </c>
      <c r="P1619">
        <f>P1618+0.2</f>
        <v/>
      </c>
      <c r="Q1619">
        <f>Q1618+0.3</f>
        <v/>
      </c>
      <c r="R1619">
        <f>R1618+0.05</f>
        <v/>
      </c>
      <c r="S1619">
        <f>S1618+0.01</f>
        <v/>
      </c>
      <c r="T1619">
        <f>T1618+0.7</f>
        <v/>
      </c>
      <c r="U1619">
        <f>U1618+1.1</f>
        <v/>
      </c>
      <c r="V1619">
        <f>V1618+0.25</f>
        <v/>
      </c>
      <c r="W1619">
        <f>W1618+0.5</f>
        <v/>
      </c>
    </row>
    <row r="1620">
      <c r="E1620">
        <f>O1620=ROUND(1609*0.1,10)</f>
        <v/>
      </c>
      <c r="F1620">
        <f>P1620=ROUND(1609*0.2,10)</f>
        <v/>
      </c>
      <c r="G1620">
        <f>Q1620=ROUND(1609*0.3,10)</f>
        <v/>
      </c>
      <c r="H1620">
        <f>R1620=ROUND(1609*0.05,10)</f>
        <v/>
      </c>
      <c r="I1620">
        <f>S1620=ROUND(1609*0.01,10)</f>
        <v/>
      </c>
      <c r="J1620">
        <f>T1620=ROUND(1609*0.7,10)</f>
        <v/>
      </c>
      <c r="K1620">
        <f>U1620=ROUND(1609*1.1,10)</f>
        <v/>
      </c>
      <c r="L1620">
        <f>V1620=ROUND(1609*0.25,10)</f>
        <v/>
      </c>
      <c r="M1620">
        <f>W1620=ROUND(1609*0.5,10)</f>
        <v/>
      </c>
      <c r="O1620">
        <f>O1619+0.1</f>
        <v/>
      </c>
      <c r="P1620">
        <f>P1619+0.2</f>
        <v/>
      </c>
      <c r="Q1620">
        <f>Q1619+0.3</f>
        <v/>
      </c>
      <c r="R1620">
        <f>R1619+0.05</f>
        <v/>
      </c>
      <c r="S1620">
        <f>S1619+0.01</f>
        <v/>
      </c>
      <c r="T1620">
        <f>T1619+0.7</f>
        <v/>
      </c>
      <c r="U1620">
        <f>U1619+1.1</f>
        <v/>
      </c>
      <c r="V1620">
        <f>V1619+0.25</f>
        <v/>
      </c>
      <c r="W1620">
        <f>W1619+0.5</f>
        <v/>
      </c>
    </row>
    <row r="1621">
      <c r="E1621">
        <f>O1621=ROUND(1610*0.1,10)</f>
        <v/>
      </c>
      <c r="F1621">
        <f>P1621=ROUND(1610*0.2,10)</f>
        <v/>
      </c>
      <c r="G1621">
        <f>Q1621=ROUND(1610*0.3,10)</f>
        <v/>
      </c>
      <c r="H1621">
        <f>R1621=ROUND(1610*0.05,10)</f>
        <v/>
      </c>
      <c r="I1621">
        <f>S1621=ROUND(1610*0.01,10)</f>
        <v/>
      </c>
      <c r="J1621">
        <f>T1621=ROUND(1610*0.7,10)</f>
        <v/>
      </c>
      <c r="K1621">
        <f>U1621=ROUND(1610*1.1,10)</f>
        <v/>
      </c>
      <c r="L1621">
        <f>V1621=ROUND(1610*0.25,10)</f>
        <v/>
      </c>
      <c r="M1621">
        <f>W1621=ROUND(1610*0.5,10)</f>
        <v/>
      </c>
      <c r="O1621">
        <f>O1620+0.1</f>
        <v/>
      </c>
      <c r="P1621">
        <f>P1620+0.2</f>
        <v/>
      </c>
      <c r="Q1621">
        <f>Q1620+0.3</f>
        <v/>
      </c>
      <c r="R1621">
        <f>R1620+0.05</f>
        <v/>
      </c>
      <c r="S1621">
        <f>S1620+0.01</f>
        <v/>
      </c>
      <c r="T1621">
        <f>T1620+0.7</f>
        <v/>
      </c>
      <c r="U1621">
        <f>U1620+1.1</f>
        <v/>
      </c>
      <c r="V1621">
        <f>V1620+0.25</f>
        <v/>
      </c>
      <c r="W1621">
        <f>W1620+0.5</f>
        <v/>
      </c>
    </row>
    <row r="1622">
      <c r="E1622">
        <f>O1622=ROUND(1611*0.1,10)</f>
        <v/>
      </c>
      <c r="F1622">
        <f>P1622=ROUND(1611*0.2,10)</f>
        <v/>
      </c>
      <c r="G1622">
        <f>Q1622=ROUND(1611*0.3,10)</f>
        <v/>
      </c>
      <c r="H1622">
        <f>R1622=ROUND(1611*0.05,10)</f>
        <v/>
      </c>
      <c r="I1622">
        <f>S1622=ROUND(1611*0.01,10)</f>
        <v/>
      </c>
      <c r="J1622">
        <f>T1622=ROUND(1611*0.7,10)</f>
        <v/>
      </c>
      <c r="K1622">
        <f>U1622=ROUND(1611*1.1,10)</f>
        <v/>
      </c>
      <c r="L1622">
        <f>V1622=ROUND(1611*0.25,10)</f>
        <v/>
      </c>
      <c r="M1622">
        <f>W1622=ROUND(1611*0.5,10)</f>
        <v/>
      </c>
      <c r="O1622">
        <f>O1621+0.1</f>
        <v/>
      </c>
      <c r="P1622">
        <f>P1621+0.2</f>
        <v/>
      </c>
      <c r="Q1622">
        <f>Q1621+0.3</f>
        <v/>
      </c>
      <c r="R1622">
        <f>R1621+0.05</f>
        <v/>
      </c>
      <c r="S1622">
        <f>S1621+0.01</f>
        <v/>
      </c>
      <c r="T1622">
        <f>T1621+0.7</f>
        <v/>
      </c>
      <c r="U1622">
        <f>U1621+1.1</f>
        <v/>
      </c>
      <c r="V1622">
        <f>V1621+0.25</f>
        <v/>
      </c>
      <c r="W1622">
        <f>W1621+0.5</f>
        <v/>
      </c>
    </row>
    <row r="1623">
      <c r="E1623">
        <f>O1623=ROUND(1612*0.1,10)</f>
        <v/>
      </c>
      <c r="F1623">
        <f>P1623=ROUND(1612*0.2,10)</f>
        <v/>
      </c>
      <c r="G1623">
        <f>Q1623=ROUND(1612*0.3,10)</f>
        <v/>
      </c>
      <c r="H1623">
        <f>R1623=ROUND(1612*0.05,10)</f>
        <v/>
      </c>
      <c r="I1623">
        <f>S1623=ROUND(1612*0.01,10)</f>
        <v/>
      </c>
      <c r="J1623">
        <f>T1623=ROUND(1612*0.7,10)</f>
        <v/>
      </c>
      <c r="K1623">
        <f>U1623=ROUND(1612*1.1,10)</f>
        <v/>
      </c>
      <c r="L1623">
        <f>V1623=ROUND(1612*0.25,10)</f>
        <v/>
      </c>
      <c r="M1623">
        <f>W1623=ROUND(1612*0.5,10)</f>
        <v/>
      </c>
      <c r="O1623">
        <f>O1622+0.1</f>
        <v/>
      </c>
      <c r="P1623">
        <f>P1622+0.2</f>
        <v/>
      </c>
      <c r="Q1623">
        <f>Q1622+0.3</f>
        <v/>
      </c>
      <c r="R1623">
        <f>R1622+0.05</f>
        <v/>
      </c>
      <c r="S1623">
        <f>S1622+0.01</f>
        <v/>
      </c>
      <c r="T1623">
        <f>T1622+0.7</f>
        <v/>
      </c>
      <c r="U1623">
        <f>U1622+1.1</f>
        <v/>
      </c>
      <c r="V1623">
        <f>V1622+0.25</f>
        <v/>
      </c>
      <c r="W1623">
        <f>W1622+0.5</f>
        <v/>
      </c>
    </row>
    <row r="1624">
      <c r="E1624">
        <f>O1624=ROUND(1613*0.1,10)</f>
        <v/>
      </c>
      <c r="F1624">
        <f>P1624=ROUND(1613*0.2,10)</f>
        <v/>
      </c>
      <c r="G1624">
        <f>Q1624=ROUND(1613*0.3,10)</f>
        <v/>
      </c>
      <c r="H1624">
        <f>R1624=ROUND(1613*0.05,10)</f>
        <v/>
      </c>
      <c r="I1624">
        <f>S1624=ROUND(1613*0.01,10)</f>
        <v/>
      </c>
      <c r="J1624">
        <f>T1624=ROUND(1613*0.7,10)</f>
        <v/>
      </c>
      <c r="K1624">
        <f>U1624=ROUND(1613*1.1,10)</f>
        <v/>
      </c>
      <c r="L1624">
        <f>V1624=ROUND(1613*0.25,10)</f>
        <v/>
      </c>
      <c r="M1624">
        <f>W1624=ROUND(1613*0.5,10)</f>
        <v/>
      </c>
      <c r="O1624">
        <f>O1623+0.1</f>
        <v/>
      </c>
      <c r="P1624">
        <f>P1623+0.2</f>
        <v/>
      </c>
      <c r="Q1624">
        <f>Q1623+0.3</f>
        <v/>
      </c>
      <c r="R1624">
        <f>R1623+0.05</f>
        <v/>
      </c>
      <c r="S1624">
        <f>S1623+0.01</f>
        <v/>
      </c>
      <c r="T1624">
        <f>T1623+0.7</f>
        <v/>
      </c>
      <c r="U1624">
        <f>U1623+1.1</f>
        <v/>
      </c>
      <c r="V1624">
        <f>V1623+0.25</f>
        <v/>
      </c>
      <c r="W1624">
        <f>W1623+0.5</f>
        <v/>
      </c>
    </row>
    <row r="1625">
      <c r="E1625">
        <f>O1625=ROUND(1614*0.1,10)</f>
        <v/>
      </c>
      <c r="F1625">
        <f>P1625=ROUND(1614*0.2,10)</f>
        <v/>
      </c>
      <c r="G1625">
        <f>Q1625=ROUND(1614*0.3,10)</f>
        <v/>
      </c>
      <c r="H1625">
        <f>R1625=ROUND(1614*0.05,10)</f>
        <v/>
      </c>
      <c r="I1625">
        <f>S1625=ROUND(1614*0.01,10)</f>
        <v/>
      </c>
      <c r="J1625">
        <f>T1625=ROUND(1614*0.7,10)</f>
        <v/>
      </c>
      <c r="K1625">
        <f>U1625=ROUND(1614*1.1,10)</f>
        <v/>
      </c>
      <c r="L1625">
        <f>V1625=ROUND(1614*0.25,10)</f>
        <v/>
      </c>
      <c r="M1625">
        <f>W1625=ROUND(1614*0.5,10)</f>
        <v/>
      </c>
      <c r="O1625">
        <f>O1624+0.1</f>
        <v/>
      </c>
      <c r="P1625">
        <f>P1624+0.2</f>
        <v/>
      </c>
      <c r="Q1625">
        <f>Q1624+0.3</f>
        <v/>
      </c>
      <c r="R1625">
        <f>R1624+0.05</f>
        <v/>
      </c>
      <c r="S1625">
        <f>S1624+0.01</f>
        <v/>
      </c>
      <c r="T1625">
        <f>T1624+0.7</f>
        <v/>
      </c>
      <c r="U1625">
        <f>U1624+1.1</f>
        <v/>
      </c>
      <c r="V1625">
        <f>V1624+0.25</f>
        <v/>
      </c>
      <c r="W1625">
        <f>W1624+0.5</f>
        <v/>
      </c>
    </row>
    <row r="1626">
      <c r="E1626">
        <f>O1626=ROUND(1615*0.1,10)</f>
        <v/>
      </c>
      <c r="F1626">
        <f>P1626=ROUND(1615*0.2,10)</f>
        <v/>
      </c>
      <c r="G1626">
        <f>Q1626=ROUND(1615*0.3,10)</f>
        <v/>
      </c>
      <c r="H1626">
        <f>R1626=ROUND(1615*0.05,10)</f>
        <v/>
      </c>
      <c r="I1626">
        <f>S1626=ROUND(1615*0.01,10)</f>
        <v/>
      </c>
      <c r="J1626">
        <f>T1626=ROUND(1615*0.7,10)</f>
        <v/>
      </c>
      <c r="K1626">
        <f>U1626=ROUND(1615*1.1,10)</f>
        <v/>
      </c>
      <c r="L1626">
        <f>V1626=ROUND(1615*0.25,10)</f>
        <v/>
      </c>
      <c r="M1626">
        <f>W1626=ROUND(1615*0.5,10)</f>
        <v/>
      </c>
      <c r="O1626">
        <f>O1625+0.1</f>
        <v/>
      </c>
      <c r="P1626">
        <f>P1625+0.2</f>
        <v/>
      </c>
      <c r="Q1626">
        <f>Q1625+0.3</f>
        <v/>
      </c>
      <c r="R1626">
        <f>R1625+0.05</f>
        <v/>
      </c>
      <c r="S1626">
        <f>S1625+0.01</f>
        <v/>
      </c>
      <c r="T1626">
        <f>T1625+0.7</f>
        <v/>
      </c>
      <c r="U1626">
        <f>U1625+1.1</f>
        <v/>
      </c>
      <c r="V1626">
        <f>V1625+0.25</f>
        <v/>
      </c>
      <c r="W1626">
        <f>W1625+0.5</f>
        <v/>
      </c>
    </row>
    <row r="1627">
      <c r="E1627">
        <f>O1627=ROUND(1616*0.1,10)</f>
        <v/>
      </c>
      <c r="F1627">
        <f>P1627=ROUND(1616*0.2,10)</f>
        <v/>
      </c>
      <c r="G1627">
        <f>Q1627=ROUND(1616*0.3,10)</f>
        <v/>
      </c>
      <c r="H1627">
        <f>R1627=ROUND(1616*0.05,10)</f>
        <v/>
      </c>
      <c r="I1627">
        <f>S1627=ROUND(1616*0.01,10)</f>
        <v/>
      </c>
      <c r="J1627">
        <f>T1627=ROUND(1616*0.7,10)</f>
        <v/>
      </c>
      <c r="K1627">
        <f>U1627=ROUND(1616*1.1,10)</f>
        <v/>
      </c>
      <c r="L1627">
        <f>V1627=ROUND(1616*0.25,10)</f>
        <v/>
      </c>
      <c r="M1627">
        <f>W1627=ROUND(1616*0.5,10)</f>
        <v/>
      </c>
      <c r="O1627">
        <f>O1626+0.1</f>
        <v/>
      </c>
      <c r="P1627">
        <f>P1626+0.2</f>
        <v/>
      </c>
      <c r="Q1627">
        <f>Q1626+0.3</f>
        <v/>
      </c>
      <c r="R1627">
        <f>R1626+0.05</f>
        <v/>
      </c>
      <c r="S1627">
        <f>S1626+0.01</f>
        <v/>
      </c>
      <c r="T1627">
        <f>T1626+0.7</f>
        <v/>
      </c>
      <c r="U1627">
        <f>U1626+1.1</f>
        <v/>
      </c>
      <c r="V1627">
        <f>V1626+0.25</f>
        <v/>
      </c>
      <c r="W1627">
        <f>W1626+0.5</f>
        <v/>
      </c>
    </row>
    <row r="1628">
      <c r="E1628">
        <f>O1628=ROUND(1617*0.1,10)</f>
        <v/>
      </c>
      <c r="F1628">
        <f>P1628=ROUND(1617*0.2,10)</f>
        <v/>
      </c>
      <c r="G1628">
        <f>Q1628=ROUND(1617*0.3,10)</f>
        <v/>
      </c>
      <c r="H1628">
        <f>R1628=ROUND(1617*0.05,10)</f>
        <v/>
      </c>
      <c r="I1628">
        <f>S1628=ROUND(1617*0.01,10)</f>
        <v/>
      </c>
      <c r="J1628">
        <f>T1628=ROUND(1617*0.7,10)</f>
        <v/>
      </c>
      <c r="K1628">
        <f>U1628=ROUND(1617*1.1,10)</f>
        <v/>
      </c>
      <c r="L1628">
        <f>V1628=ROUND(1617*0.25,10)</f>
        <v/>
      </c>
      <c r="M1628">
        <f>W1628=ROUND(1617*0.5,10)</f>
        <v/>
      </c>
      <c r="O1628">
        <f>O1627+0.1</f>
        <v/>
      </c>
      <c r="P1628">
        <f>P1627+0.2</f>
        <v/>
      </c>
      <c r="Q1628">
        <f>Q1627+0.3</f>
        <v/>
      </c>
      <c r="R1628">
        <f>R1627+0.05</f>
        <v/>
      </c>
      <c r="S1628">
        <f>S1627+0.01</f>
        <v/>
      </c>
      <c r="T1628">
        <f>T1627+0.7</f>
        <v/>
      </c>
      <c r="U1628">
        <f>U1627+1.1</f>
        <v/>
      </c>
      <c r="V1628">
        <f>V1627+0.25</f>
        <v/>
      </c>
      <c r="W1628">
        <f>W1627+0.5</f>
        <v/>
      </c>
    </row>
    <row r="1629">
      <c r="E1629">
        <f>O1629=ROUND(1618*0.1,10)</f>
        <v/>
      </c>
      <c r="F1629">
        <f>P1629=ROUND(1618*0.2,10)</f>
        <v/>
      </c>
      <c r="G1629">
        <f>Q1629=ROUND(1618*0.3,10)</f>
        <v/>
      </c>
      <c r="H1629">
        <f>R1629=ROUND(1618*0.05,10)</f>
        <v/>
      </c>
      <c r="I1629">
        <f>S1629=ROUND(1618*0.01,10)</f>
        <v/>
      </c>
      <c r="J1629">
        <f>T1629=ROUND(1618*0.7,10)</f>
        <v/>
      </c>
      <c r="K1629">
        <f>U1629=ROUND(1618*1.1,10)</f>
        <v/>
      </c>
      <c r="L1629">
        <f>V1629=ROUND(1618*0.25,10)</f>
        <v/>
      </c>
      <c r="M1629">
        <f>W1629=ROUND(1618*0.5,10)</f>
        <v/>
      </c>
      <c r="O1629">
        <f>O1628+0.1</f>
        <v/>
      </c>
      <c r="P1629">
        <f>P1628+0.2</f>
        <v/>
      </c>
      <c r="Q1629">
        <f>Q1628+0.3</f>
        <v/>
      </c>
      <c r="R1629">
        <f>R1628+0.05</f>
        <v/>
      </c>
      <c r="S1629">
        <f>S1628+0.01</f>
        <v/>
      </c>
      <c r="T1629">
        <f>T1628+0.7</f>
        <v/>
      </c>
      <c r="U1629">
        <f>U1628+1.1</f>
        <v/>
      </c>
      <c r="V1629">
        <f>V1628+0.25</f>
        <v/>
      </c>
      <c r="W1629">
        <f>W1628+0.5</f>
        <v/>
      </c>
    </row>
    <row r="1630">
      <c r="E1630">
        <f>O1630=ROUND(1619*0.1,10)</f>
        <v/>
      </c>
      <c r="F1630">
        <f>P1630=ROUND(1619*0.2,10)</f>
        <v/>
      </c>
      <c r="G1630">
        <f>Q1630=ROUND(1619*0.3,10)</f>
        <v/>
      </c>
      <c r="H1630">
        <f>R1630=ROUND(1619*0.05,10)</f>
        <v/>
      </c>
      <c r="I1630">
        <f>S1630=ROUND(1619*0.01,10)</f>
        <v/>
      </c>
      <c r="J1630">
        <f>T1630=ROUND(1619*0.7,10)</f>
        <v/>
      </c>
      <c r="K1630">
        <f>U1630=ROUND(1619*1.1,10)</f>
        <v/>
      </c>
      <c r="L1630">
        <f>V1630=ROUND(1619*0.25,10)</f>
        <v/>
      </c>
      <c r="M1630">
        <f>W1630=ROUND(1619*0.5,10)</f>
        <v/>
      </c>
      <c r="O1630">
        <f>O1629+0.1</f>
        <v/>
      </c>
      <c r="P1630">
        <f>P1629+0.2</f>
        <v/>
      </c>
      <c r="Q1630">
        <f>Q1629+0.3</f>
        <v/>
      </c>
      <c r="R1630">
        <f>R1629+0.05</f>
        <v/>
      </c>
      <c r="S1630">
        <f>S1629+0.01</f>
        <v/>
      </c>
      <c r="T1630">
        <f>T1629+0.7</f>
        <v/>
      </c>
      <c r="U1630">
        <f>U1629+1.1</f>
        <v/>
      </c>
      <c r="V1630">
        <f>V1629+0.25</f>
        <v/>
      </c>
      <c r="W1630">
        <f>W1629+0.5</f>
        <v/>
      </c>
    </row>
    <row r="1631">
      <c r="E1631">
        <f>O1631=ROUND(1620*0.1,10)</f>
        <v/>
      </c>
      <c r="F1631">
        <f>P1631=ROUND(1620*0.2,10)</f>
        <v/>
      </c>
      <c r="G1631">
        <f>Q1631=ROUND(1620*0.3,10)</f>
        <v/>
      </c>
      <c r="H1631">
        <f>R1631=ROUND(1620*0.05,10)</f>
        <v/>
      </c>
      <c r="I1631">
        <f>S1631=ROUND(1620*0.01,10)</f>
        <v/>
      </c>
      <c r="J1631">
        <f>T1631=ROUND(1620*0.7,10)</f>
        <v/>
      </c>
      <c r="K1631">
        <f>U1631=ROUND(1620*1.1,10)</f>
        <v/>
      </c>
      <c r="L1631">
        <f>V1631=ROUND(1620*0.25,10)</f>
        <v/>
      </c>
      <c r="M1631">
        <f>W1631=ROUND(1620*0.5,10)</f>
        <v/>
      </c>
      <c r="O1631">
        <f>O1630+0.1</f>
        <v/>
      </c>
      <c r="P1631">
        <f>P1630+0.2</f>
        <v/>
      </c>
      <c r="Q1631">
        <f>Q1630+0.3</f>
        <v/>
      </c>
      <c r="R1631">
        <f>R1630+0.05</f>
        <v/>
      </c>
      <c r="S1631">
        <f>S1630+0.01</f>
        <v/>
      </c>
      <c r="T1631">
        <f>T1630+0.7</f>
        <v/>
      </c>
      <c r="U1631">
        <f>U1630+1.1</f>
        <v/>
      </c>
      <c r="V1631">
        <f>V1630+0.25</f>
        <v/>
      </c>
      <c r="W1631">
        <f>W1630+0.5</f>
        <v/>
      </c>
    </row>
    <row r="1632">
      <c r="E1632">
        <f>O1632=ROUND(1621*0.1,10)</f>
        <v/>
      </c>
      <c r="F1632">
        <f>P1632=ROUND(1621*0.2,10)</f>
        <v/>
      </c>
      <c r="G1632">
        <f>Q1632=ROUND(1621*0.3,10)</f>
        <v/>
      </c>
      <c r="H1632">
        <f>R1632=ROUND(1621*0.05,10)</f>
        <v/>
      </c>
      <c r="I1632">
        <f>S1632=ROUND(1621*0.01,10)</f>
        <v/>
      </c>
      <c r="J1632">
        <f>T1632=ROUND(1621*0.7,10)</f>
        <v/>
      </c>
      <c r="K1632">
        <f>U1632=ROUND(1621*1.1,10)</f>
        <v/>
      </c>
      <c r="L1632">
        <f>V1632=ROUND(1621*0.25,10)</f>
        <v/>
      </c>
      <c r="M1632">
        <f>W1632=ROUND(1621*0.5,10)</f>
        <v/>
      </c>
      <c r="O1632">
        <f>O1631+0.1</f>
        <v/>
      </c>
      <c r="P1632">
        <f>P1631+0.2</f>
        <v/>
      </c>
      <c r="Q1632">
        <f>Q1631+0.3</f>
        <v/>
      </c>
      <c r="R1632">
        <f>R1631+0.05</f>
        <v/>
      </c>
      <c r="S1632">
        <f>S1631+0.01</f>
        <v/>
      </c>
      <c r="T1632">
        <f>T1631+0.7</f>
        <v/>
      </c>
      <c r="U1632">
        <f>U1631+1.1</f>
        <v/>
      </c>
      <c r="V1632">
        <f>V1631+0.25</f>
        <v/>
      </c>
      <c r="W1632">
        <f>W1631+0.5</f>
        <v/>
      </c>
    </row>
    <row r="1633">
      <c r="E1633">
        <f>O1633=ROUND(1622*0.1,10)</f>
        <v/>
      </c>
      <c r="F1633">
        <f>P1633=ROUND(1622*0.2,10)</f>
        <v/>
      </c>
      <c r="G1633">
        <f>Q1633=ROUND(1622*0.3,10)</f>
        <v/>
      </c>
      <c r="H1633">
        <f>R1633=ROUND(1622*0.05,10)</f>
        <v/>
      </c>
      <c r="I1633">
        <f>S1633=ROUND(1622*0.01,10)</f>
        <v/>
      </c>
      <c r="J1633">
        <f>T1633=ROUND(1622*0.7,10)</f>
        <v/>
      </c>
      <c r="K1633">
        <f>U1633=ROUND(1622*1.1,10)</f>
        <v/>
      </c>
      <c r="L1633">
        <f>V1633=ROUND(1622*0.25,10)</f>
        <v/>
      </c>
      <c r="M1633">
        <f>W1633=ROUND(1622*0.5,10)</f>
        <v/>
      </c>
      <c r="O1633">
        <f>O1632+0.1</f>
        <v/>
      </c>
      <c r="P1633">
        <f>P1632+0.2</f>
        <v/>
      </c>
      <c r="Q1633">
        <f>Q1632+0.3</f>
        <v/>
      </c>
      <c r="R1633">
        <f>R1632+0.05</f>
        <v/>
      </c>
      <c r="S1633">
        <f>S1632+0.01</f>
        <v/>
      </c>
      <c r="T1633">
        <f>T1632+0.7</f>
        <v/>
      </c>
      <c r="U1633">
        <f>U1632+1.1</f>
        <v/>
      </c>
      <c r="V1633">
        <f>V1632+0.25</f>
        <v/>
      </c>
      <c r="W1633">
        <f>W1632+0.5</f>
        <v/>
      </c>
    </row>
    <row r="1634">
      <c r="E1634">
        <f>O1634=ROUND(1623*0.1,10)</f>
        <v/>
      </c>
      <c r="F1634">
        <f>P1634=ROUND(1623*0.2,10)</f>
        <v/>
      </c>
      <c r="G1634">
        <f>Q1634=ROUND(1623*0.3,10)</f>
        <v/>
      </c>
      <c r="H1634">
        <f>R1634=ROUND(1623*0.05,10)</f>
        <v/>
      </c>
      <c r="I1634">
        <f>S1634=ROUND(1623*0.01,10)</f>
        <v/>
      </c>
      <c r="J1634">
        <f>T1634=ROUND(1623*0.7,10)</f>
        <v/>
      </c>
      <c r="K1634">
        <f>U1634=ROUND(1623*1.1,10)</f>
        <v/>
      </c>
      <c r="L1634">
        <f>V1634=ROUND(1623*0.25,10)</f>
        <v/>
      </c>
      <c r="M1634">
        <f>W1634=ROUND(1623*0.5,10)</f>
        <v/>
      </c>
      <c r="O1634">
        <f>O1633+0.1</f>
        <v/>
      </c>
      <c r="P1634">
        <f>P1633+0.2</f>
        <v/>
      </c>
      <c r="Q1634">
        <f>Q1633+0.3</f>
        <v/>
      </c>
      <c r="R1634">
        <f>R1633+0.05</f>
        <v/>
      </c>
      <c r="S1634">
        <f>S1633+0.01</f>
        <v/>
      </c>
      <c r="T1634">
        <f>T1633+0.7</f>
        <v/>
      </c>
      <c r="U1634">
        <f>U1633+1.1</f>
        <v/>
      </c>
      <c r="V1634">
        <f>V1633+0.25</f>
        <v/>
      </c>
      <c r="W1634">
        <f>W1633+0.5</f>
        <v/>
      </c>
    </row>
    <row r="1635">
      <c r="E1635">
        <f>O1635=ROUND(1624*0.1,10)</f>
        <v/>
      </c>
      <c r="F1635">
        <f>P1635=ROUND(1624*0.2,10)</f>
        <v/>
      </c>
      <c r="G1635">
        <f>Q1635=ROUND(1624*0.3,10)</f>
        <v/>
      </c>
      <c r="H1635">
        <f>R1635=ROUND(1624*0.05,10)</f>
        <v/>
      </c>
      <c r="I1635">
        <f>S1635=ROUND(1624*0.01,10)</f>
        <v/>
      </c>
      <c r="J1635">
        <f>T1635=ROUND(1624*0.7,10)</f>
        <v/>
      </c>
      <c r="K1635">
        <f>U1635=ROUND(1624*1.1,10)</f>
        <v/>
      </c>
      <c r="L1635">
        <f>V1635=ROUND(1624*0.25,10)</f>
        <v/>
      </c>
      <c r="M1635">
        <f>W1635=ROUND(1624*0.5,10)</f>
        <v/>
      </c>
      <c r="O1635">
        <f>O1634+0.1</f>
        <v/>
      </c>
      <c r="P1635">
        <f>P1634+0.2</f>
        <v/>
      </c>
      <c r="Q1635">
        <f>Q1634+0.3</f>
        <v/>
      </c>
      <c r="R1635">
        <f>R1634+0.05</f>
        <v/>
      </c>
      <c r="S1635">
        <f>S1634+0.01</f>
        <v/>
      </c>
      <c r="T1635">
        <f>T1634+0.7</f>
        <v/>
      </c>
      <c r="U1635">
        <f>U1634+1.1</f>
        <v/>
      </c>
      <c r="V1635">
        <f>V1634+0.25</f>
        <v/>
      </c>
      <c r="W1635">
        <f>W1634+0.5</f>
        <v/>
      </c>
    </row>
    <row r="1636">
      <c r="E1636">
        <f>O1636=ROUND(1625*0.1,10)</f>
        <v/>
      </c>
      <c r="F1636">
        <f>P1636=ROUND(1625*0.2,10)</f>
        <v/>
      </c>
      <c r="G1636">
        <f>Q1636=ROUND(1625*0.3,10)</f>
        <v/>
      </c>
      <c r="H1636">
        <f>R1636=ROUND(1625*0.05,10)</f>
        <v/>
      </c>
      <c r="I1636">
        <f>S1636=ROUND(1625*0.01,10)</f>
        <v/>
      </c>
      <c r="J1636">
        <f>T1636=ROUND(1625*0.7,10)</f>
        <v/>
      </c>
      <c r="K1636">
        <f>U1636=ROUND(1625*1.1,10)</f>
        <v/>
      </c>
      <c r="L1636">
        <f>V1636=ROUND(1625*0.25,10)</f>
        <v/>
      </c>
      <c r="M1636">
        <f>W1636=ROUND(1625*0.5,10)</f>
        <v/>
      </c>
      <c r="O1636">
        <f>O1635+0.1</f>
        <v/>
      </c>
      <c r="P1636">
        <f>P1635+0.2</f>
        <v/>
      </c>
      <c r="Q1636">
        <f>Q1635+0.3</f>
        <v/>
      </c>
      <c r="R1636">
        <f>R1635+0.05</f>
        <v/>
      </c>
      <c r="S1636">
        <f>S1635+0.01</f>
        <v/>
      </c>
      <c r="T1636">
        <f>T1635+0.7</f>
        <v/>
      </c>
      <c r="U1636">
        <f>U1635+1.1</f>
        <v/>
      </c>
      <c r="V1636">
        <f>V1635+0.25</f>
        <v/>
      </c>
      <c r="W1636">
        <f>W1635+0.5</f>
        <v/>
      </c>
    </row>
    <row r="1637">
      <c r="E1637">
        <f>O1637=ROUND(1626*0.1,10)</f>
        <v/>
      </c>
      <c r="F1637">
        <f>P1637=ROUND(1626*0.2,10)</f>
        <v/>
      </c>
      <c r="G1637">
        <f>Q1637=ROUND(1626*0.3,10)</f>
        <v/>
      </c>
      <c r="H1637">
        <f>R1637=ROUND(1626*0.05,10)</f>
        <v/>
      </c>
      <c r="I1637">
        <f>S1637=ROUND(1626*0.01,10)</f>
        <v/>
      </c>
      <c r="J1637">
        <f>T1637=ROUND(1626*0.7,10)</f>
        <v/>
      </c>
      <c r="K1637">
        <f>U1637=ROUND(1626*1.1,10)</f>
        <v/>
      </c>
      <c r="L1637">
        <f>V1637=ROUND(1626*0.25,10)</f>
        <v/>
      </c>
      <c r="M1637">
        <f>W1637=ROUND(1626*0.5,10)</f>
        <v/>
      </c>
      <c r="O1637">
        <f>O1636+0.1</f>
        <v/>
      </c>
      <c r="P1637">
        <f>P1636+0.2</f>
        <v/>
      </c>
      <c r="Q1637">
        <f>Q1636+0.3</f>
        <v/>
      </c>
      <c r="R1637">
        <f>R1636+0.05</f>
        <v/>
      </c>
      <c r="S1637">
        <f>S1636+0.01</f>
        <v/>
      </c>
      <c r="T1637">
        <f>T1636+0.7</f>
        <v/>
      </c>
      <c r="U1637">
        <f>U1636+1.1</f>
        <v/>
      </c>
      <c r="V1637">
        <f>V1636+0.25</f>
        <v/>
      </c>
      <c r="W1637">
        <f>W1636+0.5</f>
        <v/>
      </c>
    </row>
    <row r="1638">
      <c r="E1638">
        <f>O1638=ROUND(1627*0.1,10)</f>
        <v/>
      </c>
      <c r="F1638">
        <f>P1638=ROUND(1627*0.2,10)</f>
        <v/>
      </c>
      <c r="G1638">
        <f>Q1638=ROUND(1627*0.3,10)</f>
        <v/>
      </c>
      <c r="H1638">
        <f>R1638=ROUND(1627*0.05,10)</f>
        <v/>
      </c>
      <c r="I1638">
        <f>S1638=ROUND(1627*0.01,10)</f>
        <v/>
      </c>
      <c r="J1638">
        <f>T1638=ROUND(1627*0.7,10)</f>
        <v/>
      </c>
      <c r="K1638">
        <f>U1638=ROUND(1627*1.1,10)</f>
        <v/>
      </c>
      <c r="L1638">
        <f>V1638=ROUND(1627*0.25,10)</f>
        <v/>
      </c>
      <c r="M1638">
        <f>W1638=ROUND(1627*0.5,10)</f>
        <v/>
      </c>
      <c r="O1638">
        <f>O1637+0.1</f>
        <v/>
      </c>
      <c r="P1638">
        <f>P1637+0.2</f>
        <v/>
      </c>
      <c r="Q1638">
        <f>Q1637+0.3</f>
        <v/>
      </c>
      <c r="R1638">
        <f>R1637+0.05</f>
        <v/>
      </c>
      <c r="S1638">
        <f>S1637+0.01</f>
        <v/>
      </c>
      <c r="T1638">
        <f>T1637+0.7</f>
        <v/>
      </c>
      <c r="U1638">
        <f>U1637+1.1</f>
        <v/>
      </c>
      <c r="V1638">
        <f>V1637+0.25</f>
        <v/>
      </c>
      <c r="W1638">
        <f>W1637+0.5</f>
        <v/>
      </c>
    </row>
    <row r="1639">
      <c r="E1639">
        <f>O1639=ROUND(1628*0.1,10)</f>
        <v/>
      </c>
      <c r="F1639">
        <f>P1639=ROUND(1628*0.2,10)</f>
        <v/>
      </c>
      <c r="G1639">
        <f>Q1639=ROUND(1628*0.3,10)</f>
        <v/>
      </c>
      <c r="H1639">
        <f>R1639=ROUND(1628*0.05,10)</f>
        <v/>
      </c>
      <c r="I1639">
        <f>S1639=ROUND(1628*0.01,10)</f>
        <v/>
      </c>
      <c r="J1639">
        <f>T1639=ROUND(1628*0.7,10)</f>
        <v/>
      </c>
      <c r="K1639">
        <f>U1639=ROUND(1628*1.1,10)</f>
        <v/>
      </c>
      <c r="L1639">
        <f>V1639=ROUND(1628*0.25,10)</f>
        <v/>
      </c>
      <c r="M1639">
        <f>W1639=ROUND(1628*0.5,10)</f>
        <v/>
      </c>
      <c r="O1639">
        <f>O1638+0.1</f>
        <v/>
      </c>
      <c r="P1639">
        <f>P1638+0.2</f>
        <v/>
      </c>
      <c r="Q1639">
        <f>Q1638+0.3</f>
        <v/>
      </c>
      <c r="R1639">
        <f>R1638+0.05</f>
        <v/>
      </c>
      <c r="S1639">
        <f>S1638+0.01</f>
        <v/>
      </c>
      <c r="T1639">
        <f>T1638+0.7</f>
        <v/>
      </c>
      <c r="U1639">
        <f>U1638+1.1</f>
        <v/>
      </c>
      <c r="V1639">
        <f>V1638+0.25</f>
        <v/>
      </c>
      <c r="W1639">
        <f>W1638+0.5</f>
        <v/>
      </c>
    </row>
    <row r="1640">
      <c r="E1640">
        <f>O1640=ROUND(1629*0.1,10)</f>
        <v/>
      </c>
      <c r="F1640">
        <f>P1640=ROUND(1629*0.2,10)</f>
        <v/>
      </c>
      <c r="G1640">
        <f>Q1640=ROUND(1629*0.3,10)</f>
        <v/>
      </c>
      <c r="H1640">
        <f>R1640=ROUND(1629*0.05,10)</f>
        <v/>
      </c>
      <c r="I1640">
        <f>S1640=ROUND(1629*0.01,10)</f>
        <v/>
      </c>
      <c r="J1640">
        <f>T1640=ROUND(1629*0.7,10)</f>
        <v/>
      </c>
      <c r="K1640">
        <f>U1640=ROUND(1629*1.1,10)</f>
        <v/>
      </c>
      <c r="L1640">
        <f>V1640=ROUND(1629*0.25,10)</f>
        <v/>
      </c>
      <c r="M1640">
        <f>W1640=ROUND(1629*0.5,10)</f>
        <v/>
      </c>
      <c r="O1640">
        <f>O1639+0.1</f>
        <v/>
      </c>
      <c r="P1640">
        <f>P1639+0.2</f>
        <v/>
      </c>
      <c r="Q1640">
        <f>Q1639+0.3</f>
        <v/>
      </c>
      <c r="R1640">
        <f>R1639+0.05</f>
        <v/>
      </c>
      <c r="S1640">
        <f>S1639+0.01</f>
        <v/>
      </c>
      <c r="T1640">
        <f>T1639+0.7</f>
        <v/>
      </c>
      <c r="U1640">
        <f>U1639+1.1</f>
        <v/>
      </c>
      <c r="V1640">
        <f>V1639+0.25</f>
        <v/>
      </c>
      <c r="W1640">
        <f>W1639+0.5</f>
        <v/>
      </c>
    </row>
    <row r="1641">
      <c r="E1641">
        <f>O1641=ROUND(1630*0.1,10)</f>
        <v/>
      </c>
      <c r="F1641">
        <f>P1641=ROUND(1630*0.2,10)</f>
        <v/>
      </c>
      <c r="G1641">
        <f>Q1641=ROUND(1630*0.3,10)</f>
        <v/>
      </c>
      <c r="H1641">
        <f>R1641=ROUND(1630*0.05,10)</f>
        <v/>
      </c>
      <c r="I1641">
        <f>S1641=ROUND(1630*0.01,10)</f>
        <v/>
      </c>
      <c r="J1641">
        <f>T1641=ROUND(1630*0.7,10)</f>
        <v/>
      </c>
      <c r="K1641">
        <f>U1641=ROUND(1630*1.1,10)</f>
        <v/>
      </c>
      <c r="L1641">
        <f>V1641=ROUND(1630*0.25,10)</f>
        <v/>
      </c>
      <c r="M1641">
        <f>W1641=ROUND(1630*0.5,10)</f>
        <v/>
      </c>
      <c r="O1641">
        <f>O1640+0.1</f>
        <v/>
      </c>
      <c r="P1641">
        <f>P1640+0.2</f>
        <v/>
      </c>
      <c r="Q1641">
        <f>Q1640+0.3</f>
        <v/>
      </c>
      <c r="R1641">
        <f>R1640+0.05</f>
        <v/>
      </c>
      <c r="S1641">
        <f>S1640+0.01</f>
        <v/>
      </c>
      <c r="T1641">
        <f>T1640+0.7</f>
        <v/>
      </c>
      <c r="U1641">
        <f>U1640+1.1</f>
        <v/>
      </c>
      <c r="V1641">
        <f>V1640+0.25</f>
        <v/>
      </c>
      <c r="W1641">
        <f>W1640+0.5</f>
        <v/>
      </c>
    </row>
    <row r="1642">
      <c r="E1642">
        <f>O1642=ROUND(1631*0.1,10)</f>
        <v/>
      </c>
      <c r="F1642">
        <f>P1642=ROUND(1631*0.2,10)</f>
        <v/>
      </c>
      <c r="G1642">
        <f>Q1642=ROUND(1631*0.3,10)</f>
        <v/>
      </c>
      <c r="H1642">
        <f>R1642=ROUND(1631*0.05,10)</f>
        <v/>
      </c>
      <c r="I1642">
        <f>S1642=ROUND(1631*0.01,10)</f>
        <v/>
      </c>
      <c r="J1642">
        <f>T1642=ROUND(1631*0.7,10)</f>
        <v/>
      </c>
      <c r="K1642">
        <f>U1642=ROUND(1631*1.1,10)</f>
        <v/>
      </c>
      <c r="L1642">
        <f>V1642=ROUND(1631*0.25,10)</f>
        <v/>
      </c>
      <c r="M1642">
        <f>W1642=ROUND(1631*0.5,10)</f>
        <v/>
      </c>
      <c r="O1642">
        <f>O1641+0.1</f>
        <v/>
      </c>
      <c r="P1642">
        <f>P1641+0.2</f>
        <v/>
      </c>
      <c r="Q1642">
        <f>Q1641+0.3</f>
        <v/>
      </c>
      <c r="R1642">
        <f>R1641+0.05</f>
        <v/>
      </c>
      <c r="S1642">
        <f>S1641+0.01</f>
        <v/>
      </c>
      <c r="T1642">
        <f>T1641+0.7</f>
        <v/>
      </c>
      <c r="U1642">
        <f>U1641+1.1</f>
        <v/>
      </c>
      <c r="V1642">
        <f>V1641+0.25</f>
        <v/>
      </c>
      <c r="W1642">
        <f>W1641+0.5</f>
        <v/>
      </c>
    </row>
    <row r="1643">
      <c r="E1643">
        <f>O1643=ROUND(1632*0.1,10)</f>
        <v/>
      </c>
      <c r="F1643">
        <f>P1643=ROUND(1632*0.2,10)</f>
        <v/>
      </c>
      <c r="G1643">
        <f>Q1643=ROUND(1632*0.3,10)</f>
        <v/>
      </c>
      <c r="H1643">
        <f>R1643=ROUND(1632*0.05,10)</f>
        <v/>
      </c>
      <c r="I1643">
        <f>S1643=ROUND(1632*0.01,10)</f>
        <v/>
      </c>
      <c r="J1643">
        <f>T1643=ROUND(1632*0.7,10)</f>
        <v/>
      </c>
      <c r="K1643">
        <f>U1643=ROUND(1632*1.1,10)</f>
        <v/>
      </c>
      <c r="L1643">
        <f>V1643=ROUND(1632*0.25,10)</f>
        <v/>
      </c>
      <c r="M1643">
        <f>W1643=ROUND(1632*0.5,10)</f>
        <v/>
      </c>
      <c r="O1643">
        <f>O1642+0.1</f>
        <v/>
      </c>
      <c r="P1643">
        <f>P1642+0.2</f>
        <v/>
      </c>
      <c r="Q1643">
        <f>Q1642+0.3</f>
        <v/>
      </c>
      <c r="R1643">
        <f>R1642+0.05</f>
        <v/>
      </c>
      <c r="S1643">
        <f>S1642+0.01</f>
        <v/>
      </c>
      <c r="T1643">
        <f>T1642+0.7</f>
        <v/>
      </c>
      <c r="U1643">
        <f>U1642+1.1</f>
        <v/>
      </c>
      <c r="V1643">
        <f>V1642+0.25</f>
        <v/>
      </c>
      <c r="W1643">
        <f>W1642+0.5</f>
        <v/>
      </c>
    </row>
    <row r="1644">
      <c r="E1644">
        <f>O1644=ROUND(1633*0.1,10)</f>
        <v/>
      </c>
      <c r="F1644">
        <f>P1644=ROUND(1633*0.2,10)</f>
        <v/>
      </c>
      <c r="G1644">
        <f>Q1644=ROUND(1633*0.3,10)</f>
        <v/>
      </c>
      <c r="H1644">
        <f>R1644=ROUND(1633*0.05,10)</f>
        <v/>
      </c>
      <c r="I1644">
        <f>S1644=ROUND(1633*0.01,10)</f>
        <v/>
      </c>
      <c r="J1644">
        <f>T1644=ROUND(1633*0.7,10)</f>
        <v/>
      </c>
      <c r="K1644">
        <f>U1644=ROUND(1633*1.1,10)</f>
        <v/>
      </c>
      <c r="L1644">
        <f>V1644=ROUND(1633*0.25,10)</f>
        <v/>
      </c>
      <c r="M1644">
        <f>W1644=ROUND(1633*0.5,10)</f>
        <v/>
      </c>
      <c r="O1644">
        <f>O1643+0.1</f>
        <v/>
      </c>
      <c r="P1644">
        <f>P1643+0.2</f>
        <v/>
      </c>
      <c r="Q1644">
        <f>Q1643+0.3</f>
        <v/>
      </c>
      <c r="R1644">
        <f>R1643+0.05</f>
        <v/>
      </c>
      <c r="S1644">
        <f>S1643+0.01</f>
        <v/>
      </c>
      <c r="T1644">
        <f>T1643+0.7</f>
        <v/>
      </c>
      <c r="U1644">
        <f>U1643+1.1</f>
        <v/>
      </c>
      <c r="V1644">
        <f>V1643+0.25</f>
        <v/>
      </c>
      <c r="W1644">
        <f>W1643+0.5</f>
        <v/>
      </c>
    </row>
    <row r="1645">
      <c r="E1645">
        <f>O1645=ROUND(1634*0.1,10)</f>
        <v/>
      </c>
      <c r="F1645">
        <f>P1645=ROUND(1634*0.2,10)</f>
        <v/>
      </c>
      <c r="G1645">
        <f>Q1645=ROUND(1634*0.3,10)</f>
        <v/>
      </c>
      <c r="H1645">
        <f>R1645=ROUND(1634*0.05,10)</f>
        <v/>
      </c>
      <c r="I1645">
        <f>S1645=ROUND(1634*0.01,10)</f>
        <v/>
      </c>
      <c r="J1645">
        <f>T1645=ROUND(1634*0.7,10)</f>
        <v/>
      </c>
      <c r="K1645">
        <f>U1645=ROUND(1634*1.1,10)</f>
        <v/>
      </c>
      <c r="L1645">
        <f>V1645=ROUND(1634*0.25,10)</f>
        <v/>
      </c>
      <c r="M1645">
        <f>W1645=ROUND(1634*0.5,10)</f>
        <v/>
      </c>
      <c r="O1645">
        <f>O1644+0.1</f>
        <v/>
      </c>
      <c r="P1645">
        <f>P1644+0.2</f>
        <v/>
      </c>
      <c r="Q1645">
        <f>Q1644+0.3</f>
        <v/>
      </c>
      <c r="R1645">
        <f>R1644+0.05</f>
        <v/>
      </c>
      <c r="S1645">
        <f>S1644+0.01</f>
        <v/>
      </c>
      <c r="T1645">
        <f>T1644+0.7</f>
        <v/>
      </c>
      <c r="U1645">
        <f>U1644+1.1</f>
        <v/>
      </c>
      <c r="V1645">
        <f>V1644+0.25</f>
        <v/>
      </c>
      <c r="W1645">
        <f>W1644+0.5</f>
        <v/>
      </c>
    </row>
    <row r="1646">
      <c r="E1646">
        <f>O1646=ROUND(1635*0.1,10)</f>
        <v/>
      </c>
      <c r="F1646">
        <f>P1646=ROUND(1635*0.2,10)</f>
        <v/>
      </c>
      <c r="G1646">
        <f>Q1646=ROUND(1635*0.3,10)</f>
        <v/>
      </c>
      <c r="H1646">
        <f>R1646=ROUND(1635*0.05,10)</f>
        <v/>
      </c>
      <c r="I1646">
        <f>S1646=ROUND(1635*0.01,10)</f>
        <v/>
      </c>
      <c r="J1646">
        <f>T1646=ROUND(1635*0.7,10)</f>
        <v/>
      </c>
      <c r="K1646">
        <f>U1646=ROUND(1635*1.1,10)</f>
        <v/>
      </c>
      <c r="L1646">
        <f>V1646=ROUND(1635*0.25,10)</f>
        <v/>
      </c>
      <c r="M1646">
        <f>W1646=ROUND(1635*0.5,10)</f>
        <v/>
      </c>
      <c r="O1646">
        <f>O1645+0.1</f>
        <v/>
      </c>
      <c r="P1646">
        <f>P1645+0.2</f>
        <v/>
      </c>
      <c r="Q1646">
        <f>Q1645+0.3</f>
        <v/>
      </c>
      <c r="R1646">
        <f>R1645+0.05</f>
        <v/>
      </c>
      <c r="S1646">
        <f>S1645+0.01</f>
        <v/>
      </c>
      <c r="T1646">
        <f>T1645+0.7</f>
        <v/>
      </c>
      <c r="U1646">
        <f>U1645+1.1</f>
        <v/>
      </c>
      <c r="V1646">
        <f>V1645+0.25</f>
        <v/>
      </c>
      <c r="W1646">
        <f>W1645+0.5</f>
        <v/>
      </c>
    </row>
    <row r="1647">
      <c r="E1647">
        <f>O1647=ROUND(1636*0.1,10)</f>
        <v/>
      </c>
      <c r="F1647">
        <f>P1647=ROUND(1636*0.2,10)</f>
        <v/>
      </c>
      <c r="G1647">
        <f>Q1647=ROUND(1636*0.3,10)</f>
        <v/>
      </c>
      <c r="H1647">
        <f>R1647=ROUND(1636*0.05,10)</f>
        <v/>
      </c>
      <c r="I1647">
        <f>S1647=ROUND(1636*0.01,10)</f>
        <v/>
      </c>
      <c r="J1647">
        <f>T1647=ROUND(1636*0.7,10)</f>
        <v/>
      </c>
      <c r="K1647">
        <f>U1647=ROUND(1636*1.1,10)</f>
        <v/>
      </c>
      <c r="L1647">
        <f>V1647=ROUND(1636*0.25,10)</f>
        <v/>
      </c>
      <c r="M1647">
        <f>W1647=ROUND(1636*0.5,10)</f>
        <v/>
      </c>
      <c r="O1647">
        <f>O1646+0.1</f>
        <v/>
      </c>
      <c r="P1647">
        <f>P1646+0.2</f>
        <v/>
      </c>
      <c r="Q1647">
        <f>Q1646+0.3</f>
        <v/>
      </c>
      <c r="R1647">
        <f>R1646+0.05</f>
        <v/>
      </c>
      <c r="S1647">
        <f>S1646+0.01</f>
        <v/>
      </c>
      <c r="T1647">
        <f>T1646+0.7</f>
        <v/>
      </c>
      <c r="U1647">
        <f>U1646+1.1</f>
        <v/>
      </c>
      <c r="V1647">
        <f>V1646+0.25</f>
        <v/>
      </c>
      <c r="W1647">
        <f>W1646+0.5</f>
        <v/>
      </c>
    </row>
    <row r="1648">
      <c r="E1648">
        <f>O1648=ROUND(1637*0.1,10)</f>
        <v/>
      </c>
      <c r="F1648">
        <f>P1648=ROUND(1637*0.2,10)</f>
        <v/>
      </c>
      <c r="G1648">
        <f>Q1648=ROUND(1637*0.3,10)</f>
        <v/>
      </c>
      <c r="H1648">
        <f>R1648=ROUND(1637*0.05,10)</f>
        <v/>
      </c>
      <c r="I1648">
        <f>S1648=ROUND(1637*0.01,10)</f>
        <v/>
      </c>
      <c r="J1648">
        <f>T1648=ROUND(1637*0.7,10)</f>
        <v/>
      </c>
      <c r="K1648">
        <f>U1648=ROUND(1637*1.1,10)</f>
        <v/>
      </c>
      <c r="L1648">
        <f>V1648=ROUND(1637*0.25,10)</f>
        <v/>
      </c>
      <c r="M1648">
        <f>W1648=ROUND(1637*0.5,10)</f>
        <v/>
      </c>
      <c r="O1648">
        <f>O1647+0.1</f>
        <v/>
      </c>
      <c r="P1648">
        <f>P1647+0.2</f>
        <v/>
      </c>
      <c r="Q1648">
        <f>Q1647+0.3</f>
        <v/>
      </c>
      <c r="R1648">
        <f>R1647+0.05</f>
        <v/>
      </c>
      <c r="S1648">
        <f>S1647+0.01</f>
        <v/>
      </c>
      <c r="T1648">
        <f>T1647+0.7</f>
        <v/>
      </c>
      <c r="U1648">
        <f>U1647+1.1</f>
        <v/>
      </c>
      <c r="V1648">
        <f>V1647+0.25</f>
        <v/>
      </c>
      <c r="W1648">
        <f>W1647+0.5</f>
        <v/>
      </c>
    </row>
    <row r="1649">
      <c r="E1649">
        <f>O1649=ROUND(1638*0.1,10)</f>
        <v/>
      </c>
      <c r="F1649">
        <f>P1649=ROUND(1638*0.2,10)</f>
        <v/>
      </c>
      <c r="G1649">
        <f>Q1649=ROUND(1638*0.3,10)</f>
        <v/>
      </c>
      <c r="H1649">
        <f>R1649=ROUND(1638*0.05,10)</f>
        <v/>
      </c>
      <c r="I1649">
        <f>S1649=ROUND(1638*0.01,10)</f>
        <v/>
      </c>
      <c r="J1649">
        <f>T1649=ROUND(1638*0.7,10)</f>
        <v/>
      </c>
      <c r="K1649">
        <f>U1649=ROUND(1638*1.1,10)</f>
        <v/>
      </c>
      <c r="L1649">
        <f>V1649=ROUND(1638*0.25,10)</f>
        <v/>
      </c>
      <c r="M1649">
        <f>W1649=ROUND(1638*0.5,10)</f>
        <v/>
      </c>
      <c r="O1649">
        <f>O1648+0.1</f>
        <v/>
      </c>
      <c r="P1649">
        <f>P1648+0.2</f>
        <v/>
      </c>
      <c r="Q1649">
        <f>Q1648+0.3</f>
        <v/>
      </c>
      <c r="R1649">
        <f>R1648+0.05</f>
        <v/>
      </c>
      <c r="S1649">
        <f>S1648+0.01</f>
        <v/>
      </c>
      <c r="T1649">
        <f>T1648+0.7</f>
        <v/>
      </c>
      <c r="U1649">
        <f>U1648+1.1</f>
        <v/>
      </c>
      <c r="V1649">
        <f>V1648+0.25</f>
        <v/>
      </c>
      <c r="W1649">
        <f>W1648+0.5</f>
        <v/>
      </c>
    </row>
    <row r="1650">
      <c r="E1650">
        <f>O1650=ROUND(1639*0.1,10)</f>
        <v/>
      </c>
      <c r="F1650">
        <f>P1650=ROUND(1639*0.2,10)</f>
        <v/>
      </c>
      <c r="G1650">
        <f>Q1650=ROUND(1639*0.3,10)</f>
        <v/>
      </c>
      <c r="H1650">
        <f>R1650=ROUND(1639*0.05,10)</f>
        <v/>
      </c>
      <c r="I1650">
        <f>S1650=ROUND(1639*0.01,10)</f>
        <v/>
      </c>
      <c r="J1650">
        <f>T1650=ROUND(1639*0.7,10)</f>
        <v/>
      </c>
      <c r="K1650">
        <f>U1650=ROUND(1639*1.1,10)</f>
        <v/>
      </c>
      <c r="L1650">
        <f>V1650=ROUND(1639*0.25,10)</f>
        <v/>
      </c>
      <c r="M1650">
        <f>W1650=ROUND(1639*0.5,10)</f>
        <v/>
      </c>
      <c r="O1650">
        <f>O1649+0.1</f>
        <v/>
      </c>
      <c r="P1650">
        <f>P1649+0.2</f>
        <v/>
      </c>
      <c r="Q1650">
        <f>Q1649+0.3</f>
        <v/>
      </c>
      <c r="R1650">
        <f>R1649+0.05</f>
        <v/>
      </c>
      <c r="S1650">
        <f>S1649+0.01</f>
        <v/>
      </c>
      <c r="T1650">
        <f>T1649+0.7</f>
        <v/>
      </c>
      <c r="U1650">
        <f>U1649+1.1</f>
        <v/>
      </c>
      <c r="V1650">
        <f>V1649+0.25</f>
        <v/>
      </c>
      <c r="W1650">
        <f>W1649+0.5</f>
        <v/>
      </c>
    </row>
    <row r="1651">
      <c r="E1651">
        <f>O1651=ROUND(1640*0.1,10)</f>
        <v/>
      </c>
      <c r="F1651">
        <f>P1651=ROUND(1640*0.2,10)</f>
        <v/>
      </c>
      <c r="G1651">
        <f>Q1651=ROUND(1640*0.3,10)</f>
        <v/>
      </c>
      <c r="H1651">
        <f>R1651=ROUND(1640*0.05,10)</f>
        <v/>
      </c>
      <c r="I1651">
        <f>S1651=ROUND(1640*0.01,10)</f>
        <v/>
      </c>
      <c r="J1651">
        <f>T1651=ROUND(1640*0.7,10)</f>
        <v/>
      </c>
      <c r="K1651">
        <f>U1651=ROUND(1640*1.1,10)</f>
        <v/>
      </c>
      <c r="L1651">
        <f>V1651=ROUND(1640*0.25,10)</f>
        <v/>
      </c>
      <c r="M1651">
        <f>W1651=ROUND(1640*0.5,10)</f>
        <v/>
      </c>
      <c r="O1651">
        <f>O1650+0.1</f>
        <v/>
      </c>
      <c r="P1651">
        <f>P1650+0.2</f>
        <v/>
      </c>
      <c r="Q1651">
        <f>Q1650+0.3</f>
        <v/>
      </c>
      <c r="R1651">
        <f>R1650+0.05</f>
        <v/>
      </c>
      <c r="S1651">
        <f>S1650+0.01</f>
        <v/>
      </c>
      <c r="T1651">
        <f>T1650+0.7</f>
        <v/>
      </c>
      <c r="U1651">
        <f>U1650+1.1</f>
        <v/>
      </c>
      <c r="V1651">
        <f>V1650+0.25</f>
        <v/>
      </c>
      <c r="W1651">
        <f>W1650+0.5</f>
        <v/>
      </c>
    </row>
    <row r="1652">
      <c r="E1652">
        <f>O1652=ROUND(1641*0.1,10)</f>
        <v/>
      </c>
      <c r="F1652">
        <f>P1652=ROUND(1641*0.2,10)</f>
        <v/>
      </c>
      <c r="G1652">
        <f>Q1652=ROUND(1641*0.3,10)</f>
        <v/>
      </c>
      <c r="H1652">
        <f>R1652=ROUND(1641*0.05,10)</f>
        <v/>
      </c>
      <c r="I1652">
        <f>S1652=ROUND(1641*0.01,10)</f>
        <v/>
      </c>
      <c r="J1652">
        <f>T1652=ROUND(1641*0.7,10)</f>
        <v/>
      </c>
      <c r="K1652">
        <f>U1652=ROUND(1641*1.1,10)</f>
        <v/>
      </c>
      <c r="L1652">
        <f>V1652=ROUND(1641*0.25,10)</f>
        <v/>
      </c>
      <c r="M1652">
        <f>W1652=ROUND(1641*0.5,10)</f>
        <v/>
      </c>
      <c r="O1652">
        <f>O1651+0.1</f>
        <v/>
      </c>
      <c r="P1652">
        <f>P1651+0.2</f>
        <v/>
      </c>
      <c r="Q1652">
        <f>Q1651+0.3</f>
        <v/>
      </c>
      <c r="R1652">
        <f>R1651+0.05</f>
        <v/>
      </c>
      <c r="S1652">
        <f>S1651+0.01</f>
        <v/>
      </c>
      <c r="T1652">
        <f>T1651+0.7</f>
        <v/>
      </c>
      <c r="U1652">
        <f>U1651+1.1</f>
        <v/>
      </c>
      <c r="V1652">
        <f>V1651+0.25</f>
        <v/>
      </c>
      <c r="W1652">
        <f>W1651+0.5</f>
        <v/>
      </c>
    </row>
    <row r="1653">
      <c r="E1653">
        <f>O1653=ROUND(1642*0.1,10)</f>
        <v/>
      </c>
      <c r="F1653">
        <f>P1653=ROUND(1642*0.2,10)</f>
        <v/>
      </c>
      <c r="G1653">
        <f>Q1653=ROUND(1642*0.3,10)</f>
        <v/>
      </c>
      <c r="H1653">
        <f>R1653=ROUND(1642*0.05,10)</f>
        <v/>
      </c>
      <c r="I1653">
        <f>S1653=ROUND(1642*0.01,10)</f>
        <v/>
      </c>
      <c r="J1653">
        <f>T1653=ROUND(1642*0.7,10)</f>
        <v/>
      </c>
      <c r="K1653">
        <f>U1653=ROUND(1642*1.1,10)</f>
        <v/>
      </c>
      <c r="L1653">
        <f>V1653=ROUND(1642*0.25,10)</f>
        <v/>
      </c>
      <c r="M1653">
        <f>W1653=ROUND(1642*0.5,10)</f>
        <v/>
      </c>
      <c r="O1653">
        <f>O1652+0.1</f>
        <v/>
      </c>
      <c r="P1653">
        <f>P1652+0.2</f>
        <v/>
      </c>
      <c r="Q1653">
        <f>Q1652+0.3</f>
        <v/>
      </c>
      <c r="R1653">
        <f>R1652+0.05</f>
        <v/>
      </c>
      <c r="S1653">
        <f>S1652+0.01</f>
        <v/>
      </c>
      <c r="T1653">
        <f>T1652+0.7</f>
        <v/>
      </c>
      <c r="U1653">
        <f>U1652+1.1</f>
        <v/>
      </c>
      <c r="V1653">
        <f>V1652+0.25</f>
        <v/>
      </c>
      <c r="W1653">
        <f>W1652+0.5</f>
        <v/>
      </c>
    </row>
    <row r="1654">
      <c r="E1654">
        <f>O1654=ROUND(1643*0.1,10)</f>
        <v/>
      </c>
      <c r="F1654">
        <f>P1654=ROUND(1643*0.2,10)</f>
        <v/>
      </c>
      <c r="G1654">
        <f>Q1654=ROUND(1643*0.3,10)</f>
        <v/>
      </c>
      <c r="H1654">
        <f>R1654=ROUND(1643*0.05,10)</f>
        <v/>
      </c>
      <c r="I1654">
        <f>S1654=ROUND(1643*0.01,10)</f>
        <v/>
      </c>
      <c r="J1654">
        <f>T1654=ROUND(1643*0.7,10)</f>
        <v/>
      </c>
      <c r="K1654">
        <f>U1654=ROUND(1643*1.1,10)</f>
        <v/>
      </c>
      <c r="L1654">
        <f>V1654=ROUND(1643*0.25,10)</f>
        <v/>
      </c>
      <c r="M1654">
        <f>W1654=ROUND(1643*0.5,10)</f>
        <v/>
      </c>
      <c r="O1654">
        <f>O1653+0.1</f>
        <v/>
      </c>
      <c r="P1654">
        <f>P1653+0.2</f>
        <v/>
      </c>
      <c r="Q1654">
        <f>Q1653+0.3</f>
        <v/>
      </c>
      <c r="R1654">
        <f>R1653+0.05</f>
        <v/>
      </c>
      <c r="S1654">
        <f>S1653+0.01</f>
        <v/>
      </c>
      <c r="T1654">
        <f>T1653+0.7</f>
        <v/>
      </c>
      <c r="U1654">
        <f>U1653+1.1</f>
        <v/>
      </c>
      <c r="V1654">
        <f>V1653+0.25</f>
        <v/>
      </c>
      <c r="W1654">
        <f>W1653+0.5</f>
        <v/>
      </c>
    </row>
    <row r="1655">
      <c r="E1655">
        <f>O1655=ROUND(1644*0.1,10)</f>
        <v/>
      </c>
      <c r="F1655">
        <f>P1655=ROUND(1644*0.2,10)</f>
        <v/>
      </c>
      <c r="G1655">
        <f>Q1655=ROUND(1644*0.3,10)</f>
        <v/>
      </c>
      <c r="H1655">
        <f>R1655=ROUND(1644*0.05,10)</f>
        <v/>
      </c>
      <c r="I1655">
        <f>S1655=ROUND(1644*0.01,10)</f>
        <v/>
      </c>
      <c r="J1655">
        <f>T1655=ROUND(1644*0.7,10)</f>
        <v/>
      </c>
      <c r="K1655">
        <f>U1655=ROUND(1644*1.1,10)</f>
        <v/>
      </c>
      <c r="L1655">
        <f>V1655=ROUND(1644*0.25,10)</f>
        <v/>
      </c>
      <c r="M1655">
        <f>W1655=ROUND(1644*0.5,10)</f>
        <v/>
      </c>
      <c r="O1655">
        <f>O1654+0.1</f>
        <v/>
      </c>
      <c r="P1655">
        <f>P1654+0.2</f>
        <v/>
      </c>
      <c r="Q1655">
        <f>Q1654+0.3</f>
        <v/>
      </c>
      <c r="R1655">
        <f>R1654+0.05</f>
        <v/>
      </c>
      <c r="S1655">
        <f>S1654+0.01</f>
        <v/>
      </c>
      <c r="T1655">
        <f>T1654+0.7</f>
        <v/>
      </c>
      <c r="U1655">
        <f>U1654+1.1</f>
        <v/>
      </c>
      <c r="V1655">
        <f>V1654+0.25</f>
        <v/>
      </c>
      <c r="W1655">
        <f>W1654+0.5</f>
        <v/>
      </c>
    </row>
    <row r="1656">
      <c r="E1656">
        <f>O1656=ROUND(1645*0.1,10)</f>
        <v/>
      </c>
      <c r="F1656">
        <f>P1656=ROUND(1645*0.2,10)</f>
        <v/>
      </c>
      <c r="G1656">
        <f>Q1656=ROUND(1645*0.3,10)</f>
        <v/>
      </c>
      <c r="H1656">
        <f>R1656=ROUND(1645*0.05,10)</f>
        <v/>
      </c>
      <c r="I1656">
        <f>S1656=ROUND(1645*0.01,10)</f>
        <v/>
      </c>
      <c r="J1656">
        <f>T1656=ROUND(1645*0.7,10)</f>
        <v/>
      </c>
      <c r="K1656">
        <f>U1656=ROUND(1645*1.1,10)</f>
        <v/>
      </c>
      <c r="L1656">
        <f>V1656=ROUND(1645*0.25,10)</f>
        <v/>
      </c>
      <c r="M1656">
        <f>W1656=ROUND(1645*0.5,10)</f>
        <v/>
      </c>
      <c r="O1656">
        <f>O1655+0.1</f>
        <v/>
      </c>
      <c r="P1656">
        <f>P1655+0.2</f>
        <v/>
      </c>
      <c r="Q1656">
        <f>Q1655+0.3</f>
        <v/>
      </c>
      <c r="R1656">
        <f>R1655+0.05</f>
        <v/>
      </c>
      <c r="S1656">
        <f>S1655+0.01</f>
        <v/>
      </c>
      <c r="T1656">
        <f>T1655+0.7</f>
        <v/>
      </c>
      <c r="U1656">
        <f>U1655+1.1</f>
        <v/>
      </c>
      <c r="V1656">
        <f>V1655+0.25</f>
        <v/>
      </c>
      <c r="W1656">
        <f>W1655+0.5</f>
        <v/>
      </c>
    </row>
    <row r="1657">
      <c r="E1657">
        <f>O1657=ROUND(1646*0.1,10)</f>
        <v/>
      </c>
      <c r="F1657">
        <f>P1657=ROUND(1646*0.2,10)</f>
        <v/>
      </c>
      <c r="G1657">
        <f>Q1657=ROUND(1646*0.3,10)</f>
        <v/>
      </c>
      <c r="H1657">
        <f>R1657=ROUND(1646*0.05,10)</f>
        <v/>
      </c>
      <c r="I1657">
        <f>S1657=ROUND(1646*0.01,10)</f>
        <v/>
      </c>
      <c r="J1657">
        <f>T1657=ROUND(1646*0.7,10)</f>
        <v/>
      </c>
      <c r="K1657">
        <f>U1657=ROUND(1646*1.1,10)</f>
        <v/>
      </c>
      <c r="L1657">
        <f>V1657=ROUND(1646*0.25,10)</f>
        <v/>
      </c>
      <c r="M1657">
        <f>W1657=ROUND(1646*0.5,10)</f>
        <v/>
      </c>
      <c r="O1657">
        <f>O1656+0.1</f>
        <v/>
      </c>
      <c r="P1657">
        <f>P1656+0.2</f>
        <v/>
      </c>
      <c r="Q1657">
        <f>Q1656+0.3</f>
        <v/>
      </c>
      <c r="R1657">
        <f>R1656+0.05</f>
        <v/>
      </c>
      <c r="S1657">
        <f>S1656+0.01</f>
        <v/>
      </c>
      <c r="T1657">
        <f>T1656+0.7</f>
        <v/>
      </c>
      <c r="U1657">
        <f>U1656+1.1</f>
        <v/>
      </c>
      <c r="V1657">
        <f>V1656+0.25</f>
        <v/>
      </c>
      <c r="W1657">
        <f>W1656+0.5</f>
        <v/>
      </c>
    </row>
    <row r="1658">
      <c r="E1658">
        <f>O1658=ROUND(1647*0.1,10)</f>
        <v/>
      </c>
      <c r="F1658">
        <f>P1658=ROUND(1647*0.2,10)</f>
        <v/>
      </c>
      <c r="G1658">
        <f>Q1658=ROUND(1647*0.3,10)</f>
        <v/>
      </c>
      <c r="H1658">
        <f>R1658=ROUND(1647*0.05,10)</f>
        <v/>
      </c>
      <c r="I1658">
        <f>S1658=ROUND(1647*0.01,10)</f>
        <v/>
      </c>
      <c r="J1658">
        <f>T1658=ROUND(1647*0.7,10)</f>
        <v/>
      </c>
      <c r="K1658">
        <f>U1658=ROUND(1647*1.1,10)</f>
        <v/>
      </c>
      <c r="L1658">
        <f>V1658=ROUND(1647*0.25,10)</f>
        <v/>
      </c>
      <c r="M1658">
        <f>W1658=ROUND(1647*0.5,10)</f>
        <v/>
      </c>
      <c r="O1658">
        <f>O1657+0.1</f>
        <v/>
      </c>
      <c r="P1658">
        <f>P1657+0.2</f>
        <v/>
      </c>
      <c r="Q1658">
        <f>Q1657+0.3</f>
        <v/>
      </c>
      <c r="R1658">
        <f>R1657+0.05</f>
        <v/>
      </c>
      <c r="S1658">
        <f>S1657+0.01</f>
        <v/>
      </c>
      <c r="T1658">
        <f>T1657+0.7</f>
        <v/>
      </c>
      <c r="U1658">
        <f>U1657+1.1</f>
        <v/>
      </c>
      <c r="V1658">
        <f>V1657+0.25</f>
        <v/>
      </c>
      <c r="W1658">
        <f>W1657+0.5</f>
        <v/>
      </c>
    </row>
    <row r="1659">
      <c r="E1659">
        <f>O1659=ROUND(1648*0.1,10)</f>
        <v/>
      </c>
      <c r="F1659">
        <f>P1659=ROUND(1648*0.2,10)</f>
        <v/>
      </c>
      <c r="G1659">
        <f>Q1659=ROUND(1648*0.3,10)</f>
        <v/>
      </c>
      <c r="H1659">
        <f>R1659=ROUND(1648*0.05,10)</f>
        <v/>
      </c>
      <c r="I1659">
        <f>S1659=ROUND(1648*0.01,10)</f>
        <v/>
      </c>
      <c r="J1659">
        <f>T1659=ROUND(1648*0.7,10)</f>
        <v/>
      </c>
      <c r="K1659">
        <f>U1659=ROUND(1648*1.1,10)</f>
        <v/>
      </c>
      <c r="L1659">
        <f>V1659=ROUND(1648*0.25,10)</f>
        <v/>
      </c>
      <c r="M1659">
        <f>W1659=ROUND(1648*0.5,10)</f>
        <v/>
      </c>
      <c r="O1659">
        <f>O1658+0.1</f>
        <v/>
      </c>
      <c r="P1659">
        <f>P1658+0.2</f>
        <v/>
      </c>
      <c r="Q1659">
        <f>Q1658+0.3</f>
        <v/>
      </c>
      <c r="R1659">
        <f>R1658+0.05</f>
        <v/>
      </c>
      <c r="S1659">
        <f>S1658+0.01</f>
        <v/>
      </c>
      <c r="T1659">
        <f>T1658+0.7</f>
        <v/>
      </c>
      <c r="U1659">
        <f>U1658+1.1</f>
        <v/>
      </c>
      <c r="V1659">
        <f>V1658+0.25</f>
        <v/>
      </c>
      <c r="W1659">
        <f>W1658+0.5</f>
        <v/>
      </c>
    </row>
    <row r="1660">
      <c r="E1660">
        <f>O1660=ROUND(1649*0.1,10)</f>
        <v/>
      </c>
      <c r="F1660">
        <f>P1660=ROUND(1649*0.2,10)</f>
        <v/>
      </c>
      <c r="G1660">
        <f>Q1660=ROUND(1649*0.3,10)</f>
        <v/>
      </c>
      <c r="H1660">
        <f>R1660=ROUND(1649*0.05,10)</f>
        <v/>
      </c>
      <c r="I1660">
        <f>S1660=ROUND(1649*0.01,10)</f>
        <v/>
      </c>
      <c r="J1660">
        <f>T1660=ROUND(1649*0.7,10)</f>
        <v/>
      </c>
      <c r="K1660">
        <f>U1660=ROUND(1649*1.1,10)</f>
        <v/>
      </c>
      <c r="L1660">
        <f>V1660=ROUND(1649*0.25,10)</f>
        <v/>
      </c>
      <c r="M1660">
        <f>W1660=ROUND(1649*0.5,10)</f>
        <v/>
      </c>
      <c r="O1660">
        <f>O1659+0.1</f>
        <v/>
      </c>
      <c r="P1660">
        <f>P1659+0.2</f>
        <v/>
      </c>
      <c r="Q1660">
        <f>Q1659+0.3</f>
        <v/>
      </c>
      <c r="R1660">
        <f>R1659+0.05</f>
        <v/>
      </c>
      <c r="S1660">
        <f>S1659+0.01</f>
        <v/>
      </c>
      <c r="T1660">
        <f>T1659+0.7</f>
        <v/>
      </c>
      <c r="U1660">
        <f>U1659+1.1</f>
        <v/>
      </c>
      <c r="V1660">
        <f>V1659+0.25</f>
        <v/>
      </c>
      <c r="W1660">
        <f>W1659+0.5</f>
        <v/>
      </c>
    </row>
    <row r="1661">
      <c r="E1661">
        <f>O1661=ROUND(1650*0.1,10)</f>
        <v/>
      </c>
      <c r="F1661">
        <f>P1661=ROUND(1650*0.2,10)</f>
        <v/>
      </c>
      <c r="G1661">
        <f>Q1661=ROUND(1650*0.3,10)</f>
        <v/>
      </c>
      <c r="H1661">
        <f>R1661=ROUND(1650*0.05,10)</f>
        <v/>
      </c>
      <c r="I1661">
        <f>S1661=ROUND(1650*0.01,10)</f>
        <v/>
      </c>
      <c r="J1661">
        <f>T1661=ROUND(1650*0.7,10)</f>
        <v/>
      </c>
      <c r="K1661">
        <f>U1661=ROUND(1650*1.1,10)</f>
        <v/>
      </c>
      <c r="L1661">
        <f>V1661=ROUND(1650*0.25,10)</f>
        <v/>
      </c>
      <c r="M1661">
        <f>W1661=ROUND(1650*0.5,10)</f>
        <v/>
      </c>
      <c r="O1661">
        <f>O1660+0.1</f>
        <v/>
      </c>
      <c r="P1661">
        <f>P1660+0.2</f>
        <v/>
      </c>
      <c r="Q1661">
        <f>Q1660+0.3</f>
        <v/>
      </c>
      <c r="R1661">
        <f>R1660+0.05</f>
        <v/>
      </c>
      <c r="S1661">
        <f>S1660+0.01</f>
        <v/>
      </c>
      <c r="T1661">
        <f>T1660+0.7</f>
        <v/>
      </c>
      <c r="U1661">
        <f>U1660+1.1</f>
        <v/>
      </c>
      <c r="V1661">
        <f>V1660+0.25</f>
        <v/>
      </c>
      <c r="W1661">
        <f>W1660+0.5</f>
        <v/>
      </c>
    </row>
    <row r="1662">
      <c r="E1662">
        <f>O1662=ROUND(1651*0.1,10)</f>
        <v/>
      </c>
      <c r="F1662">
        <f>P1662=ROUND(1651*0.2,10)</f>
        <v/>
      </c>
      <c r="G1662">
        <f>Q1662=ROUND(1651*0.3,10)</f>
        <v/>
      </c>
      <c r="H1662">
        <f>R1662=ROUND(1651*0.05,10)</f>
        <v/>
      </c>
      <c r="I1662">
        <f>S1662=ROUND(1651*0.01,10)</f>
        <v/>
      </c>
      <c r="J1662">
        <f>T1662=ROUND(1651*0.7,10)</f>
        <v/>
      </c>
      <c r="K1662">
        <f>U1662=ROUND(1651*1.1,10)</f>
        <v/>
      </c>
      <c r="L1662">
        <f>V1662=ROUND(1651*0.25,10)</f>
        <v/>
      </c>
      <c r="M1662">
        <f>W1662=ROUND(1651*0.5,10)</f>
        <v/>
      </c>
      <c r="O1662">
        <f>O1661+0.1</f>
        <v/>
      </c>
      <c r="P1662">
        <f>P1661+0.2</f>
        <v/>
      </c>
      <c r="Q1662">
        <f>Q1661+0.3</f>
        <v/>
      </c>
      <c r="R1662">
        <f>R1661+0.05</f>
        <v/>
      </c>
      <c r="S1662">
        <f>S1661+0.01</f>
        <v/>
      </c>
      <c r="T1662">
        <f>T1661+0.7</f>
        <v/>
      </c>
      <c r="U1662">
        <f>U1661+1.1</f>
        <v/>
      </c>
      <c r="V1662">
        <f>V1661+0.25</f>
        <v/>
      </c>
      <c r="W1662">
        <f>W1661+0.5</f>
        <v/>
      </c>
    </row>
    <row r="1663">
      <c r="E1663">
        <f>O1663=ROUND(1652*0.1,10)</f>
        <v/>
      </c>
      <c r="F1663">
        <f>P1663=ROUND(1652*0.2,10)</f>
        <v/>
      </c>
      <c r="G1663">
        <f>Q1663=ROUND(1652*0.3,10)</f>
        <v/>
      </c>
      <c r="H1663">
        <f>R1663=ROUND(1652*0.05,10)</f>
        <v/>
      </c>
      <c r="I1663">
        <f>S1663=ROUND(1652*0.01,10)</f>
        <v/>
      </c>
      <c r="J1663">
        <f>T1663=ROUND(1652*0.7,10)</f>
        <v/>
      </c>
      <c r="K1663">
        <f>U1663=ROUND(1652*1.1,10)</f>
        <v/>
      </c>
      <c r="L1663">
        <f>V1663=ROUND(1652*0.25,10)</f>
        <v/>
      </c>
      <c r="M1663">
        <f>W1663=ROUND(1652*0.5,10)</f>
        <v/>
      </c>
      <c r="O1663">
        <f>O1662+0.1</f>
        <v/>
      </c>
      <c r="P1663">
        <f>P1662+0.2</f>
        <v/>
      </c>
      <c r="Q1663">
        <f>Q1662+0.3</f>
        <v/>
      </c>
      <c r="R1663">
        <f>R1662+0.05</f>
        <v/>
      </c>
      <c r="S1663">
        <f>S1662+0.01</f>
        <v/>
      </c>
      <c r="T1663">
        <f>T1662+0.7</f>
        <v/>
      </c>
      <c r="U1663">
        <f>U1662+1.1</f>
        <v/>
      </c>
      <c r="V1663">
        <f>V1662+0.25</f>
        <v/>
      </c>
      <c r="W1663">
        <f>W1662+0.5</f>
        <v/>
      </c>
    </row>
    <row r="1664">
      <c r="E1664">
        <f>O1664=ROUND(1653*0.1,10)</f>
        <v/>
      </c>
      <c r="F1664">
        <f>P1664=ROUND(1653*0.2,10)</f>
        <v/>
      </c>
      <c r="G1664">
        <f>Q1664=ROUND(1653*0.3,10)</f>
        <v/>
      </c>
      <c r="H1664">
        <f>R1664=ROUND(1653*0.05,10)</f>
        <v/>
      </c>
      <c r="I1664">
        <f>S1664=ROUND(1653*0.01,10)</f>
        <v/>
      </c>
      <c r="J1664">
        <f>T1664=ROUND(1653*0.7,10)</f>
        <v/>
      </c>
      <c r="K1664">
        <f>U1664=ROUND(1653*1.1,10)</f>
        <v/>
      </c>
      <c r="L1664">
        <f>V1664=ROUND(1653*0.25,10)</f>
        <v/>
      </c>
      <c r="M1664">
        <f>W1664=ROUND(1653*0.5,10)</f>
        <v/>
      </c>
      <c r="O1664">
        <f>O1663+0.1</f>
        <v/>
      </c>
      <c r="P1664">
        <f>P1663+0.2</f>
        <v/>
      </c>
      <c r="Q1664">
        <f>Q1663+0.3</f>
        <v/>
      </c>
      <c r="R1664">
        <f>R1663+0.05</f>
        <v/>
      </c>
      <c r="S1664">
        <f>S1663+0.01</f>
        <v/>
      </c>
      <c r="T1664">
        <f>T1663+0.7</f>
        <v/>
      </c>
      <c r="U1664">
        <f>U1663+1.1</f>
        <v/>
      </c>
      <c r="V1664">
        <f>V1663+0.25</f>
        <v/>
      </c>
      <c r="W1664">
        <f>W1663+0.5</f>
        <v/>
      </c>
    </row>
    <row r="1665">
      <c r="E1665">
        <f>O1665=ROUND(1654*0.1,10)</f>
        <v/>
      </c>
      <c r="F1665">
        <f>P1665=ROUND(1654*0.2,10)</f>
        <v/>
      </c>
      <c r="G1665">
        <f>Q1665=ROUND(1654*0.3,10)</f>
        <v/>
      </c>
      <c r="H1665">
        <f>R1665=ROUND(1654*0.05,10)</f>
        <v/>
      </c>
      <c r="I1665">
        <f>S1665=ROUND(1654*0.01,10)</f>
        <v/>
      </c>
      <c r="J1665">
        <f>T1665=ROUND(1654*0.7,10)</f>
        <v/>
      </c>
      <c r="K1665">
        <f>U1665=ROUND(1654*1.1,10)</f>
        <v/>
      </c>
      <c r="L1665">
        <f>V1665=ROUND(1654*0.25,10)</f>
        <v/>
      </c>
      <c r="M1665">
        <f>W1665=ROUND(1654*0.5,10)</f>
        <v/>
      </c>
      <c r="O1665">
        <f>O1664+0.1</f>
        <v/>
      </c>
      <c r="P1665">
        <f>P1664+0.2</f>
        <v/>
      </c>
      <c r="Q1665">
        <f>Q1664+0.3</f>
        <v/>
      </c>
      <c r="R1665">
        <f>R1664+0.05</f>
        <v/>
      </c>
      <c r="S1665">
        <f>S1664+0.01</f>
        <v/>
      </c>
      <c r="T1665">
        <f>T1664+0.7</f>
        <v/>
      </c>
      <c r="U1665">
        <f>U1664+1.1</f>
        <v/>
      </c>
      <c r="V1665">
        <f>V1664+0.25</f>
        <v/>
      </c>
      <c r="W1665">
        <f>W1664+0.5</f>
        <v/>
      </c>
    </row>
    <row r="1666">
      <c r="E1666">
        <f>O1666=ROUND(1655*0.1,10)</f>
        <v/>
      </c>
      <c r="F1666">
        <f>P1666=ROUND(1655*0.2,10)</f>
        <v/>
      </c>
      <c r="G1666">
        <f>Q1666=ROUND(1655*0.3,10)</f>
        <v/>
      </c>
      <c r="H1666">
        <f>R1666=ROUND(1655*0.05,10)</f>
        <v/>
      </c>
      <c r="I1666">
        <f>S1666=ROUND(1655*0.01,10)</f>
        <v/>
      </c>
      <c r="J1666">
        <f>T1666=ROUND(1655*0.7,10)</f>
        <v/>
      </c>
      <c r="K1666">
        <f>U1666=ROUND(1655*1.1,10)</f>
        <v/>
      </c>
      <c r="L1666">
        <f>V1666=ROUND(1655*0.25,10)</f>
        <v/>
      </c>
      <c r="M1666">
        <f>W1666=ROUND(1655*0.5,10)</f>
        <v/>
      </c>
      <c r="O1666">
        <f>O1665+0.1</f>
        <v/>
      </c>
      <c r="P1666">
        <f>P1665+0.2</f>
        <v/>
      </c>
      <c r="Q1666">
        <f>Q1665+0.3</f>
        <v/>
      </c>
      <c r="R1666">
        <f>R1665+0.05</f>
        <v/>
      </c>
      <c r="S1666">
        <f>S1665+0.01</f>
        <v/>
      </c>
      <c r="T1666">
        <f>T1665+0.7</f>
        <v/>
      </c>
      <c r="U1666">
        <f>U1665+1.1</f>
        <v/>
      </c>
      <c r="V1666">
        <f>V1665+0.25</f>
        <v/>
      </c>
      <c r="W1666">
        <f>W1665+0.5</f>
        <v/>
      </c>
    </row>
    <row r="1667">
      <c r="E1667">
        <f>O1667=ROUND(1656*0.1,10)</f>
        <v/>
      </c>
      <c r="F1667">
        <f>P1667=ROUND(1656*0.2,10)</f>
        <v/>
      </c>
      <c r="G1667">
        <f>Q1667=ROUND(1656*0.3,10)</f>
        <v/>
      </c>
      <c r="H1667">
        <f>R1667=ROUND(1656*0.05,10)</f>
        <v/>
      </c>
      <c r="I1667">
        <f>S1667=ROUND(1656*0.01,10)</f>
        <v/>
      </c>
      <c r="J1667">
        <f>T1667=ROUND(1656*0.7,10)</f>
        <v/>
      </c>
      <c r="K1667">
        <f>U1667=ROUND(1656*1.1,10)</f>
        <v/>
      </c>
      <c r="L1667">
        <f>V1667=ROUND(1656*0.25,10)</f>
        <v/>
      </c>
      <c r="M1667">
        <f>W1667=ROUND(1656*0.5,10)</f>
        <v/>
      </c>
      <c r="O1667">
        <f>O1666+0.1</f>
        <v/>
      </c>
      <c r="P1667">
        <f>P1666+0.2</f>
        <v/>
      </c>
      <c r="Q1667">
        <f>Q1666+0.3</f>
        <v/>
      </c>
      <c r="R1667">
        <f>R1666+0.05</f>
        <v/>
      </c>
      <c r="S1667">
        <f>S1666+0.01</f>
        <v/>
      </c>
      <c r="T1667">
        <f>T1666+0.7</f>
        <v/>
      </c>
      <c r="U1667">
        <f>U1666+1.1</f>
        <v/>
      </c>
      <c r="V1667">
        <f>V1666+0.25</f>
        <v/>
      </c>
      <c r="W1667">
        <f>W1666+0.5</f>
        <v/>
      </c>
    </row>
    <row r="1668">
      <c r="E1668">
        <f>O1668=ROUND(1657*0.1,10)</f>
        <v/>
      </c>
      <c r="F1668">
        <f>P1668=ROUND(1657*0.2,10)</f>
        <v/>
      </c>
      <c r="G1668">
        <f>Q1668=ROUND(1657*0.3,10)</f>
        <v/>
      </c>
      <c r="H1668">
        <f>R1668=ROUND(1657*0.05,10)</f>
        <v/>
      </c>
      <c r="I1668">
        <f>S1668=ROUND(1657*0.01,10)</f>
        <v/>
      </c>
      <c r="J1668">
        <f>T1668=ROUND(1657*0.7,10)</f>
        <v/>
      </c>
      <c r="K1668">
        <f>U1668=ROUND(1657*1.1,10)</f>
        <v/>
      </c>
      <c r="L1668">
        <f>V1668=ROUND(1657*0.25,10)</f>
        <v/>
      </c>
      <c r="M1668">
        <f>W1668=ROUND(1657*0.5,10)</f>
        <v/>
      </c>
      <c r="O1668">
        <f>O1667+0.1</f>
        <v/>
      </c>
      <c r="P1668">
        <f>P1667+0.2</f>
        <v/>
      </c>
      <c r="Q1668">
        <f>Q1667+0.3</f>
        <v/>
      </c>
      <c r="R1668">
        <f>R1667+0.05</f>
        <v/>
      </c>
      <c r="S1668">
        <f>S1667+0.01</f>
        <v/>
      </c>
      <c r="T1668">
        <f>T1667+0.7</f>
        <v/>
      </c>
      <c r="U1668">
        <f>U1667+1.1</f>
        <v/>
      </c>
      <c r="V1668">
        <f>V1667+0.25</f>
        <v/>
      </c>
      <c r="W1668">
        <f>W1667+0.5</f>
        <v/>
      </c>
    </row>
    <row r="1669">
      <c r="E1669">
        <f>O1669=ROUND(1658*0.1,10)</f>
        <v/>
      </c>
      <c r="F1669">
        <f>P1669=ROUND(1658*0.2,10)</f>
        <v/>
      </c>
      <c r="G1669">
        <f>Q1669=ROUND(1658*0.3,10)</f>
        <v/>
      </c>
      <c r="H1669">
        <f>R1669=ROUND(1658*0.05,10)</f>
        <v/>
      </c>
      <c r="I1669">
        <f>S1669=ROUND(1658*0.01,10)</f>
        <v/>
      </c>
      <c r="J1669">
        <f>T1669=ROUND(1658*0.7,10)</f>
        <v/>
      </c>
      <c r="K1669">
        <f>U1669=ROUND(1658*1.1,10)</f>
        <v/>
      </c>
      <c r="L1669">
        <f>V1669=ROUND(1658*0.25,10)</f>
        <v/>
      </c>
      <c r="M1669">
        <f>W1669=ROUND(1658*0.5,10)</f>
        <v/>
      </c>
      <c r="O1669">
        <f>O1668+0.1</f>
        <v/>
      </c>
      <c r="P1669">
        <f>P1668+0.2</f>
        <v/>
      </c>
      <c r="Q1669">
        <f>Q1668+0.3</f>
        <v/>
      </c>
      <c r="R1669">
        <f>R1668+0.05</f>
        <v/>
      </c>
      <c r="S1669">
        <f>S1668+0.01</f>
        <v/>
      </c>
      <c r="T1669">
        <f>T1668+0.7</f>
        <v/>
      </c>
      <c r="U1669">
        <f>U1668+1.1</f>
        <v/>
      </c>
      <c r="V1669">
        <f>V1668+0.25</f>
        <v/>
      </c>
      <c r="W1669">
        <f>W1668+0.5</f>
        <v/>
      </c>
    </row>
    <row r="1670">
      <c r="E1670">
        <f>O1670=ROUND(1659*0.1,10)</f>
        <v/>
      </c>
      <c r="F1670">
        <f>P1670=ROUND(1659*0.2,10)</f>
        <v/>
      </c>
      <c r="G1670">
        <f>Q1670=ROUND(1659*0.3,10)</f>
        <v/>
      </c>
      <c r="H1670">
        <f>R1670=ROUND(1659*0.05,10)</f>
        <v/>
      </c>
      <c r="I1670">
        <f>S1670=ROUND(1659*0.01,10)</f>
        <v/>
      </c>
      <c r="J1670">
        <f>T1670=ROUND(1659*0.7,10)</f>
        <v/>
      </c>
      <c r="K1670">
        <f>U1670=ROUND(1659*1.1,10)</f>
        <v/>
      </c>
      <c r="L1670">
        <f>V1670=ROUND(1659*0.25,10)</f>
        <v/>
      </c>
      <c r="M1670">
        <f>W1670=ROUND(1659*0.5,10)</f>
        <v/>
      </c>
      <c r="O1670">
        <f>O1669+0.1</f>
        <v/>
      </c>
      <c r="P1670">
        <f>P1669+0.2</f>
        <v/>
      </c>
      <c r="Q1670">
        <f>Q1669+0.3</f>
        <v/>
      </c>
      <c r="R1670">
        <f>R1669+0.05</f>
        <v/>
      </c>
      <c r="S1670">
        <f>S1669+0.01</f>
        <v/>
      </c>
      <c r="T1670">
        <f>T1669+0.7</f>
        <v/>
      </c>
      <c r="U1670">
        <f>U1669+1.1</f>
        <v/>
      </c>
      <c r="V1670">
        <f>V1669+0.25</f>
        <v/>
      </c>
      <c r="W1670">
        <f>W1669+0.5</f>
        <v/>
      </c>
    </row>
    <row r="1671">
      <c r="E1671">
        <f>O1671=ROUND(1660*0.1,10)</f>
        <v/>
      </c>
      <c r="F1671">
        <f>P1671=ROUND(1660*0.2,10)</f>
        <v/>
      </c>
      <c r="G1671">
        <f>Q1671=ROUND(1660*0.3,10)</f>
        <v/>
      </c>
      <c r="H1671">
        <f>R1671=ROUND(1660*0.05,10)</f>
        <v/>
      </c>
      <c r="I1671">
        <f>S1671=ROUND(1660*0.01,10)</f>
        <v/>
      </c>
      <c r="J1671">
        <f>T1671=ROUND(1660*0.7,10)</f>
        <v/>
      </c>
      <c r="K1671">
        <f>U1671=ROUND(1660*1.1,10)</f>
        <v/>
      </c>
      <c r="L1671">
        <f>V1671=ROUND(1660*0.25,10)</f>
        <v/>
      </c>
      <c r="M1671">
        <f>W1671=ROUND(1660*0.5,10)</f>
        <v/>
      </c>
      <c r="O1671">
        <f>O1670+0.1</f>
        <v/>
      </c>
      <c r="P1671">
        <f>P1670+0.2</f>
        <v/>
      </c>
      <c r="Q1671">
        <f>Q1670+0.3</f>
        <v/>
      </c>
      <c r="R1671">
        <f>R1670+0.05</f>
        <v/>
      </c>
      <c r="S1671">
        <f>S1670+0.01</f>
        <v/>
      </c>
      <c r="T1671">
        <f>T1670+0.7</f>
        <v/>
      </c>
      <c r="U1671">
        <f>U1670+1.1</f>
        <v/>
      </c>
      <c r="V1671">
        <f>V1670+0.25</f>
        <v/>
      </c>
      <c r="W1671">
        <f>W1670+0.5</f>
        <v/>
      </c>
    </row>
    <row r="1672">
      <c r="E1672">
        <f>O1672=ROUND(1661*0.1,10)</f>
        <v/>
      </c>
      <c r="F1672">
        <f>P1672=ROUND(1661*0.2,10)</f>
        <v/>
      </c>
      <c r="G1672">
        <f>Q1672=ROUND(1661*0.3,10)</f>
        <v/>
      </c>
      <c r="H1672">
        <f>R1672=ROUND(1661*0.05,10)</f>
        <v/>
      </c>
      <c r="I1672">
        <f>S1672=ROUND(1661*0.01,10)</f>
        <v/>
      </c>
      <c r="J1672">
        <f>T1672=ROUND(1661*0.7,10)</f>
        <v/>
      </c>
      <c r="K1672">
        <f>U1672=ROUND(1661*1.1,10)</f>
        <v/>
      </c>
      <c r="L1672">
        <f>V1672=ROUND(1661*0.25,10)</f>
        <v/>
      </c>
      <c r="M1672">
        <f>W1672=ROUND(1661*0.5,10)</f>
        <v/>
      </c>
      <c r="O1672">
        <f>O1671+0.1</f>
        <v/>
      </c>
      <c r="P1672">
        <f>P1671+0.2</f>
        <v/>
      </c>
      <c r="Q1672">
        <f>Q1671+0.3</f>
        <v/>
      </c>
      <c r="R1672">
        <f>R1671+0.05</f>
        <v/>
      </c>
      <c r="S1672">
        <f>S1671+0.01</f>
        <v/>
      </c>
      <c r="T1672">
        <f>T1671+0.7</f>
        <v/>
      </c>
      <c r="U1672">
        <f>U1671+1.1</f>
        <v/>
      </c>
      <c r="V1672">
        <f>V1671+0.25</f>
        <v/>
      </c>
      <c r="W1672">
        <f>W1671+0.5</f>
        <v/>
      </c>
    </row>
    <row r="1673">
      <c r="E1673">
        <f>O1673=ROUND(1662*0.1,10)</f>
        <v/>
      </c>
      <c r="F1673">
        <f>P1673=ROUND(1662*0.2,10)</f>
        <v/>
      </c>
      <c r="G1673">
        <f>Q1673=ROUND(1662*0.3,10)</f>
        <v/>
      </c>
      <c r="H1673">
        <f>R1673=ROUND(1662*0.05,10)</f>
        <v/>
      </c>
      <c r="I1673">
        <f>S1673=ROUND(1662*0.01,10)</f>
        <v/>
      </c>
      <c r="J1673">
        <f>T1673=ROUND(1662*0.7,10)</f>
        <v/>
      </c>
      <c r="K1673">
        <f>U1673=ROUND(1662*1.1,10)</f>
        <v/>
      </c>
      <c r="L1673">
        <f>V1673=ROUND(1662*0.25,10)</f>
        <v/>
      </c>
      <c r="M1673">
        <f>W1673=ROUND(1662*0.5,10)</f>
        <v/>
      </c>
      <c r="O1673">
        <f>O1672+0.1</f>
        <v/>
      </c>
      <c r="P1673">
        <f>P1672+0.2</f>
        <v/>
      </c>
      <c r="Q1673">
        <f>Q1672+0.3</f>
        <v/>
      </c>
      <c r="R1673">
        <f>R1672+0.05</f>
        <v/>
      </c>
      <c r="S1673">
        <f>S1672+0.01</f>
        <v/>
      </c>
      <c r="T1673">
        <f>T1672+0.7</f>
        <v/>
      </c>
      <c r="U1673">
        <f>U1672+1.1</f>
        <v/>
      </c>
      <c r="V1673">
        <f>V1672+0.25</f>
        <v/>
      </c>
      <c r="W1673">
        <f>W1672+0.5</f>
        <v/>
      </c>
    </row>
    <row r="1674">
      <c r="E1674">
        <f>O1674=ROUND(1663*0.1,10)</f>
        <v/>
      </c>
      <c r="F1674">
        <f>P1674=ROUND(1663*0.2,10)</f>
        <v/>
      </c>
      <c r="G1674">
        <f>Q1674=ROUND(1663*0.3,10)</f>
        <v/>
      </c>
      <c r="H1674">
        <f>R1674=ROUND(1663*0.05,10)</f>
        <v/>
      </c>
      <c r="I1674">
        <f>S1674=ROUND(1663*0.01,10)</f>
        <v/>
      </c>
      <c r="J1674">
        <f>T1674=ROUND(1663*0.7,10)</f>
        <v/>
      </c>
      <c r="K1674">
        <f>U1674=ROUND(1663*1.1,10)</f>
        <v/>
      </c>
      <c r="L1674">
        <f>V1674=ROUND(1663*0.25,10)</f>
        <v/>
      </c>
      <c r="M1674">
        <f>W1674=ROUND(1663*0.5,10)</f>
        <v/>
      </c>
      <c r="O1674">
        <f>O1673+0.1</f>
        <v/>
      </c>
      <c r="P1674">
        <f>P1673+0.2</f>
        <v/>
      </c>
      <c r="Q1674">
        <f>Q1673+0.3</f>
        <v/>
      </c>
      <c r="R1674">
        <f>R1673+0.05</f>
        <v/>
      </c>
      <c r="S1674">
        <f>S1673+0.01</f>
        <v/>
      </c>
      <c r="T1674">
        <f>T1673+0.7</f>
        <v/>
      </c>
      <c r="U1674">
        <f>U1673+1.1</f>
        <v/>
      </c>
      <c r="V1674">
        <f>V1673+0.25</f>
        <v/>
      </c>
      <c r="W1674">
        <f>W1673+0.5</f>
        <v/>
      </c>
    </row>
    <row r="1675">
      <c r="E1675">
        <f>O1675=ROUND(1664*0.1,10)</f>
        <v/>
      </c>
      <c r="F1675">
        <f>P1675=ROUND(1664*0.2,10)</f>
        <v/>
      </c>
      <c r="G1675">
        <f>Q1675=ROUND(1664*0.3,10)</f>
        <v/>
      </c>
      <c r="H1675">
        <f>R1675=ROUND(1664*0.05,10)</f>
        <v/>
      </c>
      <c r="I1675">
        <f>S1675=ROUND(1664*0.01,10)</f>
        <v/>
      </c>
      <c r="J1675">
        <f>T1675=ROUND(1664*0.7,10)</f>
        <v/>
      </c>
      <c r="K1675">
        <f>U1675=ROUND(1664*1.1,10)</f>
        <v/>
      </c>
      <c r="L1675">
        <f>V1675=ROUND(1664*0.25,10)</f>
        <v/>
      </c>
      <c r="M1675">
        <f>W1675=ROUND(1664*0.5,10)</f>
        <v/>
      </c>
      <c r="O1675">
        <f>O1674+0.1</f>
        <v/>
      </c>
      <c r="P1675">
        <f>P1674+0.2</f>
        <v/>
      </c>
      <c r="Q1675">
        <f>Q1674+0.3</f>
        <v/>
      </c>
      <c r="R1675">
        <f>R1674+0.05</f>
        <v/>
      </c>
      <c r="S1675">
        <f>S1674+0.01</f>
        <v/>
      </c>
      <c r="T1675">
        <f>T1674+0.7</f>
        <v/>
      </c>
      <c r="U1675">
        <f>U1674+1.1</f>
        <v/>
      </c>
      <c r="V1675">
        <f>V1674+0.25</f>
        <v/>
      </c>
      <c r="W1675">
        <f>W1674+0.5</f>
        <v/>
      </c>
    </row>
    <row r="1676">
      <c r="E1676">
        <f>O1676=ROUND(1665*0.1,10)</f>
        <v/>
      </c>
      <c r="F1676">
        <f>P1676=ROUND(1665*0.2,10)</f>
        <v/>
      </c>
      <c r="G1676">
        <f>Q1676=ROUND(1665*0.3,10)</f>
        <v/>
      </c>
      <c r="H1676">
        <f>R1676=ROUND(1665*0.05,10)</f>
        <v/>
      </c>
      <c r="I1676">
        <f>S1676=ROUND(1665*0.01,10)</f>
        <v/>
      </c>
      <c r="J1676">
        <f>T1676=ROUND(1665*0.7,10)</f>
        <v/>
      </c>
      <c r="K1676">
        <f>U1676=ROUND(1665*1.1,10)</f>
        <v/>
      </c>
      <c r="L1676">
        <f>V1676=ROUND(1665*0.25,10)</f>
        <v/>
      </c>
      <c r="M1676">
        <f>W1676=ROUND(1665*0.5,10)</f>
        <v/>
      </c>
      <c r="O1676">
        <f>O1675+0.1</f>
        <v/>
      </c>
      <c r="P1676">
        <f>P1675+0.2</f>
        <v/>
      </c>
      <c r="Q1676">
        <f>Q1675+0.3</f>
        <v/>
      </c>
      <c r="R1676">
        <f>R1675+0.05</f>
        <v/>
      </c>
      <c r="S1676">
        <f>S1675+0.01</f>
        <v/>
      </c>
      <c r="T1676">
        <f>T1675+0.7</f>
        <v/>
      </c>
      <c r="U1676">
        <f>U1675+1.1</f>
        <v/>
      </c>
      <c r="V1676">
        <f>V1675+0.25</f>
        <v/>
      </c>
      <c r="W1676">
        <f>W1675+0.5</f>
        <v/>
      </c>
    </row>
    <row r="1677">
      <c r="E1677">
        <f>O1677=ROUND(1666*0.1,10)</f>
        <v/>
      </c>
      <c r="F1677">
        <f>P1677=ROUND(1666*0.2,10)</f>
        <v/>
      </c>
      <c r="G1677">
        <f>Q1677=ROUND(1666*0.3,10)</f>
        <v/>
      </c>
      <c r="H1677">
        <f>R1677=ROUND(1666*0.05,10)</f>
        <v/>
      </c>
      <c r="I1677">
        <f>S1677=ROUND(1666*0.01,10)</f>
        <v/>
      </c>
      <c r="J1677">
        <f>T1677=ROUND(1666*0.7,10)</f>
        <v/>
      </c>
      <c r="K1677">
        <f>U1677=ROUND(1666*1.1,10)</f>
        <v/>
      </c>
      <c r="L1677">
        <f>V1677=ROUND(1666*0.25,10)</f>
        <v/>
      </c>
      <c r="M1677">
        <f>W1677=ROUND(1666*0.5,10)</f>
        <v/>
      </c>
      <c r="O1677">
        <f>O1676+0.1</f>
        <v/>
      </c>
      <c r="P1677">
        <f>P1676+0.2</f>
        <v/>
      </c>
      <c r="Q1677">
        <f>Q1676+0.3</f>
        <v/>
      </c>
      <c r="R1677">
        <f>R1676+0.05</f>
        <v/>
      </c>
      <c r="S1677">
        <f>S1676+0.01</f>
        <v/>
      </c>
      <c r="T1677">
        <f>T1676+0.7</f>
        <v/>
      </c>
      <c r="U1677">
        <f>U1676+1.1</f>
        <v/>
      </c>
      <c r="V1677">
        <f>V1676+0.25</f>
        <v/>
      </c>
      <c r="W1677">
        <f>W1676+0.5</f>
        <v/>
      </c>
    </row>
    <row r="1678">
      <c r="E1678">
        <f>O1678=ROUND(1667*0.1,10)</f>
        <v/>
      </c>
      <c r="F1678">
        <f>P1678=ROUND(1667*0.2,10)</f>
        <v/>
      </c>
      <c r="G1678">
        <f>Q1678=ROUND(1667*0.3,10)</f>
        <v/>
      </c>
      <c r="H1678">
        <f>R1678=ROUND(1667*0.05,10)</f>
        <v/>
      </c>
      <c r="I1678">
        <f>S1678=ROUND(1667*0.01,10)</f>
        <v/>
      </c>
      <c r="J1678">
        <f>T1678=ROUND(1667*0.7,10)</f>
        <v/>
      </c>
      <c r="K1678">
        <f>U1678=ROUND(1667*1.1,10)</f>
        <v/>
      </c>
      <c r="L1678">
        <f>V1678=ROUND(1667*0.25,10)</f>
        <v/>
      </c>
      <c r="M1678">
        <f>W1678=ROUND(1667*0.5,10)</f>
        <v/>
      </c>
      <c r="O1678">
        <f>O1677+0.1</f>
        <v/>
      </c>
      <c r="P1678">
        <f>P1677+0.2</f>
        <v/>
      </c>
      <c r="Q1678">
        <f>Q1677+0.3</f>
        <v/>
      </c>
      <c r="R1678">
        <f>R1677+0.05</f>
        <v/>
      </c>
      <c r="S1678">
        <f>S1677+0.01</f>
        <v/>
      </c>
      <c r="T1678">
        <f>T1677+0.7</f>
        <v/>
      </c>
      <c r="U1678">
        <f>U1677+1.1</f>
        <v/>
      </c>
      <c r="V1678">
        <f>V1677+0.25</f>
        <v/>
      </c>
      <c r="W1678">
        <f>W1677+0.5</f>
        <v/>
      </c>
    </row>
    <row r="1679">
      <c r="E1679">
        <f>O1679=ROUND(1668*0.1,10)</f>
        <v/>
      </c>
      <c r="F1679">
        <f>P1679=ROUND(1668*0.2,10)</f>
        <v/>
      </c>
      <c r="G1679">
        <f>Q1679=ROUND(1668*0.3,10)</f>
        <v/>
      </c>
      <c r="H1679">
        <f>R1679=ROUND(1668*0.05,10)</f>
        <v/>
      </c>
      <c r="I1679">
        <f>S1679=ROUND(1668*0.01,10)</f>
        <v/>
      </c>
      <c r="J1679">
        <f>T1679=ROUND(1668*0.7,10)</f>
        <v/>
      </c>
      <c r="K1679">
        <f>U1679=ROUND(1668*1.1,10)</f>
        <v/>
      </c>
      <c r="L1679">
        <f>V1679=ROUND(1668*0.25,10)</f>
        <v/>
      </c>
      <c r="M1679">
        <f>W1679=ROUND(1668*0.5,10)</f>
        <v/>
      </c>
      <c r="O1679">
        <f>O1678+0.1</f>
        <v/>
      </c>
      <c r="P1679">
        <f>P1678+0.2</f>
        <v/>
      </c>
      <c r="Q1679">
        <f>Q1678+0.3</f>
        <v/>
      </c>
      <c r="R1679">
        <f>R1678+0.05</f>
        <v/>
      </c>
      <c r="S1679">
        <f>S1678+0.01</f>
        <v/>
      </c>
      <c r="T1679">
        <f>T1678+0.7</f>
        <v/>
      </c>
      <c r="U1679">
        <f>U1678+1.1</f>
        <v/>
      </c>
      <c r="V1679">
        <f>V1678+0.25</f>
        <v/>
      </c>
      <c r="W1679">
        <f>W1678+0.5</f>
        <v/>
      </c>
    </row>
    <row r="1680">
      <c r="E1680">
        <f>O1680=ROUND(1669*0.1,10)</f>
        <v/>
      </c>
      <c r="F1680">
        <f>P1680=ROUND(1669*0.2,10)</f>
        <v/>
      </c>
      <c r="G1680">
        <f>Q1680=ROUND(1669*0.3,10)</f>
        <v/>
      </c>
      <c r="H1680">
        <f>R1680=ROUND(1669*0.05,10)</f>
        <v/>
      </c>
      <c r="I1680">
        <f>S1680=ROUND(1669*0.01,10)</f>
        <v/>
      </c>
      <c r="J1680">
        <f>T1680=ROUND(1669*0.7,10)</f>
        <v/>
      </c>
      <c r="K1680">
        <f>U1680=ROUND(1669*1.1,10)</f>
        <v/>
      </c>
      <c r="L1680">
        <f>V1680=ROUND(1669*0.25,10)</f>
        <v/>
      </c>
      <c r="M1680">
        <f>W1680=ROUND(1669*0.5,10)</f>
        <v/>
      </c>
      <c r="O1680">
        <f>O1679+0.1</f>
        <v/>
      </c>
      <c r="P1680">
        <f>P1679+0.2</f>
        <v/>
      </c>
      <c r="Q1680">
        <f>Q1679+0.3</f>
        <v/>
      </c>
      <c r="R1680">
        <f>R1679+0.05</f>
        <v/>
      </c>
      <c r="S1680">
        <f>S1679+0.01</f>
        <v/>
      </c>
      <c r="T1680">
        <f>T1679+0.7</f>
        <v/>
      </c>
      <c r="U1680">
        <f>U1679+1.1</f>
        <v/>
      </c>
      <c r="V1680">
        <f>V1679+0.25</f>
        <v/>
      </c>
      <c r="W1680">
        <f>W1679+0.5</f>
        <v/>
      </c>
    </row>
    <row r="1681">
      <c r="E1681">
        <f>O1681=ROUND(1670*0.1,10)</f>
        <v/>
      </c>
      <c r="F1681">
        <f>P1681=ROUND(1670*0.2,10)</f>
        <v/>
      </c>
      <c r="G1681">
        <f>Q1681=ROUND(1670*0.3,10)</f>
        <v/>
      </c>
      <c r="H1681">
        <f>R1681=ROUND(1670*0.05,10)</f>
        <v/>
      </c>
      <c r="I1681">
        <f>S1681=ROUND(1670*0.01,10)</f>
        <v/>
      </c>
      <c r="J1681">
        <f>T1681=ROUND(1670*0.7,10)</f>
        <v/>
      </c>
      <c r="K1681">
        <f>U1681=ROUND(1670*1.1,10)</f>
        <v/>
      </c>
      <c r="L1681">
        <f>V1681=ROUND(1670*0.25,10)</f>
        <v/>
      </c>
      <c r="M1681">
        <f>W1681=ROUND(1670*0.5,10)</f>
        <v/>
      </c>
      <c r="O1681">
        <f>O1680+0.1</f>
        <v/>
      </c>
      <c r="P1681">
        <f>P1680+0.2</f>
        <v/>
      </c>
      <c r="Q1681">
        <f>Q1680+0.3</f>
        <v/>
      </c>
      <c r="R1681">
        <f>R1680+0.05</f>
        <v/>
      </c>
      <c r="S1681">
        <f>S1680+0.01</f>
        <v/>
      </c>
      <c r="T1681">
        <f>T1680+0.7</f>
        <v/>
      </c>
      <c r="U1681">
        <f>U1680+1.1</f>
        <v/>
      </c>
      <c r="V1681">
        <f>V1680+0.25</f>
        <v/>
      </c>
      <c r="W1681">
        <f>W1680+0.5</f>
        <v/>
      </c>
    </row>
    <row r="1682">
      <c r="E1682">
        <f>O1682=ROUND(1671*0.1,10)</f>
        <v/>
      </c>
      <c r="F1682">
        <f>P1682=ROUND(1671*0.2,10)</f>
        <v/>
      </c>
      <c r="G1682">
        <f>Q1682=ROUND(1671*0.3,10)</f>
        <v/>
      </c>
      <c r="H1682">
        <f>R1682=ROUND(1671*0.05,10)</f>
        <v/>
      </c>
      <c r="I1682">
        <f>S1682=ROUND(1671*0.01,10)</f>
        <v/>
      </c>
      <c r="J1682">
        <f>T1682=ROUND(1671*0.7,10)</f>
        <v/>
      </c>
      <c r="K1682">
        <f>U1682=ROUND(1671*1.1,10)</f>
        <v/>
      </c>
      <c r="L1682">
        <f>V1682=ROUND(1671*0.25,10)</f>
        <v/>
      </c>
      <c r="M1682">
        <f>W1682=ROUND(1671*0.5,10)</f>
        <v/>
      </c>
      <c r="O1682">
        <f>O1681+0.1</f>
        <v/>
      </c>
      <c r="P1682">
        <f>P1681+0.2</f>
        <v/>
      </c>
      <c r="Q1682">
        <f>Q1681+0.3</f>
        <v/>
      </c>
      <c r="R1682">
        <f>R1681+0.05</f>
        <v/>
      </c>
      <c r="S1682">
        <f>S1681+0.01</f>
        <v/>
      </c>
      <c r="T1682">
        <f>T1681+0.7</f>
        <v/>
      </c>
      <c r="U1682">
        <f>U1681+1.1</f>
        <v/>
      </c>
      <c r="V1682">
        <f>V1681+0.25</f>
        <v/>
      </c>
      <c r="W1682">
        <f>W1681+0.5</f>
        <v/>
      </c>
    </row>
    <row r="1683">
      <c r="E1683">
        <f>O1683=ROUND(1672*0.1,10)</f>
        <v/>
      </c>
      <c r="F1683">
        <f>P1683=ROUND(1672*0.2,10)</f>
        <v/>
      </c>
      <c r="G1683">
        <f>Q1683=ROUND(1672*0.3,10)</f>
        <v/>
      </c>
      <c r="H1683">
        <f>R1683=ROUND(1672*0.05,10)</f>
        <v/>
      </c>
      <c r="I1683">
        <f>S1683=ROUND(1672*0.01,10)</f>
        <v/>
      </c>
      <c r="J1683">
        <f>T1683=ROUND(1672*0.7,10)</f>
        <v/>
      </c>
      <c r="K1683">
        <f>U1683=ROUND(1672*1.1,10)</f>
        <v/>
      </c>
      <c r="L1683">
        <f>V1683=ROUND(1672*0.25,10)</f>
        <v/>
      </c>
      <c r="M1683">
        <f>W1683=ROUND(1672*0.5,10)</f>
        <v/>
      </c>
      <c r="O1683">
        <f>O1682+0.1</f>
        <v/>
      </c>
      <c r="P1683">
        <f>P1682+0.2</f>
        <v/>
      </c>
      <c r="Q1683">
        <f>Q1682+0.3</f>
        <v/>
      </c>
      <c r="R1683">
        <f>R1682+0.05</f>
        <v/>
      </c>
      <c r="S1683">
        <f>S1682+0.01</f>
        <v/>
      </c>
      <c r="T1683">
        <f>T1682+0.7</f>
        <v/>
      </c>
      <c r="U1683">
        <f>U1682+1.1</f>
        <v/>
      </c>
      <c r="V1683">
        <f>V1682+0.25</f>
        <v/>
      </c>
      <c r="W1683">
        <f>W1682+0.5</f>
        <v/>
      </c>
    </row>
    <row r="1684">
      <c r="E1684">
        <f>O1684=ROUND(1673*0.1,10)</f>
        <v/>
      </c>
      <c r="F1684">
        <f>P1684=ROUND(1673*0.2,10)</f>
        <v/>
      </c>
      <c r="G1684">
        <f>Q1684=ROUND(1673*0.3,10)</f>
        <v/>
      </c>
      <c r="H1684">
        <f>R1684=ROUND(1673*0.05,10)</f>
        <v/>
      </c>
      <c r="I1684">
        <f>S1684=ROUND(1673*0.01,10)</f>
        <v/>
      </c>
      <c r="J1684">
        <f>T1684=ROUND(1673*0.7,10)</f>
        <v/>
      </c>
      <c r="K1684">
        <f>U1684=ROUND(1673*1.1,10)</f>
        <v/>
      </c>
      <c r="L1684">
        <f>V1684=ROUND(1673*0.25,10)</f>
        <v/>
      </c>
      <c r="M1684">
        <f>W1684=ROUND(1673*0.5,10)</f>
        <v/>
      </c>
      <c r="O1684">
        <f>O1683+0.1</f>
        <v/>
      </c>
      <c r="P1684">
        <f>P1683+0.2</f>
        <v/>
      </c>
      <c r="Q1684">
        <f>Q1683+0.3</f>
        <v/>
      </c>
      <c r="R1684">
        <f>R1683+0.05</f>
        <v/>
      </c>
      <c r="S1684">
        <f>S1683+0.01</f>
        <v/>
      </c>
      <c r="T1684">
        <f>T1683+0.7</f>
        <v/>
      </c>
      <c r="U1684">
        <f>U1683+1.1</f>
        <v/>
      </c>
      <c r="V1684">
        <f>V1683+0.25</f>
        <v/>
      </c>
      <c r="W1684">
        <f>W1683+0.5</f>
        <v/>
      </c>
    </row>
    <row r="1685">
      <c r="E1685">
        <f>O1685=ROUND(1674*0.1,10)</f>
        <v/>
      </c>
      <c r="F1685">
        <f>P1685=ROUND(1674*0.2,10)</f>
        <v/>
      </c>
      <c r="G1685">
        <f>Q1685=ROUND(1674*0.3,10)</f>
        <v/>
      </c>
      <c r="H1685">
        <f>R1685=ROUND(1674*0.05,10)</f>
        <v/>
      </c>
      <c r="I1685">
        <f>S1685=ROUND(1674*0.01,10)</f>
        <v/>
      </c>
      <c r="J1685">
        <f>T1685=ROUND(1674*0.7,10)</f>
        <v/>
      </c>
      <c r="K1685">
        <f>U1685=ROUND(1674*1.1,10)</f>
        <v/>
      </c>
      <c r="L1685">
        <f>V1685=ROUND(1674*0.25,10)</f>
        <v/>
      </c>
      <c r="M1685">
        <f>W1685=ROUND(1674*0.5,10)</f>
        <v/>
      </c>
      <c r="O1685">
        <f>O1684+0.1</f>
        <v/>
      </c>
      <c r="P1685">
        <f>P1684+0.2</f>
        <v/>
      </c>
      <c r="Q1685">
        <f>Q1684+0.3</f>
        <v/>
      </c>
      <c r="R1685">
        <f>R1684+0.05</f>
        <v/>
      </c>
      <c r="S1685">
        <f>S1684+0.01</f>
        <v/>
      </c>
      <c r="T1685">
        <f>T1684+0.7</f>
        <v/>
      </c>
      <c r="U1685">
        <f>U1684+1.1</f>
        <v/>
      </c>
      <c r="V1685">
        <f>V1684+0.25</f>
        <v/>
      </c>
      <c r="W1685">
        <f>W1684+0.5</f>
        <v/>
      </c>
    </row>
    <row r="1686">
      <c r="E1686">
        <f>O1686=ROUND(1675*0.1,10)</f>
        <v/>
      </c>
      <c r="F1686">
        <f>P1686=ROUND(1675*0.2,10)</f>
        <v/>
      </c>
      <c r="G1686">
        <f>Q1686=ROUND(1675*0.3,10)</f>
        <v/>
      </c>
      <c r="H1686">
        <f>R1686=ROUND(1675*0.05,10)</f>
        <v/>
      </c>
      <c r="I1686">
        <f>S1686=ROUND(1675*0.01,10)</f>
        <v/>
      </c>
      <c r="J1686">
        <f>T1686=ROUND(1675*0.7,10)</f>
        <v/>
      </c>
      <c r="K1686">
        <f>U1686=ROUND(1675*1.1,10)</f>
        <v/>
      </c>
      <c r="L1686">
        <f>V1686=ROUND(1675*0.25,10)</f>
        <v/>
      </c>
      <c r="M1686">
        <f>W1686=ROUND(1675*0.5,10)</f>
        <v/>
      </c>
      <c r="O1686">
        <f>O1685+0.1</f>
        <v/>
      </c>
      <c r="P1686">
        <f>P1685+0.2</f>
        <v/>
      </c>
      <c r="Q1686">
        <f>Q1685+0.3</f>
        <v/>
      </c>
      <c r="R1686">
        <f>R1685+0.05</f>
        <v/>
      </c>
      <c r="S1686">
        <f>S1685+0.01</f>
        <v/>
      </c>
      <c r="T1686">
        <f>T1685+0.7</f>
        <v/>
      </c>
      <c r="U1686">
        <f>U1685+1.1</f>
        <v/>
      </c>
      <c r="V1686">
        <f>V1685+0.25</f>
        <v/>
      </c>
      <c r="W1686">
        <f>W1685+0.5</f>
        <v/>
      </c>
    </row>
    <row r="1687">
      <c r="E1687">
        <f>O1687=ROUND(1676*0.1,10)</f>
        <v/>
      </c>
      <c r="F1687">
        <f>P1687=ROUND(1676*0.2,10)</f>
        <v/>
      </c>
      <c r="G1687">
        <f>Q1687=ROUND(1676*0.3,10)</f>
        <v/>
      </c>
      <c r="H1687">
        <f>R1687=ROUND(1676*0.05,10)</f>
        <v/>
      </c>
      <c r="I1687">
        <f>S1687=ROUND(1676*0.01,10)</f>
        <v/>
      </c>
      <c r="J1687">
        <f>T1687=ROUND(1676*0.7,10)</f>
        <v/>
      </c>
      <c r="K1687">
        <f>U1687=ROUND(1676*1.1,10)</f>
        <v/>
      </c>
      <c r="L1687">
        <f>V1687=ROUND(1676*0.25,10)</f>
        <v/>
      </c>
      <c r="M1687">
        <f>W1687=ROUND(1676*0.5,10)</f>
        <v/>
      </c>
      <c r="O1687">
        <f>O1686+0.1</f>
        <v/>
      </c>
      <c r="P1687">
        <f>P1686+0.2</f>
        <v/>
      </c>
      <c r="Q1687">
        <f>Q1686+0.3</f>
        <v/>
      </c>
      <c r="R1687">
        <f>R1686+0.05</f>
        <v/>
      </c>
      <c r="S1687">
        <f>S1686+0.01</f>
        <v/>
      </c>
      <c r="T1687">
        <f>T1686+0.7</f>
        <v/>
      </c>
      <c r="U1687">
        <f>U1686+1.1</f>
        <v/>
      </c>
      <c r="V1687">
        <f>V1686+0.25</f>
        <v/>
      </c>
      <c r="W1687">
        <f>W1686+0.5</f>
        <v/>
      </c>
    </row>
    <row r="1688">
      <c r="E1688">
        <f>O1688=ROUND(1677*0.1,10)</f>
        <v/>
      </c>
      <c r="F1688">
        <f>P1688=ROUND(1677*0.2,10)</f>
        <v/>
      </c>
      <c r="G1688">
        <f>Q1688=ROUND(1677*0.3,10)</f>
        <v/>
      </c>
      <c r="H1688">
        <f>R1688=ROUND(1677*0.05,10)</f>
        <v/>
      </c>
      <c r="I1688">
        <f>S1688=ROUND(1677*0.01,10)</f>
        <v/>
      </c>
      <c r="J1688">
        <f>T1688=ROUND(1677*0.7,10)</f>
        <v/>
      </c>
      <c r="K1688">
        <f>U1688=ROUND(1677*1.1,10)</f>
        <v/>
      </c>
      <c r="L1688">
        <f>V1688=ROUND(1677*0.25,10)</f>
        <v/>
      </c>
      <c r="M1688">
        <f>W1688=ROUND(1677*0.5,10)</f>
        <v/>
      </c>
      <c r="O1688">
        <f>O1687+0.1</f>
        <v/>
      </c>
      <c r="P1688">
        <f>P1687+0.2</f>
        <v/>
      </c>
      <c r="Q1688">
        <f>Q1687+0.3</f>
        <v/>
      </c>
      <c r="R1688">
        <f>R1687+0.05</f>
        <v/>
      </c>
      <c r="S1688">
        <f>S1687+0.01</f>
        <v/>
      </c>
      <c r="T1688">
        <f>T1687+0.7</f>
        <v/>
      </c>
      <c r="U1688">
        <f>U1687+1.1</f>
        <v/>
      </c>
      <c r="V1688">
        <f>V1687+0.25</f>
        <v/>
      </c>
      <c r="W1688">
        <f>W1687+0.5</f>
        <v/>
      </c>
    </row>
    <row r="1689">
      <c r="E1689">
        <f>O1689=ROUND(1678*0.1,10)</f>
        <v/>
      </c>
      <c r="F1689">
        <f>P1689=ROUND(1678*0.2,10)</f>
        <v/>
      </c>
      <c r="G1689">
        <f>Q1689=ROUND(1678*0.3,10)</f>
        <v/>
      </c>
      <c r="H1689">
        <f>R1689=ROUND(1678*0.05,10)</f>
        <v/>
      </c>
      <c r="I1689">
        <f>S1689=ROUND(1678*0.01,10)</f>
        <v/>
      </c>
      <c r="J1689">
        <f>T1689=ROUND(1678*0.7,10)</f>
        <v/>
      </c>
      <c r="K1689">
        <f>U1689=ROUND(1678*1.1,10)</f>
        <v/>
      </c>
      <c r="L1689">
        <f>V1689=ROUND(1678*0.25,10)</f>
        <v/>
      </c>
      <c r="M1689">
        <f>W1689=ROUND(1678*0.5,10)</f>
        <v/>
      </c>
      <c r="O1689">
        <f>O1688+0.1</f>
        <v/>
      </c>
      <c r="P1689">
        <f>P1688+0.2</f>
        <v/>
      </c>
      <c r="Q1689">
        <f>Q1688+0.3</f>
        <v/>
      </c>
      <c r="R1689">
        <f>R1688+0.05</f>
        <v/>
      </c>
      <c r="S1689">
        <f>S1688+0.01</f>
        <v/>
      </c>
      <c r="T1689">
        <f>T1688+0.7</f>
        <v/>
      </c>
      <c r="U1689">
        <f>U1688+1.1</f>
        <v/>
      </c>
      <c r="V1689">
        <f>V1688+0.25</f>
        <v/>
      </c>
      <c r="W1689">
        <f>W1688+0.5</f>
        <v/>
      </c>
    </row>
    <row r="1690">
      <c r="E1690">
        <f>O1690=ROUND(1679*0.1,10)</f>
        <v/>
      </c>
      <c r="F1690">
        <f>P1690=ROUND(1679*0.2,10)</f>
        <v/>
      </c>
      <c r="G1690">
        <f>Q1690=ROUND(1679*0.3,10)</f>
        <v/>
      </c>
      <c r="H1690">
        <f>R1690=ROUND(1679*0.05,10)</f>
        <v/>
      </c>
      <c r="I1690">
        <f>S1690=ROUND(1679*0.01,10)</f>
        <v/>
      </c>
      <c r="J1690">
        <f>T1690=ROUND(1679*0.7,10)</f>
        <v/>
      </c>
      <c r="K1690">
        <f>U1690=ROUND(1679*1.1,10)</f>
        <v/>
      </c>
      <c r="L1690">
        <f>V1690=ROUND(1679*0.25,10)</f>
        <v/>
      </c>
      <c r="M1690">
        <f>W1690=ROUND(1679*0.5,10)</f>
        <v/>
      </c>
      <c r="O1690">
        <f>O1689+0.1</f>
        <v/>
      </c>
      <c r="P1690">
        <f>P1689+0.2</f>
        <v/>
      </c>
      <c r="Q1690">
        <f>Q1689+0.3</f>
        <v/>
      </c>
      <c r="R1690">
        <f>R1689+0.05</f>
        <v/>
      </c>
      <c r="S1690">
        <f>S1689+0.01</f>
        <v/>
      </c>
      <c r="T1690">
        <f>T1689+0.7</f>
        <v/>
      </c>
      <c r="U1690">
        <f>U1689+1.1</f>
        <v/>
      </c>
      <c r="V1690">
        <f>V1689+0.25</f>
        <v/>
      </c>
      <c r="W1690">
        <f>W1689+0.5</f>
        <v/>
      </c>
    </row>
    <row r="1691">
      <c r="E1691">
        <f>O1691=ROUND(1680*0.1,10)</f>
        <v/>
      </c>
      <c r="F1691">
        <f>P1691=ROUND(1680*0.2,10)</f>
        <v/>
      </c>
      <c r="G1691">
        <f>Q1691=ROUND(1680*0.3,10)</f>
        <v/>
      </c>
      <c r="H1691">
        <f>R1691=ROUND(1680*0.05,10)</f>
        <v/>
      </c>
      <c r="I1691">
        <f>S1691=ROUND(1680*0.01,10)</f>
        <v/>
      </c>
      <c r="J1691">
        <f>T1691=ROUND(1680*0.7,10)</f>
        <v/>
      </c>
      <c r="K1691">
        <f>U1691=ROUND(1680*1.1,10)</f>
        <v/>
      </c>
      <c r="L1691">
        <f>V1691=ROUND(1680*0.25,10)</f>
        <v/>
      </c>
      <c r="M1691">
        <f>W1691=ROUND(1680*0.5,10)</f>
        <v/>
      </c>
      <c r="O1691">
        <f>O1690+0.1</f>
        <v/>
      </c>
      <c r="P1691">
        <f>P1690+0.2</f>
        <v/>
      </c>
      <c r="Q1691">
        <f>Q1690+0.3</f>
        <v/>
      </c>
      <c r="R1691">
        <f>R1690+0.05</f>
        <v/>
      </c>
      <c r="S1691">
        <f>S1690+0.01</f>
        <v/>
      </c>
      <c r="T1691">
        <f>T1690+0.7</f>
        <v/>
      </c>
      <c r="U1691">
        <f>U1690+1.1</f>
        <v/>
      </c>
      <c r="V1691">
        <f>V1690+0.25</f>
        <v/>
      </c>
      <c r="W1691">
        <f>W1690+0.5</f>
        <v/>
      </c>
    </row>
    <row r="1692">
      <c r="E1692">
        <f>O1692=ROUND(1681*0.1,10)</f>
        <v/>
      </c>
      <c r="F1692">
        <f>P1692=ROUND(1681*0.2,10)</f>
        <v/>
      </c>
      <c r="G1692">
        <f>Q1692=ROUND(1681*0.3,10)</f>
        <v/>
      </c>
      <c r="H1692">
        <f>R1692=ROUND(1681*0.05,10)</f>
        <v/>
      </c>
      <c r="I1692">
        <f>S1692=ROUND(1681*0.01,10)</f>
        <v/>
      </c>
      <c r="J1692">
        <f>T1692=ROUND(1681*0.7,10)</f>
        <v/>
      </c>
      <c r="K1692">
        <f>U1692=ROUND(1681*1.1,10)</f>
        <v/>
      </c>
      <c r="L1692">
        <f>V1692=ROUND(1681*0.25,10)</f>
        <v/>
      </c>
      <c r="M1692">
        <f>W1692=ROUND(1681*0.5,10)</f>
        <v/>
      </c>
      <c r="O1692">
        <f>O1691+0.1</f>
        <v/>
      </c>
      <c r="P1692">
        <f>P1691+0.2</f>
        <v/>
      </c>
      <c r="Q1692">
        <f>Q1691+0.3</f>
        <v/>
      </c>
      <c r="R1692">
        <f>R1691+0.05</f>
        <v/>
      </c>
      <c r="S1692">
        <f>S1691+0.01</f>
        <v/>
      </c>
      <c r="T1692">
        <f>T1691+0.7</f>
        <v/>
      </c>
      <c r="U1692">
        <f>U1691+1.1</f>
        <v/>
      </c>
      <c r="V1692">
        <f>V1691+0.25</f>
        <v/>
      </c>
      <c r="W1692">
        <f>W1691+0.5</f>
        <v/>
      </c>
    </row>
    <row r="1693">
      <c r="E1693">
        <f>O1693=ROUND(1682*0.1,10)</f>
        <v/>
      </c>
      <c r="F1693">
        <f>P1693=ROUND(1682*0.2,10)</f>
        <v/>
      </c>
      <c r="G1693">
        <f>Q1693=ROUND(1682*0.3,10)</f>
        <v/>
      </c>
      <c r="H1693">
        <f>R1693=ROUND(1682*0.05,10)</f>
        <v/>
      </c>
      <c r="I1693">
        <f>S1693=ROUND(1682*0.01,10)</f>
        <v/>
      </c>
      <c r="J1693">
        <f>T1693=ROUND(1682*0.7,10)</f>
        <v/>
      </c>
      <c r="K1693">
        <f>U1693=ROUND(1682*1.1,10)</f>
        <v/>
      </c>
      <c r="L1693">
        <f>V1693=ROUND(1682*0.25,10)</f>
        <v/>
      </c>
      <c r="M1693">
        <f>W1693=ROUND(1682*0.5,10)</f>
        <v/>
      </c>
      <c r="O1693">
        <f>O1692+0.1</f>
        <v/>
      </c>
      <c r="P1693">
        <f>P1692+0.2</f>
        <v/>
      </c>
      <c r="Q1693">
        <f>Q1692+0.3</f>
        <v/>
      </c>
      <c r="R1693">
        <f>R1692+0.05</f>
        <v/>
      </c>
      <c r="S1693">
        <f>S1692+0.01</f>
        <v/>
      </c>
      <c r="T1693">
        <f>T1692+0.7</f>
        <v/>
      </c>
      <c r="U1693">
        <f>U1692+1.1</f>
        <v/>
      </c>
      <c r="V1693">
        <f>V1692+0.25</f>
        <v/>
      </c>
      <c r="W1693">
        <f>W1692+0.5</f>
        <v/>
      </c>
    </row>
    <row r="1694">
      <c r="E1694">
        <f>O1694=ROUND(1683*0.1,10)</f>
        <v/>
      </c>
      <c r="F1694">
        <f>P1694=ROUND(1683*0.2,10)</f>
        <v/>
      </c>
      <c r="G1694">
        <f>Q1694=ROUND(1683*0.3,10)</f>
        <v/>
      </c>
      <c r="H1694">
        <f>R1694=ROUND(1683*0.05,10)</f>
        <v/>
      </c>
      <c r="I1694">
        <f>S1694=ROUND(1683*0.01,10)</f>
        <v/>
      </c>
      <c r="J1694">
        <f>T1694=ROUND(1683*0.7,10)</f>
        <v/>
      </c>
      <c r="K1694">
        <f>U1694=ROUND(1683*1.1,10)</f>
        <v/>
      </c>
      <c r="L1694">
        <f>V1694=ROUND(1683*0.25,10)</f>
        <v/>
      </c>
      <c r="M1694">
        <f>W1694=ROUND(1683*0.5,10)</f>
        <v/>
      </c>
      <c r="O1694">
        <f>O1693+0.1</f>
        <v/>
      </c>
      <c r="P1694">
        <f>P1693+0.2</f>
        <v/>
      </c>
      <c r="Q1694">
        <f>Q1693+0.3</f>
        <v/>
      </c>
      <c r="R1694">
        <f>R1693+0.05</f>
        <v/>
      </c>
      <c r="S1694">
        <f>S1693+0.01</f>
        <v/>
      </c>
      <c r="T1694">
        <f>T1693+0.7</f>
        <v/>
      </c>
      <c r="U1694">
        <f>U1693+1.1</f>
        <v/>
      </c>
      <c r="V1694">
        <f>V1693+0.25</f>
        <v/>
      </c>
      <c r="W1694">
        <f>W1693+0.5</f>
        <v/>
      </c>
    </row>
    <row r="1695">
      <c r="E1695">
        <f>O1695=ROUND(1684*0.1,10)</f>
        <v/>
      </c>
      <c r="F1695">
        <f>P1695=ROUND(1684*0.2,10)</f>
        <v/>
      </c>
      <c r="G1695">
        <f>Q1695=ROUND(1684*0.3,10)</f>
        <v/>
      </c>
      <c r="H1695">
        <f>R1695=ROUND(1684*0.05,10)</f>
        <v/>
      </c>
      <c r="I1695">
        <f>S1695=ROUND(1684*0.01,10)</f>
        <v/>
      </c>
      <c r="J1695">
        <f>T1695=ROUND(1684*0.7,10)</f>
        <v/>
      </c>
      <c r="K1695">
        <f>U1695=ROUND(1684*1.1,10)</f>
        <v/>
      </c>
      <c r="L1695">
        <f>V1695=ROUND(1684*0.25,10)</f>
        <v/>
      </c>
      <c r="M1695">
        <f>W1695=ROUND(1684*0.5,10)</f>
        <v/>
      </c>
      <c r="O1695">
        <f>O1694+0.1</f>
        <v/>
      </c>
      <c r="P1695">
        <f>P1694+0.2</f>
        <v/>
      </c>
      <c r="Q1695">
        <f>Q1694+0.3</f>
        <v/>
      </c>
      <c r="R1695">
        <f>R1694+0.05</f>
        <v/>
      </c>
      <c r="S1695">
        <f>S1694+0.01</f>
        <v/>
      </c>
      <c r="T1695">
        <f>T1694+0.7</f>
        <v/>
      </c>
      <c r="U1695">
        <f>U1694+1.1</f>
        <v/>
      </c>
      <c r="V1695">
        <f>V1694+0.25</f>
        <v/>
      </c>
      <c r="W1695">
        <f>W1694+0.5</f>
        <v/>
      </c>
    </row>
    <row r="1696">
      <c r="E1696">
        <f>O1696=ROUND(1685*0.1,10)</f>
        <v/>
      </c>
      <c r="F1696">
        <f>P1696=ROUND(1685*0.2,10)</f>
        <v/>
      </c>
      <c r="G1696">
        <f>Q1696=ROUND(1685*0.3,10)</f>
        <v/>
      </c>
      <c r="H1696">
        <f>R1696=ROUND(1685*0.05,10)</f>
        <v/>
      </c>
      <c r="I1696">
        <f>S1696=ROUND(1685*0.01,10)</f>
        <v/>
      </c>
      <c r="J1696">
        <f>T1696=ROUND(1685*0.7,10)</f>
        <v/>
      </c>
      <c r="K1696">
        <f>U1696=ROUND(1685*1.1,10)</f>
        <v/>
      </c>
      <c r="L1696">
        <f>V1696=ROUND(1685*0.25,10)</f>
        <v/>
      </c>
      <c r="M1696">
        <f>W1696=ROUND(1685*0.5,10)</f>
        <v/>
      </c>
      <c r="O1696">
        <f>O1695+0.1</f>
        <v/>
      </c>
      <c r="P1696">
        <f>P1695+0.2</f>
        <v/>
      </c>
      <c r="Q1696">
        <f>Q1695+0.3</f>
        <v/>
      </c>
      <c r="R1696">
        <f>R1695+0.05</f>
        <v/>
      </c>
      <c r="S1696">
        <f>S1695+0.01</f>
        <v/>
      </c>
      <c r="T1696">
        <f>T1695+0.7</f>
        <v/>
      </c>
      <c r="U1696">
        <f>U1695+1.1</f>
        <v/>
      </c>
      <c r="V1696">
        <f>V1695+0.25</f>
        <v/>
      </c>
      <c r="W1696">
        <f>W1695+0.5</f>
        <v/>
      </c>
    </row>
    <row r="1697">
      <c r="E1697">
        <f>O1697=ROUND(1686*0.1,10)</f>
        <v/>
      </c>
      <c r="F1697">
        <f>P1697=ROUND(1686*0.2,10)</f>
        <v/>
      </c>
      <c r="G1697">
        <f>Q1697=ROUND(1686*0.3,10)</f>
        <v/>
      </c>
      <c r="H1697">
        <f>R1697=ROUND(1686*0.05,10)</f>
        <v/>
      </c>
      <c r="I1697">
        <f>S1697=ROUND(1686*0.01,10)</f>
        <v/>
      </c>
      <c r="J1697">
        <f>T1697=ROUND(1686*0.7,10)</f>
        <v/>
      </c>
      <c r="K1697">
        <f>U1697=ROUND(1686*1.1,10)</f>
        <v/>
      </c>
      <c r="L1697">
        <f>V1697=ROUND(1686*0.25,10)</f>
        <v/>
      </c>
      <c r="M1697">
        <f>W1697=ROUND(1686*0.5,10)</f>
        <v/>
      </c>
      <c r="O1697">
        <f>O1696+0.1</f>
        <v/>
      </c>
      <c r="P1697">
        <f>P1696+0.2</f>
        <v/>
      </c>
      <c r="Q1697">
        <f>Q1696+0.3</f>
        <v/>
      </c>
      <c r="R1697">
        <f>R1696+0.05</f>
        <v/>
      </c>
      <c r="S1697">
        <f>S1696+0.01</f>
        <v/>
      </c>
      <c r="T1697">
        <f>T1696+0.7</f>
        <v/>
      </c>
      <c r="U1697">
        <f>U1696+1.1</f>
        <v/>
      </c>
      <c r="V1697">
        <f>V1696+0.25</f>
        <v/>
      </c>
      <c r="W1697">
        <f>W1696+0.5</f>
        <v/>
      </c>
    </row>
    <row r="1698">
      <c r="E1698">
        <f>O1698=ROUND(1687*0.1,10)</f>
        <v/>
      </c>
      <c r="F1698">
        <f>P1698=ROUND(1687*0.2,10)</f>
        <v/>
      </c>
      <c r="G1698">
        <f>Q1698=ROUND(1687*0.3,10)</f>
        <v/>
      </c>
      <c r="H1698">
        <f>R1698=ROUND(1687*0.05,10)</f>
        <v/>
      </c>
      <c r="I1698">
        <f>S1698=ROUND(1687*0.01,10)</f>
        <v/>
      </c>
      <c r="J1698">
        <f>T1698=ROUND(1687*0.7,10)</f>
        <v/>
      </c>
      <c r="K1698">
        <f>U1698=ROUND(1687*1.1,10)</f>
        <v/>
      </c>
      <c r="L1698">
        <f>V1698=ROUND(1687*0.25,10)</f>
        <v/>
      </c>
      <c r="M1698">
        <f>W1698=ROUND(1687*0.5,10)</f>
        <v/>
      </c>
      <c r="O1698">
        <f>O1697+0.1</f>
        <v/>
      </c>
      <c r="P1698">
        <f>P1697+0.2</f>
        <v/>
      </c>
      <c r="Q1698">
        <f>Q1697+0.3</f>
        <v/>
      </c>
      <c r="R1698">
        <f>R1697+0.05</f>
        <v/>
      </c>
      <c r="S1698">
        <f>S1697+0.01</f>
        <v/>
      </c>
      <c r="T1698">
        <f>T1697+0.7</f>
        <v/>
      </c>
      <c r="U1698">
        <f>U1697+1.1</f>
        <v/>
      </c>
      <c r="V1698">
        <f>V1697+0.25</f>
        <v/>
      </c>
      <c r="W1698">
        <f>W1697+0.5</f>
        <v/>
      </c>
    </row>
    <row r="1699">
      <c r="E1699">
        <f>O1699=ROUND(1688*0.1,10)</f>
        <v/>
      </c>
      <c r="F1699">
        <f>P1699=ROUND(1688*0.2,10)</f>
        <v/>
      </c>
      <c r="G1699">
        <f>Q1699=ROUND(1688*0.3,10)</f>
        <v/>
      </c>
      <c r="H1699">
        <f>R1699=ROUND(1688*0.05,10)</f>
        <v/>
      </c>
      <c r="I1699">
        <f>S1699=ROUND(1688*0.01,10)</f>
        <v/>
      </c>
      <c r="J1699">
        <f>T1699=ROUND(1688*0.7,10)</f>
        <v/>
      </c>
      <c r="K1699">
        <f>U1699=ROUND(1688*1.1,10)</f>
        <v/>
      </c>
      <c r="L1699">
        <f>V1699=ROUND(1688*0.25,10)</f>
        <v/>
      </c>
      <c r="M1699">
        <f>W1699=ROUND(1688*0.5,10)</f>
        <v/>
      </c>
      <c r="O1699">
        <f>O1698+0.1</f>
        <v/>
      </c>
      <c r="P1699">
        <f>P1698+0.2</f>
        <v/>
      </c>
      <c r="Q1699">
        <f>Q1698+0.3</f>
        <v/>
      </c>
      <c r="R1699">
        <f>R1698+0.05</f>
        <v/>
      </c>
      <c r="S1699">
        <f>S1698+0.01</f>
        <v/>
      </c>
      <c r="T1699">
        <f>T1698+0.7</f>
        <v/>
      </c>
      <c r="U1699">
        <f>U1698+1.1</f>
        <v/>
      </c>
      <c r="V1699">
        <f>V1698+0.25</f>
        <v/>
      </c>
      <c r="W1699">
        <f>W1698+0.5</f>
        <v/>
      </c>
    </row>
    <row r="1700">
      <c r="E1700">
        <f>O1700=ROUND(1689*0.1,10)</f>
        <v/>
      </c>
      <c r="F1700">
        <f>P1700=ROUND(1689*0.2,10)</f>
        <v/>
      </c>
      <c r="G1700">
        <f>Q1700=ROUND(1689*0.3,10)</f>
        <v/>
      </c>
      <c r="H1700">
        <f>R1700=ROUND(1689*0.05,10)</f>
        <v/>
      </c>
      <c r="I1700">
        <f>S1700=ROUND(1689*0.01,10)</f>
        <v/>
      </c>
      <c r="J1700">
        <f>T1700=ROUND(1689*0.7,10)</f>
        <v/>
      </c>
      <c r="K1700">
        <f>U1700=ROUND(1689*1.1,10)</f>
        <v/>
      </c>
      <c r="L1700">
        <f>V1700=ROUND(1689*0.25,10)</f>
        <v/>
      </c>
      <c r="M1700">
        <f>W1700=ROUND(1689*0.5,10)</f>
        <v/>
      </c>
      <c r="O1700">
        <f>O1699+0.1</f>
        <v/>
      </c>
      <c r="P1700">
        <f>P1699+0.2</f>
        <v/>
      </c>
      <c r="Q1700">
        <f>Q1699+0.3</f>
        <v/>
      </c>
      <c r="R1700">
        <f>R1699+0.05</f>
        <v/>
      </c>
      <c r="S1700">
        <f>S1699+0.01</f>
        <v/>
      </c>
      <c r="T1700">
        <f>T1699+0.7</f>
        <v/>
      </c>
      <c r="U1700">
        <f>U1699+1.1</f>
        <v/>
      </c>
      <c r="V1700">
        <f>V1699+0.25</f>
        <v/>
      </c>
      <c r="W1700">
        <f>W1699+0.5</f>
        <v/>
      </c>
    </row>
    <row r="1701">
      <c r="E1701">
        <f>O1701=ROUND(1690*0.1,10)</f>
        <v/>
      </c>
      <c r="F1701">
        <f>P1701=ROUND(1690*0.2,10)</f>
        <v/>
      </c>
      <c r="G1701">
        <f>Q1701=ROUND(1690*0.3,10)</f>
        <v/>
      </c>
      <c r="H1701">
        <f>R1701=ROUND(1690*0.05,10)</f>
        <v/>
      </c>
      <c r="I1701">
        <f>S1701=ROUND(1690*0.01,10)</f>
        <v/>
      </c>
      <c r="J1701">
        <f>T1701=ROUND(1690*0.7,10)</f>
        <v/>
      </c>
      <c r="K1701">
        <f>U1701=ROUND(1690*1.1,10)</f>
        <v/>
      </c>
      <c r="L1701">
        <f>V1701=ROUND(1690*0.25,10)</f>
        <v/>
      </c>
      <c r="M1701">
        <f>W1701=ROUND(1690*0.5,10)</f>
        <v/>
      </c>
      <c r="O1701">
        <f>O1700+0.1</f>
        <v/>
      </c>
      <c r="P1701">
        <f>P1700+0.2</f>
        <v/>
      </c>
      <c r="Q1701">
        <f>Q1700+0.3</f>
        <v/>
      </c>
      <c r="R1701">
        <f>R1700+0.05</f>
        <v/>
      </c>
      <c r="S1701">
        <f>S1700+0.01</f>
        <v/>
      </c>
      <c r="T1701">
        <f>T1700+0.7</f>
        <v/>
      </c>
      <c r="U1701">
        <f>U1700+1.1</f>
        <v/>
      </c>
      <c r="V1701">
        <f>V1700+0.25</f>
        <v/>
      </c>
      <c r="W1701">
        <f>W1700+0.5</f>
        <v/>
      </c>
    </row>
    <row r="1702">
      <c r="E1702">
        <f>O1702=ROUND(1691*0.1,10)</f>
        <v/>
      </c>
      <c r="F1702">
        <f>P1702=ROUND(1691*0.2,10)</f>
        <v/>
      </c>
      <c r="G1702">
        <f>Q1702=ROUND(1691*0.3,10)</f>
        <v/>
      </c>
      <c r="H1702">
        <f>R1702=ROUND(1691*0.05,10)</f>
        <v/>
      </c>
      <c r="I1702">
        <f>S1702=ROUND(1691*0.01,10)</f>
        <v/>
      </c>
      <c r="J1702">
        <f>T1702=ROUND(1691*0.7,10)</f>
        <v/>
      </c>
      <c r="K1702">
        <f>U1702=ROUND(1691*1.1,10)</f>
        <v/>
      </c>
      <c r="L1702">
        <f>V1702=ROUND(1691*0.25,10)</f>
        <v/>
      </c>
      <c r="M1702">
        <f>W1702=ROUND(1691*0.5,10)</f>
        <v/>
      </c>
      <c r="O1702">
        <f>O1701+0.1</f>
        <v/>
      </c>
      <c r="P1702">
        <f>P1701+0.2</f>
        <v/>
      </c>
      <c r="Q1702">
        <f>Q1701+0.3</f>
        <v/>
      </c>
      <c r="R1702">
        <f>R1701+0.05</f>
        <v/>
      </c>
      <c r="S1702">
        <f>S1701+0.01</f>
        <v/>
      </c>
      <c r="T1702">
        <f>T1701+0.7</f>
        <v/>
      </c>
      <c r="U1702">
        <f>U1701+1.1</f>
        <v/>
      </c>
      <c r="V1702">
        <f>V1701+0.25</f>
        <v/>
      </c>
      <c r="W1702">
        <f>W1701+0.5</f>
        <v/>
      </c>
    </row>
    <row r="1703">
      <c r="E1703">
        <f>O1703=ROUND(1692*0.1,10)</f>
        <v/>
      </c>
      <c r="F1703">
        <f>P1703=ROUND(1692*0.2,10)</f>
        <v/>
      </c>
      <c r="G1703">
        <f>Q1703=ROUND(1692*0.3,10)</f>
        <v/>
      </c>
      <c r="H1703">
        <f>R1703=ROUND(1692*0.05,10)</f>
        <v/>
      </c>
      <c r="I1703">
        <f>S1703=ROUND(1692*0.01,10)</f>
        <v/>
      </c>
      <c r="J1703">
        <f>T1703=ROUND(1692*0.7,10)</f>
        <v/>
      </c>
      <c r="K1703">
        <f>U1703=ROUND(1692*1.1,10)</f>
        <v/>
      </c>
      <c r="L1703">
        <f>V1703=ROUND(1692*0.25,10)</f>
        <v/>
      </c>
      <c r="M1703">
        <f>W1703=ROUND(1692*0.5,10)</f>
        <v/>
      </c>
      <c r="O1703">
        <f>O1702+0.1</f>
        <v/>
      </c>
      <c r="P1703">
        <f>P1702+0.2</f>
        <v/>
      </c>
      <c r="Q1703">
        <f>Q1702+0.3</f>
        <v/>
      </c>
      <c r="R1703">
        <f>R1702+0.05</f>
        <v/>
      </c>
      <c r="S1703">
        <f>S1702+0.01</f>
        <v/>
      </c>
      <c r="T1703">
        <f>T1702+0.7</f>
        <v/>
      </c>
      <c r="U1703">
        <f>U1702+1.1</f>
        <v/>
      </c>
      <c r="V1703">
        <f>V1702+0.25</f>
        <v/>
      </c>
      <c r="W1703">
        <f>W1702+0.5</f>
        <v/>
      </c>
    </row>
    <row r="1704">
      <c r="E1704">
        <f>O1704=ROUND(1693*0.1,10)</f>
        <v/>
      </c>
      <c r="F1704">
        <f>P1704=ROUND(1693*0.2,10)</f>
        <v/>
      </c>
      <c r="G1704">
        <f>Q1704=ROUND(1693*0.3,10)</f>
        <v/>
      </c>
      <c r="H1704">
        <f>R1704=ROUND(1693*0.05,10)</f>
        <v/>
      </c>
      <c r="I1704">
        <f>S1704=ROUND(1693*0.01,10)</f>
        <v/>
      </c>
      <c r="J1704">
        <f>T1704=ROUND(1693*0.7,10)</f>
        <v/>
      </c>
      <c r="K1704">
        <f>U1704=ROUND(1693*1.1,10)</f>
        <v/>
      </c>
      <c r="L1704">
        <f>V1704=ROUND(1693*0.25,10)</f>
        <v/>
      </c>
      <c r="M1704">
        <f>W1704=ROUND(1693*0.5,10)</f>
        <v/>
      </c>
      <c r="O1704">
        <f>O1703+0.1</f>
        <v/>
      </c>
      <c r="P1704">
        <f>P1703+0.2</f>
        <v/>
      </c>
      <c r="Q1704">
        <f>Q1703+0.3</f>
        <v/>
      </c>
      <c r="R1704">
        <f>R1703+0.05</f>
        <v/>
      </c>
      <c r="S1704">
        <f>S1703+0.01</f>
        <v/>
      </c>
      <c r="T1704">
        <f>T1703+0.7</f>
        <v/>
      </c>
      <c r="U1704">
        <f>U1703+1.1</f>
        <v/>
      </c>
      <c r="V1704">
        <f>V1703+0.25</f>
        <v/>
      </c>
      <c r="W1704">
        <f>W1703+0.5</f>
        <v/>
      </c>
    </row>
    <row r="1705">
      <c r="E1705">
        <f>O1705=ROUND(1694*0.1,10)</f>
        <v/>
      </c>
      <c r="F1705">
        <f>P1705=ROUND(1694*0.2,10)</f>
        <v/>
      </c>
      <c r="G1705">
        <f>Q1705=ROUND(1694*0.3,10)</f>
        <v/>
      </c>
      <c r="H1705">
        <f>R1705=ROUND(1694*0.05,10)</f>
        <v/>
      </c>
      <c r="I1705">
        <f>S1705=ROUND(1694*0.01,10)</f>
        <v/>
      </c>
      <c r="J1705">
        <f>T1705=ROUND(1694*0.7,10)</f>
        <v/>
      </c>
      <c r="K1705">
        <f>U1705=ROUND(1694*1.1,10)</f>
        <v/>
      </c>
      <c r="L1705">
        <f>V1705=ROUND(1694*0.25,10)</f>
        <v/>
      </c>
      <c r="M1705">
        <f>W1705=ROUND(1694*0.5,10)</f>
        <v/>
      </c>
      <c r="O1705">
        <f>O1704+0.1</f>
        <v/>
      </c>
      <c r="P1705">
        <f>P1704+0.2</f>
        <v/>
      </c>
      <c r="Q1705">
        <f>Q1704+0.3</f>
        <v/>
      </c>
      <c r="R1705">
        <f>R1704+0.05</f>
        <v/>
      </c>
      <c r="S1705">
        <f>S1704+0.01</f>
        <v/>
      </c>
      <c r="T1705">
        <f>T1704+0.7</f>
        <v/>
      </c>
      <c r="U1705">
        <f>U1704+1.1</f>
        <v/>
      </c>
      <c r="V1705">
        <f>V1704+0.25</f>
        <v/>
      </c>
      <c r="W1705">
        <f>W1704+0.5</f>
        <v/>
      </c>
    </row>
    <row r="1706">
      <c r="E1706">
        <f>O1706=ROUND(1695*0.1,10)</f>
        <v/>
      </c>
      <c r="F1706">
        <f>P1706=ROUND(1695*0.2,10)</f>
        <v/>
      </c>
      <c r="G1706">
        <f>Q1706=ROUND(1695*0.3,10)</f>
        <v/>
      </c>
      <c r="H1706">
        <f>R1706=ROUND(1695*0.05,10)</f>
        <v/>
      </c>
      <c r="I1706">
        <f>S1706=ROUND(1695*0.01,10)</f>
        <v/>
      </c>
      <c r="J1706">
        <f>T1706=ROUND(1695*0.7,10)</f>
        <v/>
      </c>
      <c r="K1706">
        <f>U1706=ROUND(1695*1.1,10)</f>
        <v/>
      </c>
      <c r="L1706">
        <f>V1706=ROUND(1695*0.25,10)</f>
        <v/>
      </c>
      <c r="M1706">
        <f>W1706=ROUND(1695*0.5,10)</f>
        <v/>
      </c>
      <c r="O1706">
        <f>O1705+0.1</f>
        <v/>
      </c>
      <c r="P1706">
        <f>P1705+0.2</f>
        <v/>
      </c>
      <c r="Q1706">
        <f>Q1705+0.3</f>
        <v/>
      </c>
      <c r="R1706">
        <f>R1705+0.05</f>
        <v/>
      </c>
      <c r="S1706">
        <f>S1705+0.01</f>
        <v/>
      </c>
      <c r="T1706">
        <f>T1705+0.7</f>
        <v/>
      </c>
      <c r="U1706">
        <f>U1705+1.1</f>
        <v/>
      </c>
      <c r="V1706">
        <f>V1705+0.25</f>
        <v/>
      </c>
      <c r="W1706">
        <f>W1705+0.5</f>
        <v/>
      </c>
    </row>
    <row r="1707">
      <c r="E1707">
        <f>O1707=ROUND(1696*0.1,10)</f>
        <v/>
      </c>
      <c r="F1707">
        <f>P1707=ROUND(1696*0.2,10)</f>
        <v/>
      </c>
      <c r="G1707">
        <f>Q1707=ROUND(1696*0.3,10)</f>
        <v/>
      </c>
      <c r="H1707">
        <f>R1707=ROUND(1696*0.05,10)</f>
        <v/>
      </c>
      <c r="I1707">
        <f>S1707=ROUND(1696*0.01,10)</f>
        <v/>
      </c>
      <c r="J1707">
        <f>T1707=ROUND(1696*0.7,10)</f>
        <v/>
      </c>
      <c r="K1707">
        <f>U1707=ROUND(1696*1.1,10)</f>
        <v/>
      </c>
      <c r="L1707">
        <f>V1707=ROUND(1696*0.25,10)</f>
        <v/>
      </c>
      <c r="M1707">
        <f>W1707=ROUND(1696*0.5,10)</f>
        <v/>
      </c>
      <c r="O1707">
        <f>O1706+0.1</f>
        <v/>
      </c>
      <c r="P1707">
        <f>P1706+0.2</f>
        <v/>
      </c>
      <c r="Q1707">
        <f>Q1706+0.3</f>
        <v/>
      </c>
      <c r="R1707">
        <f>R1706+0.05</f>
        <v/>
      </c>
      <c r="S1707">
        <f>S1706+0.01</f>
        <v/>
      </c>
      <c r="T1707">
        <f>T1706+0.7</f>
        <v/>
      </c>
      <c r="U1707">
        <f>U1706+1.1</f>
        <v/>
      </c>
      <c r="V1707">
        <f>V1706+0.25</f>
        <v/>
      </c>
      <c r="W1707">
        <f>W1706+0.5</f>
        <v/>
      </c>
    </row>
    <row r="1708">
      <c r="E1708">
        <f>O1708=ROUND(1697*0.1,10)</f>
        <v/>
      </c>
      <c r="F1708">
        <f>P1708=ROUND(1697*0.2,10)</f>
        <v/>
      </c>
      <c r="G1708">
        <f>Q1708=ROUND(1697*0.3,10)</f>
        <v/>
      </c>
      <c r="H1708">
        <f>R1708=ROUND(1697*0.05,10)</f>
        <v/>
      </c>
      <c r="I1708">
        <f>S1708=ROUND(1697*0.01,10)</f>
        <v/>
      </c>
      <c r="J1708">
        <f>T1708=ROUND(1697*0.7,10)</f>
        <v/>
      </c>
      <c r="K1708">
        <f>U1708=ROUND(1697*1.1,10)</f>
        <v/>
      </c>
      <c r="L1708">
        <f>V1708=ROUND(1697*0.25,10)</f>
        <v/>
      </c>
      <c r="M1708">
        <f>W1708=ROUND(1697*0.5,10)</f>
        <v/>
      </c>
      <c r="O1708">
        <f>O1707+0.1</f>
        <v/>
      </c>
      <c r="P1708">
        <f>P1707+0.2</f>
        <v/>
      </c>
      <c r="Q1708">
        <f>Q1707+0.3</f>
        <v/>
      </c>
      <c r="R1708">
        <f>R1707+0.05</f>
        <v/>
      </c>
      <c r="S1708">
        <f>S1707+0.01</f>
        <v/>
      </c>
      <c r="T1708">
        <f>T1707+0.7</f>
        <v/>
      </c>
      <c r="U1708">
        <f>U1707+1.1</f>
        <v/>
      </c>
      <c r="V1708">
        <f>V1707+0.25</f>
        <v/>
      </c>
      <c r="W1708">
        <f>W1707+0.5</f>
        <v/>
      </c>
    </row>
    <row r="1709">
      <c r="E1709">
        <f>O1709=ROUND(1698*0.1,10)</f>
        <v/>
      </c>
      <c r="F1709">
        <f>P1709=ROUND(1698*0.2,10)</f>
        <v/>
      </c>
      <c r="G1709">
        <f>Q1709=ROUND(1698*0.3,10)</f>
        <v/>
      </c>
      <c r="H1709">
        <f>R1709=ROUND(1698*0.05,10)</f>
        <v/>
      </c>
      <c r="I1709">
        <f>S1709=ROUND(1698*0.01,10)</f>
        <v/>
      </c>
      <c r="J1709">
        <f>T1709=ROUND(1698*0.7,10)</f>
        <v/>
      </c>
      <c r="K1709">
        <f>U1709=ROUND(1698*1.1,10)</f>
        <v/>
      </c>
      <c r="L1709">
        <f>V1709=ROUND(1698*0.25,10)</f>
        <v/>
      </c>
      <c r="M1709">
        <f>W1709=ROUND(1698*0.5,10)</f>
        <v/>
      </c>
      <c r="O1709">
        <f>O1708+0.1</f>
        <v/>
      </c>
      <c r="P1709">
        <f>P1708+0.2</f>
        <v/>
      </c>
      <c r="Q1709">
        <f>Q1708+0.3</f>
        <v/>
      </c>
      <c r="R1709">
        <f>R1708+0.05</f>
        <v/>
      </c>
      <c r="S1709">
        <f>S1708+0.01</f>
        <v/>
      </c>
      <c r="T1709">
        <f>T1708+0.7</f>
        <v/>
      </c>
      <c r="U1709">
        <f>U1708+1.1</f>
        <v/>
      </c>
      <c r="V1709">
        <f>V1708+0.25</f>
        <v/>
      </c>
      <c r="W1709">
        <f>W1708+0.5</f>
        <v/>
      </c>
    </row>
    <row r="1710">
      <c r="E1710">
        <f>O1710=ROUND(1699*0.1,10)</f>
        <v/>
      </c>
      <c r="F1710">
        <f>P1710=ROUND(1699*0.2,10)</f>
        <v/>
      </c>
      <c r="G1710">
        <f>Q1710=ROUND(1699*0.3,10)</f>
        <v/>
      </c>
      <c r="H1710">
        <f>R1710=ROUND(1699*0.05,10)</f>
        <v/>
      </c>
      <c r="I1710">
        <f>S1710=ROUND(1699*0.01,10)</f>
        <v/>
      </c>
      <c r="J1710">
        <f>T1710=ROUND(1699*0.7,10)</f>
        <v/>
      </c>
      <c r="K1710">
        <f>U1710=ROUND(1699*1.1,10)</f>
        <v/>
      </c>
      <c r="L1710">
        <f>V1710=ROUND(1699*0.25,10)</f>
        <v/>
      </c>
      <c r="M1710">
        <f>W1710=ROUND(1699*0.5,10)</f>
        <v/>
      </c>
      <c r="O1710">
        <f>O1709+0.1</f>
        <v/>
      </c>
      <c r="P1710">
        <f>P1709+0.2</f>
        <v/>
      </c>
      <c r="Q1710">
        <f>Q1709+0.3</f>
        <v/>
      </c>
      <c r="R1710">
        <f>R1709+0.05</f>
        <v/>
      </c>
      <c r="S1710">
        <f>S1709+0.01</f>
        <v/>
      </c>
      <c r="T1710">
        <f>T1709+0.7</f>
        <v/>
      </c>
      <c r="U1710">
        <f>U1709+1.1</f>
        <v/>
      </c>
      <c r="V1710">
        <f>V1709+0.25</f>
        <v/>
      </c>
      <c r="W1710">
        <f>W1709+0.5</f>
        <v/>
      </c>
    </row>
    <row r="1711">
      <c r="E1711">
        <f>O1711=ROUND(1700*0.1,10)</f>
        <v/>
      </c>
      <c r="F1711">
        <f>P1711=ROUND(1700*0.2,10)</f>
        <v/>
      </c>
      <c r="G1711">
        <f>Q1711=ROUND(1700*0.3,10)</f>
        <v/>
      </c>
      <c r="H1711">
        <f>R1711=ROUND(1700*0.05,10)</f>
        <v/>
      </c>
      <c r="I1711">
        <f>S1711=ROUND(1700*0.01,10)</f>
        <v/>
      </c>
      <c r="J1711">
        <f>T1711=ROUND(1700*0.7,10)</f>
        <v/>
      </c>
      <c r="K1711">
        <f>U1711=ROUND(1700*1.1,10)</f>
        <v/>
      </c>
      <c r="L1711">
        <f>V1711=ROUND(1700*0.25,10)</f>
        <v/>
      </c>
      <c r="M1711">
        <f>W1711=ROUND(1700*0.5,10)</f>
        <v/>
      </c>
      <c r="O1711">
        <f>O1710+0.1</f>
        <v/>
      </c>
      <c r="P1711">
        <f>P1710+0.2</f>
        <v/>
      </c>
      <c r="Q1711">
        <f>Q1710+0.3</f>
        <v/>
      </c>
      <c r="R1711">
        <f>R1710+0.05</f>
        <v/>
      </c>
      <c r="S1711">
        <f>S1710+0.01</f>
        <v/>
      </c>
      <c r="T1711">
        <f>T1710+0.7</f>
        <v/>
      </c>
      <c r="U1711">
        <f>U1710+1.1</f>
        <v/>
      </c>
      <c r="V1711">
        <f>V1710+0.25</f>
        <v/>
      </c>
      <c r="W1711">
        <f>W1710+0.5</f>
        <v/>
      </c>
    </row>
    <row r="1712">
      <c r="E1712">
        <f>O1712=ROUND(1701*0.1,10)</f>
        <v/>
      </c>
      <c r="F1712">
        <f>P1712=ROUND(1701*0.2,10)</f>
        <v/>
      </c>
      <c r="G1712">
        <f>Q1712=ROUND(1701*0.3,10)</f>
        <v/>
      </c>
      <c r="H1712">
        <f>R1712=ROUND(1701*0.05,10)</f>
        <v/>
      </c>
      <c r="I1712">
        <f>S1712=ROUND(1701*0.01,10)</f>
        <v/>
      </c>
      <c r="J1712">
        <f>T1712=ROUND(1701*0.7,10)</f>
        <v/>
      </c>
      <c r="K1712">
        <f>U1712=ROUND(1701*1.1,10)</f>
        <v/>
      </c>
      <c r="L1712">
        <f>V1712=ROUND(1701*0.25,10)</f>
        <v/>
      </c>
      <c r="M1712">
        <f>W1712=ROUND(1701*0.5,10)</f>
        <v/>
      </c>
      <c r="O1712">
        <f>O1711+0.1</f>
        <v/>
      </c>
      <c r="P1712">
        <f>P1711+0.2</f>
        <v/>
      </c>
      <c r="Q1712">
        <f>Q1711+0.3</f>
        <v/>
      </c>
      <c r="R1712">
        <f>R1711+0.05</f>
        <v/>
      </c>
      <c r="S1712">
        <f>S1711+0.01</f>
        <v/>
      </c>
      <c r="T1712">
        <f>T1711+0.7</f>
        <v/>
      </c>
      <c r="U1712">
        <f>U1711+1.1</f>
        <v/>
      </c>
      <c r="V1712">
        <f>V1711+0.25</f>
        <v/>
      </c>
      <c r="W1712">
        <f>W1711+0.5</f>
        <v/>
      </c>
    </row>
    <row r="1713">
      <c r="E1713">
        <f>O1713=ROUND(1702*0.1,10)</f>
        <v/>
      </c>
      <c r="F1713">
        <f>P1713=ROUND(1702*0.2,10)</f>
        <v/>
      </c>
      <c r="G1713">
        <f>Q1713=ROUND(1702*0.3,10)</f>
        <v/>
      </c>
      <c r="H1713">
        <f>R1713=ROUND(1702*0.05,10)</f>
        <v/>
      </c>
      <c r="I1713">
        <f>S1713=ROUND(1702*0.01,10)</f>
        <v/>
      </c>
      <c r="J1713">
        <f>T1713=ROUND(1702*0.7,10)</f>
        <v/>
      </c>
      <c r="K1713">
        <f>U1713=ROUND(1702*1.1,10)</f>
        <v/>
      </c>
      <c r="L1713">
        <f>V1713=ROUND(1702*0.25,10)</f>
        <v/>
      </c>
      <c r="M1713">
        <f>W1713=ROUND(1702*0.5,10)</f>
        <v/>
      </c>
      <c r="O1713">
        <f>O1712+0.1</f>
        <v/>
      </c>
      <c r="P1713">
        <f>P1712+0.2</f>
        <v/>
      </c>
      <c r="Q1713">
        <f>Q1712+0.3</f>
        <v/>
      </c>
      <c r="R1713">
        <f>R1712+0.05</f>
        <v/>
      </c>
      <c r="S1713">
        <f>S1712+0.01</f>
        <v/>
      </c>
      <c r="T1713">
        <f>T1712+0.7</f>
        <v/>
      </c>
      <c r="U1713">
        <f>U1712+1.1</f>
        <v/>
      </c>
      <c r="V1713">
        <f>V1712+0.25</f>
        <v/>
      </c>
      <c r="W1713">
        <f>W1712+0.5</f>
        <v/>
      </c>
    </row>
    <row r="1714">
      <c r="E1714">
        <f>O1714=ROUND(1703*0.1,10)</f>
        <v/>
      </c>
      <c r="F1714">
        <f>P1714=ROUND(1703*0.2,10)</f>
        <v/>
      </c>
      <c r="G1714">
        <f>Q1714=ROUND(1703*0.3,10)</f>
        <v/>
      </c>
      <c r="H1714">
        <f>R1714=ROUND(1703*0.05,10)</f>
        <v/>
      </c>
      <c r="I1714">
        <f>S1714=ROUND(1703*0.01,10)</f>
        <v/>
      </c>
      <c r="J1714">
        <f>T1714=ROUND(1703*0.7,10)</f>
        <v/>
      </c>
      <c r="K1714">
        <f>U1714=ROUND(1703*1.1,10)</f>
        <v/>
      </c>
      <c r="L1714">
        <f>V1714=ROUND(1703*0.25,10)</f>
        <v/>
      </c>
      <c r="M1714">
        <f>W1714=ROUND(1703*0.5,10)</f>
        <v/>
      </c>
      <c r="O1714">
        <f>O1713+0.1</f>
        <v/>
      </c>
      <c r="P1714">
        <f>P1713+0.2</f>
        <v/>
      </c>
      <c r="Q1714">
        <f>Q1713+0.3</f>
        <v/>
      </c>
      <c r="R1714">
        <f>R1713+0.05</f>
        <v/>
      </c>
      <c r="S1714">
        <f>S1713+0.01</f>
        <v/>
      </c>
      <c r="T1714">
        <f>T1713+0.7</f>
        <v/>
      </c>
      <c r="U1714">
        <f>U1713+1.1</f>
        <v/>
      </c>
      <c r="V1714">
        <f>V1713+0.25</f>
        <v/>
      </c>
      <c r="W1714">
        <f>W1713+0.5</f>
        <v/>
      </c>
    </row>
    <row r="1715">
      <c r="E1715">
        <f>O1715=ROUND(1704*0.1,10)</f>
        <v/>
      </c>
      <c r="F1715">
        <f>P1715=ROUND(1704*0.2,10)</f>
        <v/>
      </c>
      <c r="G1715">
        <f>Q1715=ROUND(1704*0.3,10)</f>
        <v/>
      </c>
      <c r="H1715">
        <f>R1715=ROUND(1704*0.05,10)</f>
        <v/>
      </c>
      <c r="I1715">
        <f>S1715=ROUND(1704*0.01,10)</f>
        <v/>
      </c>
      <c r="J1715">
        <f>T1715=ROUND(1704*0.7,10)</f>
        <v/>
      </c>
      <c r="K1715">
        <f>U1715=ROUND(1704*1.1,10)</f>
        <v/>
      </c>
      <c r="L1715">
        <f>V1715=ROUND(1704*0.25,10)</f>
        <v/>
      </c>
      <c r="M1715">
        <f>W1715=ROUND(1704*0.5,10)</f>
        <v/>
      </c>
      <c r="O1715">
        <f>O1714+0.1</f>
        <v/>
      </c>
      <c r="P1715">
        <f>P1714+0.2</f>
        <v/>
      </c>
      <c r="Q1715">
        <f>Q1714+0.3</f>
        <v/>
      </c>
      <c r="R1715">
        <f>R1714+0.05</f>
        <v/>
      </c>
      <c r="S1715">
        <f>S1714+0.01</f>
        <v/>
      </c>
      <c r="T1715">
        <f>T1714+0.7</f>
        <v/>
      </c>
      <c r="U1715">
        <f>U1714+1.1</f>
        <v/>
      </c>
      <c r="V1715">
        <f>V1714+0.25</f>
        <v/>
      </c>
      <c r="W1715">
        <f>W1714+0.5</f>
        <v/>
      </c>
    </row>
    <row r="1716">
      <c r="E1716">
        <f>O1716=ROUND(1705*0.1,10)</f>
        <v/>
      </c>
      <c r="F1716">
        <f>P1716=ROUND(1705*0.2,10)</f>
        <v/>
      </c>
      <c r="G1716">
        <f>Q1716=ROUND(1705*0.3,10)</f>
        <v/>
      </c>
      <c r="H1716">
        <f>R1716=ROUND(1705*0.05,10)</f>
        <v/>
      </c>
      <c r="I1716">
        <f>S1716=ROUND(1705*0.01,10)</f>
        <v/>
      </c>
      <c r="J1716">
        <f>T1716=ROUND(1705*0.7,10)</f>
        <v/>
      </c>
      <c r="K1716">
        <f>U1716=ROUND(1705*1.1,10)</f>
        <v/>
      </c>
      <c r="L1716">
        <f>V1716=ROUND(1705*0.25,10)</f>
        <v/>
      </c>
      <c r="M1716">
        <f>W1716=ROUND(1705*0.5,10)</f>
        <v/>
      </c>
      <c r="O1716">
        <f>O1715+0.1</f>
        <v/>
      </c>
      <c r="P1716">
        <f>P1715+0.2</f>
        <v/>
      </c>
      <c r="Q1716">
        <f>Q1715+0.3</f>
        <v/>
      </c>
      <c r="R1716">
        <f>R1715+0.05</f>
        <v/>
      </c>
      <c r="S1716">
        <f>S1715+0.01</f>
        <v/>
      </c>
      <c r="T1716">
        <f>T1715+0.7</f>
        <v/>
      </c>
      <c r="U1716">
        <f>U1715+1.1</f>
        <v/>
      </c>
      <c r="V1716">
        <f>V1715+0.25</f>
        <v/>
      </c>
      <c r="W1716">
        <f>W1715+0.5</f>
        <v/>
      </c>
    </row>
    <row r="1717">
      <c r="E1717">
        <f>O1717=ROUND(1706*0.1,10)</f>
        <v/>
      </c>
      <c r="F1717">
        <f>P1717=ROUND(1706*0.2,10)</f>
        <v/>
      </c>
      <c r="G1717">
        <f>Q1717=ROUND(1706*0.3,10)</f>
        <v/>
      </c>
      <c r="H1717">
        <f>R1717=ROUND(1706*0.05,10)</f>
        <v/>
      </c>
      <c r="I1717">
        <f>S1717=ROUND(1706*0.01,10)</f>
        <v/>
      </c>
      <c r="J1717">
        <f>T1717=ROUND(1706*0.7,10)</f>
        <v/>
      </c>
      <c r="K1717">
        <f>U1717=ROUND(1706*1.1,10)</f>
        <v/>
      </c>
      <c r="L1717">
        <f>V1717=ROUND(1706*0.25,10)</f>
        <v/>
      </c>
      <c r="M1717">
        <f>W1717=ROUND(1706*0.5,10)</f>
        <v/>
      </c>
      <c r="O1717">
        <f>O1716+0.1</f>
        <v/>
      </c>
      <c r="P1717">
        <f>P1716+0.2</f>
        <v/>
      </c>
      <c r="Q1717">
        <f>Q1716+0.3</f>
        <v/>
      </c>
      <c r="R1717">
        <f>R1716+0.05</f>
        <v/>
      </c>
      <c r="S1717">
        <f>S1716+0.01</f>
        <v/>
      </c>
      <c r="T1717">
        <f>T1716+0.7</f>
        <v/>
      </c>
      <c r="U1717">
        <f>U1716+1.1</f>
        <v/>
      </c>
      <c r="V1717">
        <f>V1716+0.25</f>
        <v/>
      </c>
      <c r="W1717">
        <f>W1716+0.5</f>
        <v/>
      </c>
    </row>
    <row r="1718">
      <c r="E1718">
        <f>O1718=ROUND(1707*0.1,10)</f>
        <v/>
      </c>
      <c r="F1718">
        <f>P1718=ROUND(1707*0.2,10)</f>
        <v/>
      </c>
      <c r="G1718">
        <f>Q1718=ROUND(1707*0.3,10)</f>
        <v/>
      </c>
      <c r="H1718">
        <f>R1718=ROUND(1707*0.05,10)</f>
        <v/>
      </c>
      <c r="I1718">
        <f>S1718=ROUND(1707*0.01,10)</f>
        <v/>
      </c>
      <c r="J1718">
        <f>T1718=ROUND(1707*0.7,10)</f>
        <v/>
      </c>
      <c r="K1718">
        <f>U1718=ROUND(1707*1.1,10)</f>
        <v/>
      </c>
      <c r="L1718">
        <f>V1718=ROUND(1707*0.25,10)</f>
        <v/>
      </c>
      <c r="M1718">
        <f>W1718=ROUND(1707*0.5,10)</f>
        <v/>
      </c>
      <c r="O1718">
        <f>O1717+0.1</f>
        <v/>
      </c>
      <c r="P1718">
        <f>P1717+0.2</f>
        <v/>
      </c>
      <c r="Q1718">
        <f>Q1717+0.3</f>
        <v/>
      </c>
      <c r="R1718">
        <f>R1717+0.05</f>
        <v/>
      </c>
      <c r="S1718">
        <f>S1717+0.01</f>
        <v/>
      </c>
      <c r="T1718">
        <f>T1717+0.7</f>
        <v/>
      </c>
      <c r="U1718">
        <f>U1717+1.1</f>
        <v/>
      </c>
      <c r="V1718">
        <f>V1717+0.25</f>
        <v/>
      </c>
      <c r="W1718">
        <f>W1717+0.5</f>
        <v/>
      </c>
    </row>
    <row r="1719">
      <c r="E1719">
        <f>O1719=ROUND(1708*0.1,10)</f>
        <v/>
      </c>
      <c r="F1719">
        <f>P1719=ROUND(1708*0.2,10)</f>
        <v/>
      </c>
      <c r="G1719">
        <f>Q1719=ROUND(1708*0.3,10)</f>
        <v/>
      </c>
      <c r="H1719">
        <f>R1719=ROUND(1708*0.05,10)</f>
        <v/>
      </c>
      <c r="I1719">
        <f>S1719=ROUND(1708*0.01,10)</f>
        <v/>
      </c>
      <c r="J1719">
        <f>T1719=ROUND(1708*0.7,10)</f>
        <v/>
      </c>
      <c r="K1719">
        <f>U1719=ROUND(1708*1.1,10)</f>
        <v/>
      </c>
      <c r="L1719">
        <f>V1719=ROUND(1708*0.25,10)</f>
        <v/>
      </c>
      <c r="M1719">
        <f>W1719=ROUND(1708*0.5,10)</f>
        <v/>
      </c>
      <c r="O1719">
        <f>O1718+0.1</f>
        <v/>
      </c>
      <c r="P1719">
        <f>P1718+0.2</f>
        <v/>
      </c>
      <c r="Q1719">
        <f>Q1718+0.3</f>
        <v/>
      </c>
      <c r="R1719">
        <f>R1718+0.05</f>
        <v/>
      </c>
      <c r="S1719">
        <f>S1718+0.01</f>
        <v/>
      </c>
      <c r="T1719">
        <f>T1718+0.7</f>
        <v/>
      </c>
      <c r="U1719">
        <f>U1718+1.1</f>
        <v/>
      </c>
      <c r="V1719">
        <f>V1718+0.25</f>
        <v/>
      </c>
      <c r="W1719">
        <f>W1718+0.5</f>
        <v/>
      </c>
    </row>
    <row r="1720">
      <c r="E1720">
        <f>O1720=ROUND(1709*0.1,10)</f>
        <v/>
      </c>
      <c r="F1720">
        <f>P1720=ROUND(1709*0.2,10)</f>
        <v/>
      </c>
      <c r="G1720">
        <f>Q1720=ROUND(1709*0.3,10)</f>
        <v/>
      </c>
      <c r="H1720">
        <f>R1720=ROUND(1709*0.05,10)</f>
        <v/>
      </c>
      <c r="I1720">
        <f>S1720=ROUND(1709*0.01,10)</f>
        <v/>
      </c>
      <c r="J1720">
        <f>T1720=ROUND(1709*0.7,10)</f>
        <v/>
      </c>
      <c r="K1720">
        <f>U1720=ROUND(1709*1.1,10)</f>
        <v/>
      </c>
      <c r="L1720">
        <f>V1720=ROUND(1709*0.25,10)</f>
        <v/>
      </c>
      <c r="M1720">
        <f>W1720=ROUND(1709*0.5,10)</f>
        <v/>
      </c>
      <c r="O1720">
        <f>O1719+0.1</f>
        <v/>
      </c>
      <c r="P1720">
        <f>P1719+0.2</f>
        <v/>
      </c>
      <c r="Q1720">
        <f>Q1719+0.3</f>
        <v/>
      </c>
      <c r="R1720">
        <f>R1719+0.05</f>
        <v/>
      </c>
      <c r="S1720">
        <f>S1719+0.01</f>
        <v/>
      </c>
      <c r="T1720">
        <f>T1719+0.7</f>
        <v/>
      </c>
      <c r="U1720">
        <f>U1719+1.1</f>
        <v/>
      </c>
      <c r="V1720">
        <f>V1719+0.25</f>
        <v/>
      </c>
      <c r="W1720">
        <f>W1719+0.5</f>
        <v/>
      </c>
    </row>
    <row r="1721">
      <c r="E1721">
        <f>O1721=ROUND(1710*0.1,10)</f>
        <v/>
      </c>
      <c r="F1721">
        <f>P1721=ROUND(1710*0.2,10)</f>
        <v/>
      </c>
      <c r="G1721">
        <f>Q1721=ROUND(1710*0.3,10)</f>
        <v/>
      </c>
      <c r="H1721">
        <f>R1721=ROUND(1710*0.05,10)</f>
        <v/>
      </c>
      <c r="I1721">
        <f>S1721=ROUND(1710*0.01,10)</f>
        <v/>
      </c>
      <c r="J1721">
        <f>T1721=ROUND(1710*0.7,10)</f>
        <v/>
      </c>
      <c r="K1721">
        <f>U1721=ROUND(1710*1.1,10)</f>
        <v/>
      </c>
      <c r="L1721">
        <f>V1721=ROUND(1710*0.25,10)</f>
        <v/>
      </c>
      <c r="M1721">
        <f>W1721=ROUND(1710*0.5,10)</f>
        <v/>
      </c>
      <c r="O1721">
        <f>O1720+0.1</f>
        <v/>
      </c>
      <c r="P1721">
        <f>P1720+0.2</f>
        <v/>
      </c>
      <c r="Q1721">
        <f>Q1720+0.3</f>
        <v/>
      </c>
      <c r="R1721">
        <f>R1720+0.05</f>
        <v/>
      </c>
      <c r="S1721">
        <f>S1720+0.01</f>
        <v/>
      </c>
      <c r="T1721">
        <f>T1720+0.7</f>
        <v/>
      </c>
      <c r="U1721">
        <f>U1720+1.1</f>
        <v/>
      </c>
      <c r="V1721">
        <f>V1720+0.25</f>
        <v/>
      </c>
      <c r="W1721">
        <f>W1720+0.5</f>
        <v/>
      </c>
    </row>
    <row r="1722">
      <c r="E1722">
        <f>O1722=ROUND(1711*0.1,10)</f>
        <v/>
      </c>
      <c r="F1722">
        <f>P1722=ROUND(1711*0.2,10)</f>
        <v/>
      </c>
      <c r="G1722">
        <f>Q1722=ROUND(1711*0.3,10)</f>
        <v/>
      </c>
      <c r="H1722">
        <f>R1722=ROUND(1711*0.05,10)</f>
        <v/>
      </c>
      <c r="I1722">
        <f>S1722=ROUND(1711*0.01,10)</f>
        <v/>
      </c>
      <c r="J1722">
        <f>T1722=ROUND(1711*0.7,10)</f>
        <v/>
      </c>
      <c r="K1722">
        <f>U1722=ROUND(1711*1.1,10)</f>
        <v/>
      </c>
      <c r="L1722">
        <f>V1722=ROUND(1711*0.25,10)</f>
        <v/>
      </c>
      <c r="M1722">
        <f>W1722=ROUND(1711*0.5,10)</f>
        <v/>
      </c>
      <c r="O1722">
        <f>O1721+0.1</f>
        <v/>
      </c>
      <c r="P1722">
        <f>P1721+0.2</f>
        <v/>
      </c>
      <c r="Q1722">
        <f>Q1721+0.3</f>
        <v/>
      </c>
      <c r="R1722">
        <f>R1721+0.05</f>
        <v/>
      </c>
      <c r="S1722">
        <f>S1721+0.01</f>
        <v/>
      </c>
      <c r="T1722">
        <f>T1721+0.7</f>
        <v/>
      </c>
      <c r="U1722">
        <f>U1721+1.1</f>
        <v/>
      </c>
      <c r="V1722">
        <f>V1721+0.25</f>
        <v/>
      </c>
      <c r="W1722">
        <f>W1721+0.5</f>
        <v/>
      </c>
    </row>
    <row r="1723">
      <c r="E1723">
        <f>O1723=ROUND(1712*0.1,10)</f>
        <v/>
      </c>
      <c r="F1723">
        <f>P1723=ROUND(1712*0.2,10)</f>
        <v/>
      </c>
      <c r="G1723">
        <f>Q1723=ROUND(1712*0.3,10)</f>
        <v/>
      </c>
      <c r="H1723">
        <f>R1723=ROUND(1712*0.05,10)</f>
        <v/>
      </c>
      <c r="I1723">
        <f>S1723=ROUND(1712*0.01,10)</f>
        <v/>
      </c>
      <c r="J1723">
        <f>T1723=ROUND(1712*0.7,10)</f>
        <v/>
      </c>
      <c r="K1723">
        <f>U1723=ROUND(1712*1.1,10)</f>
        <v/>
      </c>
      <c r="L1723">
        <f>V1723=ROUND(1712*0.25,10)</f>
        <v/>
      </c>
      <c r="M1723">
        <f>W1723=ROUND(1712*0.5,10)</f>
        <v/>
      </c>
      <c r="O1723">
        <f>O1722+0.1</f>
        <v/>
      </c>
      <c r="P1723">
        <f>P1722+0.2</f>
        <v/>
      </c>
      <c r="Q1723">
        <f>Q1722+0.3</f>
        <v/>
      </c>
      <c r="R1723">
        <f>R1722+0.05</f>
        <v/>
      </c>
      <c r="S1723">
        <f>S1722+0.01</f>
        <v/>
      </c>
      <c r="T1723">
        <f>T1722+0.7</f>
        <v/>
      </c>
      <c r="U1723">
        <f>U1722+1.1</f>
        <v/>
      </c>
      <c r="V1723">
        <f>V1722+0.25</f>
        <v/>
      </c>
      <c r="W1723">
        <f>W1722+0.5</f>
        <v/>
      </c>
    </row>
    <row r="1724">
      <c r="E1724">
        <f>O1724=ROUND(1713*0.1,10)</f>
        <v/>
      </c>
      <c r="F1724">
        <f>P1724=ROUND(1713*0.2,10)</f>
        <v/>
      </c>
      <c r="G1724">
        <f>Q1724=ROUND(1713*0.3,10)</f>
        <v/>
      </c>
      <c r="H1724">
        <f>R1724=ROUND(1713*0.05,10)</f>
        <v/>
      </c>
      <c r="I1724">
        <f>S1724=ROUND(1713*0.01,10)</f>
        <v/>
      </c>
      <c r="J1724">
        <f>T1724=ROUND(1713*0.7,10)</f>
        <v/>
      </c>
      <c r="K1724">
        <f>U1724=ROUND(1713*1.1,10)</f>
        <v/>
      </c>
      <c r="L1724">
        <f>V1724=ROUND(1713*0.25,10)</f>
        <v/>
      </c>
      <c r="M1724">
        <f>W1724=ROUND(1713*0.5,10)</f>
        <v/>
      </c>
      <c r="O1724">
        <f>O1723+0.1</f>
        <v/>
      </c>
      <c r="P1724">
        <f>P1723+0.2</f>
        <v/>
      </c>
      <c r="Q1724">
        <f>Q1723+0.3</f>
        <v/>
      </c>
      <c r="R1724">
        <f>R1723+0.05</f>
        <v/>
      </c>
      <c r="S1724">
        <f>S1723+0.01</f>
        <v/>
      </c>
      <c r="T1724">
        <f>T1723+0.7</f>
        <v/>
      </c>
      <c r="U1724">
        <f>U1723+1.1</f>
        <v/>
      </c>
      <c r="V1724">
        <f>V1723+0.25</f>
        <v/>
      </c>
      <c r="W1724">
        <f>W1723+0.5</f>
        <v/>
      </c>
    </row>
    <row r="1725">
      <c r="E1725">
        <f>O1725=ROUND(1714*0.1,10)</f>
        <v/>
      </c>
      <c r="F1725">
        <f>P1725=ROUND(1714*0.2,10)</f>
        <v/>
      </c>
      <c r="G1725">
        <f>Q1725=ROUND(1714*0.3,10)</f>
        <v/>
      </c>
      <c r="H1725">
        <f>R1725=ROUND(1714*0.05,10)</f>
        <v/>
      </c>
      <c r="I1725">
        <f>S1725=ROUND(1714*0.01,10)</f>
        <v/>
      </c>
      <c r="J1725">
        <f>T1725=ROUND(1714*0.7,10)</f>
        <v/>
      </c>
      <c r="K1725">
        <f>U1725=ROUND(1714*1.1,10)</f>
        <v/>
      </c>
      <c r="L1725">
        <f>V1725=ROUND(1714*0.25,10)</f>
        <v/>
      </c>
      <c r="M1725">
        <f>W1725=ROUND(1714*0.5,10)</f>
        <v/>
      </c>
      <c r="O1725">
        <f>O1724+0.1</f>
        <v/>
      </c>
      <c r="P1725">
        <f>P1724+0.2</f>
        <v/>
      </c>
      <c r="Q1725">
        <f>Q1724+0.3</f>
        <v/>
      </c>
      <c r="R1725">
        <f>R1724+0.05</f>
        <v/>
      </c>
      <c r="S1725">
        <f>S1724+0.01</f>
        <v/>
      </c>
      <c r="T1725">
        <f>T1724+0.7</f>
        <v/>
      </c>
      <c r="U1725">
        <f>U1724+1.1</f>
        <v/>
      </c>
      <c r="V1725">
        <f>V1724+0.25</f>
        <v/>
      </c>
      <c r="W1725">
        <f>W1724+0.5</f>
        <v/>
      </c>
    </row>
    <row r="1726">
      <c r="E1726">
        <f>O1726=ROUND(1715*0.1,10)</f>
        <v/>
      </c>
      <c r="F1726">
        <f>P1726=ROUND(1715*0.2,10)</f>
        <v/>
      </c>
      <c r="G1726">
        <f>Q1726=ROUND(1715*0.3,10)</f>
        <v/>
      </c>
      <c r="H1726">
        <f>R1726=ROUND(1715*0.05,10)</f>
        <v/>
      </c>
      <c r="I1726">
        <f>S1726=ROUND(1715*0.01,10)</f>
        <v/>
      </c>
      <c r="J1726">
        <f>T1726=ROUND(1715*0.7,10)</f>
        <v/>
      </c>
      <c r="K1726">
        <f>U1726=ROUND(1715*1.1,10)</f>
        <v/>
      </c>
      <c r="L1726">
        <f>V1726=ROUND(1715*0.25,10)</f>
        <v/>
      </c>
      <c r="M1726">
        <f>W1726=ROUND(1715*0.5,10)</f>
        <v/>
      </c>
      <c r="O1726">
        <f>O1725+0.1</f>
        <v/>
      </c>
      <c r="P1726">
        <f>P1725+0.2</f>
        <v/>
      </c>
      <c r="Q1726">
        <f>Q1725+0.3</f>
        <v/>
      </c>
      <c r="R1726">
        <f>R1725+0.05</f>
        <v/>
      </c>
      <c r="S1726">
        <f>S1725+0.01</f>
        <v/>
      </c>
      <c r="T1726">
        <f>T1725+0.7</f>
        <v/>
      </c>
      <c r="U1726">
        <f>U1725+1.1</f>
        <v/>
      </c>
      <c r="V1726">
        <f>V1725+0.25</f>
        <v/>
      </c>
      <c r="W1726">
        <f>W1725+0.5</f>
        <v/>
      </c>
    </row>
    <row r="1727">
      <c r="E1727">
        <f>O1727=ROUND(1716*0.1,10)</f>
        <v/>
      </c>
      <c r="F1727">
        <f>P1727=ROUND(1716*0.2,10)</f>
        <v/>
      </c>
      <c r="G1727">
        <f>Q1727=ROUND(1716*0.3,10)</f>
        <v/>
      </c>
      <c r="H1727">
        <f>R1727=ROUND(1716*0.05,10)</f>
        <v/>
      </c>
      <c r="I1727">
        <f>S1727=ROUND(1716*0.01,10)</f>
        <v/>
      </c>
      <c r="J1727">
        <f>T1727=ROUND(1716*0.7,10)</f>
        <v/>
      </c>
      <c r="K1727">
        <f>U1727=ROUND(1716*1.1,10)</f>
        <v/>
      </c>
      <c r="L1727">
        <f>V1727=ROUND(1716*0.25,10)</f>
        <v/>
      </c>
      <c r="M1727">
        <f>W1727=ROUND(1716*0.5,10)</f>
        <v/>
      </c>
      <c r="O1727">
        <f>O1726+0.1</f>
        <v/>
      </c>
      <c r="P1727">
        <f>P1726+0.2</f>
        <v/>
      </c>
      <c r="Q1727">
        <f>Q1726+0.3</f>
        <v/>
      </c>
      <c r="R1727">
        <f>R1726+0.05</f>
        <v/>
      </c>
      <c r="S1727">
        <f>S1726+0.01</f>
        <v/>
      </c>
      <c r="T1727">
        <f>T1726+0.7</f>
        <v/>
      </c>
      <c r="U1727">
        <f>U1726+1.1</f>
        <v/>
      </c>
      <c r="V1727">
        <f>V1726+0.25</f>
        <v/>
      </c>
      <c r="W1727">
        <f>W1726+0.5</f>
        <v/>
      </c>
    </row>
    <row r="1728">
      <c r="E1728">
        <f>O1728=ROUND(1717*0.1,10)</f>
        <v/>
      </c>
      <c r="F1728">
        <f>P1728=ROUND(1717*0.2,10)</f>
        <v/>
      </c>
      <c r="G1728">
        <f>Q1728=ROUND(1717*0.3,10)</f>
        <v/>
      </c>
      <c r="H1728">
        <f>R1728=ROUND(1717*0.05,10)</f>
        <v/>
      </c>
      <c r="I1728">
        <f>S1728=ROUND(1717*0.01,10)</f>
        <v/>
      </c>
      <c r="J1728">
        <f>T1728=ROUND(1717*0.7,10)</f>
        <v/>
      </c>
      <c r="K1728">
        <f>U1728=ROUND(1717*1.1,10)</f>
        <v/>
      </c>
      <c r="L1728">
        <f>V1728=ROUND(1717*0.25,10)</f>
        <v/>
      </c>
      <c r="M1728">
        <f>W1728=ROUND(1717*0.5,10)</f>
        <v/>
      </c>
      <c r="O1728">
        <f>O1727+0.1</f>
        <v/>
      </c>
      <c r="P1728">
        <f>P1727+0.2</f>
        <v/>
      </c>
      <c r="Q1728">
        <f>Q1727+0.3</f>
        <v/>
      </c>
      <c r="R1728">
        <f>R1727+0.05</f>
        <v/>
      </c>
      <c r="S1728">
        <f>S1727+0.01</f>
        <v/>
      </c>
      <c r="T1728">
        <f>T1727+0.7</f>
        <v/>
      </c>
      <c r="U1728">
        <f>U1727+1.1</f>
        <v/>
      </c>
      <c r="V1728">
        <f>V1727+0.25</f>
        <v/>
      </c>
      <c r="W1728">
        <f>W1727+0.5</f>
        <v/>
      </c>
    </row>
    <row r="1729">
      <c r="E1729">
        <f>O1729=ROUND(1718*0.1,10)</f>
        <v/>
      </c>
      <c r="F1729">
        <f>P1729=ROUND(1718*0.2,10)</f>
        <v/>
      </c>
      <c r="G1729">
        <f>Q1729=ROUND(1718*0.3,10)</f>
        <v/>
      </c>
      <c r="H1729">
        <f>R1729=ROUND(1718*0.05,10)</f>
        <v/>
      </c>
      <c r="I1729">
        <f>S1729=ROUND(1718*0.01,10)</f>
        <v/>
      </c>
      <c r="J1729">
        <f>T1729=ROUND(1718*0.7,10)</f>
        <v/>
      </c>
      <c r="K1729">
        <f>U1729=ROUND(1718*1.1,10)</f>
        <v/>
      </c>
      <c r="L1729">
        <f>V1729=ROUND(1718*0.25,10)</f>
        <v/>
      </c>
      <c r="M1729">
        <f>W1729=ROUND(1718*0.5,10)</f>
        <v/>
      </c>
      <c r="O1729">
        <f>O1728+0.1</f>
        <v/>
      </c>
      <c r="P1729">
        <f>P1728+0.2</f>
        <v/>
      </c>
      <c r="Q1729">
        <f>Q1728+0.3</f>
        <v/>
      </c>
      <c r="R1729">
        <f>R1728+0.05</f>
        <v/>
      </c>
      <c r="S1729">
        <f>S1728+0.01</f>
        <v/>
      </c>
      <c r="T1729">
        <f>T1728+0.7</f>
        <v/>
      </c>
      <c r="U1729">
        <f>U1728+1.1</f>
        <v/>
      </c>
      <c r="V1729">
        <f>V1728+0.25</f>
        <v/>
      </c>
      <c r="W1729">
        <f>W1728+0.5</f>
        <v/>
      </c>
    </row>
    <row r="1730">
      <c r="E1730">
        <f>O1730=ROUND(1719*0.1,10)</f>
        <v/>
      </c>
      <c r="F1730">
        <f>P1730=ROUND(1719*0.2,10)</f>
        <v/>
      </c>
      <c r="G1730">
        <f>Q1730=ROUND(1719*0.3,10)</f>
        <v/>
      </c>
      <c r="H1730">
        <f>R1730=ROUND(1719*0.05,10)</f>
        <v/>
      </c>
      <c r="I1730">
        <f>S1730=ROUND(1719*0.01,10)</f>
        <v/>
      </c>
      <c r="J1730">
        <f>T1730=ROUND(1719*0.7,10)</f>
        <v/>
      </c>
      <c r="K1730">
        <f>U1730=ROUND(1719*1.1,10)</f>
        <v/>
      </c>
      <c r="L1730">
        <f>V1730=ROUND(1719*0.25,10)</f>
        <v/>
      </c>
      <c r="M1730">
        <f>W1730=ROUND(1719*0.5,10)</f>
        <v/>
      </c>
      <c r="O1730">
        <f>O1729+0.1</f>
        <v/>
      </c>
      <c r="P1730">
        <f>P1729+0.2</f>
        <v/>
      </c>
      <c r="Q1730">
        <f>Q1729+0.3</f>
        <v/>
      </c>
      <c r="R1730">
        <f>R1729+0.05</f>
        <v/>
      </c>
      <c r="S1730">
        <f>S1729+0.01</f>
        <v/>
      </c>
      <c r="T1730">
        <f>T1729+0.7</f>
        <v/>
      </c>
      <c r="U1730">
        <f>U1729+1.1</f>
        <v/>
      </c>
      <c r="V1730">
        <f>V1729+0.25</f>
        <v/>
      </c>
      <c r="W1730">
        <f>W1729+0.5</f>
        <v/>
      </c>
    </row>
    <row r="1731">
      <c r="E1731">
        <f>O1731=ROUND(1720*0.1,10)</f>
        <v/>
      </c>
      <c r="F1731">
        <f>P1731=ROUND(1720*0.2,10)</f>
        <v/>
      </c>
      <c r="G1731">
        <f>Q1731=ROUND(1720*0.3,10)</f>
        <v/>
      </c>
      <c r="H1731">
        <f>R1731=ROUND(1720*0.05,10)</f>
        <v/>
      </c>
      <c r="I1731">
        <f>S1731=ROUND(1720*0.01,10)</f>
        <v/>
      </c>
      <c r="J1731">
        <f>T1731=ROUND(1720*0.7,10)</f>
        <v/>
      </c>
      <c r="K1731">
        <f>U1731=ROUND(1720*1.1,10)</f>
        <v/>
      </c>
      <c r="L1731">
        <f>V1731=ROUND(1720*0.25,10)</f>
        <v/>
      </c>
      <c r="M1731">
        <f>W1731=ROUND(1720*0.5,10)</f>
        <v/>
      </c>
      <c r="O1731">
        <f>O1730+0.1</f>
        <v/>
      </c>
      <c r="P1731">
        <f>P1730+0.2</f>
        <v/>
      </c>
      <c r="Q1731">
        <f>Q1730+0.3</f>
        <v/>
      </c>
      <c r="R1731">
        <f>R1730+0.05</f>
        <v/>
      </c>
      <c r="S1731">
        <f>S1730+0.01</f>
        <v/>
      </c>
      <c r="T1731">
        <f>T1730+0.7</f>
        <v/>
      </c>
      <c r="U1731">
        <f>U1730+1.1</f>
        <v/>
      </c>
      <c r="V1731">
        <f>V1730+0.25</f>
        <v/>
      </c>
      <c r="W1731">
        <f>W1730+0.5</f>
        <v/>
      </c>
    </row>
    <row r="1732">
      <c r="E1732">
        <f>O1732=ROUND(1721*0.1,10)</f>
        <v/>
      </c>
      <c r="F1732">
        <f>P1732=ROUND(1721*0.2,10)</f>
        <v/>
      </c>
      <c r="G1732">
        <f>Q1732=ROUND(1721*0.3,10)</f>
        <v/>
      </c>
      <c r="H1732">
        <f>R1732=ROUND(1721*0.05,10)</f>
        <v/>
      </c>
      <c r="I1732">
        <f>S1732=ROUND(1721*0.01,10)</f>
        <v/>
      </c>
      <c r="J1732">
        <f>T1732=ROUND(1721*0.7,10)</f>
        <v/>
      </c>
      <c r="K1732">
        <f>U1732=ROUND(1721*1.1,10)</f>
        <v/>
      </c>
      <c r="L1732">
        <f>V1732=ROUND(1721*0.25,10)</f>
        <v/>
      </c>
      <c r="M1732">
        <f>W1732=ROUND(1721*0.5,10)</f>
        <v/>
      </c>
      <c r="O1732">
        <f>O1731+0.1</f>
        <v/>
      </c>
      <c r="P1732">
        <f>P1731+0.2</f>
        <v/>
      </c>
      <c r="Q1732">
        <f>Q1731+0.3</f>
        <v/>
      </c>
      <c r="R1732">
        <f>R1731+0.05</f>
        <v/>
      </c>
      <c r="S1732">
        <f>S1731+0.01</f>
        <v/>
      </c>
      <c r="T1732">
        <f>T1731+0.7</f>
        <v/>
      </c>
      <c r="U1732">
        <f>U1731+1.1</f>
        <v/>
      </c>
      <c r="V1732">
        <f>V1731+0.25</f>
        <v/>
      </c>
      <c r="W1732">
        <f>W1731+0.5</f>
        <v/>
      </c>
    </row>
    <row r="1733">
      <c r="E1733">
        <f>O1733=ROUND(1722*0.1,10)</f>
        <v/>
      </c>
      <c r="F1733">
        <f>P1733=ROUND(1722*0.2,10)</f>
        <v/>
      </c>
      <c r="G1733">
        <f>Q1733=ROUND(1722*0.3,10)</f>
        <v/>
      </c>
      <c r="H1733">
        <f>R1733=ROUND(1722*0.05,10)</f>
        <v/>
      </c>
      <c r="I1733">
        <f>S1733=ROUND(1722*0.01,10)</f>
        <v/>
      </c>
      <c r="J1733">
        <f>T1733=ROUND(1722*0.7,10)</f>
        <v/>
      </c>
      <c r="K1733">
        <f>U1733=ROUND(1722*1.1,10)</f>
        <v/>
      </c>
      <c r="L1733">
        <f>V1733=ROUND(1722*0.25,10)</f>
        <v/>
      </c>
      <c r="M1733">
        <f>W1733=ROUND(1722*0.5,10)</f>
        <v/>
      </c>
      <c r="O1733">
        <f>O1732+0.1</f>
        <v/>
      </c>
      <c r="P1733">
        <f>P1732+0.2</f>
        <v/>
      </c>
      <c r="Q1733">
        <f>Q1732+0.3</f>
        <v/>
      </c>
      <c r="R1733">
        <f>R1732+0.05</f>
        <v/>
      </c>
      <c r="S1733">
        <f>S1732+0.01</f>
        <v/>
      </c>
      <c r="T1733">
        <f>T1732+0.7</f>
        <v/>
      </c>
      <c r="U1733">
        <f>U1732+1.1</f>
        <v/>
      </c>
      <c r="V1733">
        <f>V1732+0.25</f>
        <v/>
      </c>
      <c r="W1733">
        <f>W1732+0.5</f>
        <v/>
      </c>
    </row>
    <row r="1734">
      <c r="E1734">
        <f>O1734=ROUND(1723*0.1,10)</f>
        <v/>
      </c>
      <c r="F1734">
        <f>P1734=ROUND(1723*0.2,10)</f>
        <v/>
      </c>
      <c r="G1734">
        <f>Q1734=ROUND(1723*0.3,10)</f>
        <v/>
      </c>
      <c r="H1734">
        <f>R1734=ROUND(1723*0.05,10)</f>
        <v/>
      </c>
      <c r="I1734">
        <f>S1734=ROUND(1723*0.01,10)</f>
        <v/>
      </c>
      <c r="J1734">
        <f>T1734=ROUND(1723*0.7,10)</f>
        <v/>
      </c>
      <c r="K1734">
        <f>U1734=ROUND(1723*1.1,10)</f>
        <v/>
      </c>
      <c r="L1734">
        <f>V1734=ROUND(1723*0.25,10)</f>
        <v/>
      </c>
      <c r="M1734">
        <f>W1734=ROUND(1723*0.5,10)</f>
        <v/>
      </c>
      <c r="O1734">
        <f>O1733+0.1</f>
        <v/>
      </c>
      <c r="P1734">
        <f>P1733+0.2</f>
        <v/>
      </c>
      <c r="Q1734">
        <f>Q1733+0.3</f>
        <v/>
      </c>
      <c r="R1734">
        <f>R1733+0.05</f>
        <v/>
      </c>
      <c r="S1734">
        <f>S1733+0.01</f>
        <v/>
      </c>
      <c r="T1734">
        <f>T1733+0.7</f>
        <v/>
      </c>
      <c r="U1734">
        <f>U1733+1.1</f>
        <v/>
      </c>
      <c r="V1734">
        <f>V1733+0.25</f>
        <v/>
      </c>
      <c r="W1734">
        <f>W1733+0.5</f>
        <v/>
      </c>
    </row>
    <row r="1735">
      <c r="E1735">
        <f>O1735=ROUND(1724*0.1,10)</f>
        <v/>
      </c>
      <c r="F1735">
        <f>P1735=ROUND(1724*0.2,10)</f>
        <v/>
      </c>
      <c r="G1735">
        <f>Q1735=ROUND(1724*0.3,10)</f>
        <v/>
      </c>
      <c r="H1735">
        <f>R1735=ROUND(1724*0.05,10)</f>
        <v/>
      </c>
      <c r="I1735">
        <f>S1735=ROUND(1724*0.01,10)</f>
        <v/>
      </c>
      <c r="J1735">
        <f>T1735=ROUND(1724*0.7,10)</f>
        <v/>
      </c>
      <c r="K1735">
        <f>U1735=ROUND(1724*1.1,10)</f>
        <v/>
      </c>
      <c r="L1735">
        <f>V1735=ROUND(1724*0.25,10)</f>
        <v/>
      </c>
      <c r="M1735">
        <f>W1735=ROUND(1724*0.5,10)</f>
        <v/>
      </c>
      <c r="O1735">
        <f>O1734+0.1</f>
        <v/>
      </c>
      <c r="P1735">
        <f>P1734+0.2</f>
        <v/>
      </c>
      <c r="Q1735">
        <f>Q1734+0.3</f>
        <v/>
      </c>
      <c r="R1735">
        <f>R1734+0.05</f>
        <v/>
      </c>
      <c r="S1735">
        <f>S1734+0.01</f>
        <v/>
      </c>
      <c r="T1735">
        <f>T1734+0.7</f>
        <v/>
      </c>
      <c r="U1735">
        <f>U1734+1.1</f>
        <v/>
      </c>
      <c r="V1735">
        <f>V1734+0.25</f>
        <v/>
      </c>
      <c r="W1735">
        <f>W1734+0.5</f>
        <v/>
      </c>
    </row>
    <row r="1736">
      <c r="E1736">
        <f>O1736=ROUND(1725*0.1,10)</f>
        <v/>
      </c>
      <c r="F1736">
        <f>P1736=ROUND(1725*0.2,10)</f>
        <v/>
      </c>
      <c r="G1736">
        <f>Q1736=ROUND(1725*0.3,10)</f>
        <v/>
      </c>
      <c r="H1736">
        <f>R1736=ROUND(1725*0.05,10)</f>
        <v/>
      </c>
      <c r="I1736">
        <f>S1736=ROUND(1725*0.01,10)</f>
        <v/>
      </c>
      <c r="J1736">
        <f>T1736=ROUND(1725*0.7,10)</f>
        <v/>
      </c>
      <c r="K1736">
        <f>U1736=ROUND(1725*1.1,10)</f>
        <v/>
      </c>
      <c r="L1736">
        <f>V1736=ROUND(1725*0.25,10)</f>
        <v/>
      </c>
      <c r="M1736">
        <f>W1736=ROUND(1725*0.5,10)</f>
        <v/>
      </c>
      <c r="O1736">
        <f>O1735+0.1</f>
        <v/>
      </c>
      <c r="P1736">
        <f>P1735+0.2</f>
        <v/>
      </c>
      <c r="Q1736">
        <f>Q1735+0.3</f>
        <v/>
      </c>
      <c r="R1736">
        <f>R1735+0.05</f>
        <v/>
      </c>
      <c r="S1736">
        <f>S1735+0.01</f>
        <v/>
      </c>
      <c r="T1736">
        <f>T1735+0.7</f>
        <v/>
      </c>
      <c r="U1736">
        <f>U1735+1.1</f>
        <v/>
      </c>
      <c r="V1736">
        <f>V1735+0.25</f>
        <v/>
      </c>
      <c r="W1736">
        <f>W1735+0.5</f>
        <v/>
      </c>
    </row>
    <row r="1737">
      <c r="E1737">
        <f>O1737=ROUND(1726*0.1,10)</f>
        <v/>
      </c>
      <c r="F1737">
        <f>P1737=ROUND(1726*0.2,10)</f>
        <v/>
      </c>
      <c r="G1737">
        <f>Q1737=ROUND(1726*0.3,10)</f>
        <v/>
      </c>
      <c r="H1737">
        <f>R1737=ROUND(1726*0.05,10)</f>
        <v/>
      </c>
      <c r="I1737">
        <f>S1737=ROUND(1726*0.01,10)</f>
        <v/>
      </c>
      <c r="J1737">
        <f>T1737=ROUND(1726*0.7,10)</f>
        <v/>
      </c>
      <c r="K1737">
        <f>U1737=ROUND(1726*1.1,10)</f>
        <v/>
      </c>
      <c r="L1737">
        <f>V1737=ROUND(1726*0.25,10)</f>
        <v/>
      </c>
      <c r="M1737">
        <f>W1737=ROUND(1726*0.5,10)</f>
        <v/>
      </c>
      <c r="O1737">
        <f>O1736+0.1</f>
        <v/>
      </c>
      <c r="P1737">
        <f>P1736+0.2</f>
        <v/>
      </c>
      <c r="Q1737">
        <f>Q1736+0.3</f>
        <v/>
      </c>
      <c r="R1737">
        <f>R1736+0.05</f>
        <v/>
      </c>
      <c r="S1737">
        <f>S1736+0.01</f>
        <v/>
      </c>
      <c r="T1737">
        <f>T1736+0.7</f>
        <v/>
      </c>
      <c r="U1737">
        <f>U1736+1.1</f>
        <v/>
      </c>
      <c r="V1737">
        <f>V1736+0.25</f>
        <v/>
      </c>
      <c r="W1737">
        <f>W1736+0.5</f>
        <v/>
      </c>
    </row>
    <row r="1738">
      <c r="E1738">
        <f>O1738=ROUND(1727*0.1,10)</f>
        <v/>
      </c>
      <c r="F1738">
        <f>P1738=ROUND(1727*0.2,10)</f>
        <v/>
      </c>
      <c r="G1738">
        <f>Q1738=ROUND(1727*0.3,10)</f>
        <v/>
      </c>
      <c r="H1738">
        <f>R1738=ROUND(1727*0.05,10)</f>
        <v/>
      </c>
      <c r="I1738">
        <f>S1738=ROUND(1727*0.01,10)</f>
        <v/>
      </c>
      <c r="J1738">
        <f>T1738=ROUND(1727*0.7,10)</f>
        <v/>
      </c>
      <c r="K1738">
        <f>U1738=ROUND(1727*1.1,10)</f>
        <v/>
      </c>
      <c r="L1738">
        <f>V1738=ROUND(1727*0.25,10)</f>
        <v/>
      </c>
      <c r="M1738">
        <f>W1738=ROUND(1727*0.5,10)</f>
        <v/>
      </c>
      <c r="O1738">
        <f>O1737+0.1</f>
        <v/>
      </c>
      <c r="P1738">
        <f>P1737+0.2</f>
        <v/>
      </c>
      <c r="Q1738">
        <f>Q1737+0.3</f>
        <v/>
      </c>
      <c r="R1738">
        <f>R1737+0.05</f>
        <v/>
      </c>
      <c r="S1738">
        <f>S1737+0.01</f>
        <v/>
      </c>
      <c r="T1738">
        <f>T1737+0.7</f>
        <v/>
      </c>
      <c r="U1738">
        <f>U1737+1.1</f>
        <v/>
      </c>
      <c r="V1738">
        <f>V1737+0.25</f>
        <v/>
      </c>
      <c r="W1738">
        <f>W1737+0.5</f>
        <v/>
      </c>
    </row>
    <row r="1739">
      <c r="E1739">
        <f>O1739=ROUND(1728*0.1,10)</f>
        <v/>
      </c>
      <c r="F1739">
        <f>P1739=ROUND(1728*0.2,10)</f>
        <v/>
      </c>
      <c r="G1739">
        <f>Q1739=ROUND(1728*0.3,10)</f>
        <v/>
      </c>
      <c r="H1739">
        <f>R1739=ROUND(1728*0.05,10)</f>
        <v/>
      </c>
      <c r="I1739">
        <f>S1739=ROUND(1728*0.01,10)</f>
        <v/>
      </c>
      <c r="J1739">
        <f>T1739=ROUND(1728*0.7,10)</f>
        <v/>
      </c>
      <c r="K1739">
        <f>U1739=ROUND(1728*1.1,10)</f>
        <v/>
      </c>
      <c r="L1739">
        <f>V1739=ROUND(1728*0.25,10)</f>
        <v/>
      </c>
      <c r="M1739">
        <f>W1739=ROUND(1728*0.5,10)</f>
        <v/>
      </c>
      <c r="O1739">
        <f>O1738+0.1</f>
        <v/>
      </c>
      <c r="P1739">
        <f>P1738+0.2</f>
        <v/>
      </c>
      <c r="Q1739">
        <f>Q1738+0.3</f>
        <v/>
      </c>
      <c r="R1739">
        <f>R1738+0.05</f>
        <v/>
      </c>
      <c r="S1739">
        <f>S1738+0.01</f>
        <v/>
      </c>
      <c r="T1739">
        <f>T1738+0.7</f>
        <v/>
      </c>
      <c r="U1739">
        <f>U1738+1.1</f>
        <v/>
      </c>
      <c r="V1739">
        <f>V1738+0.25</f>
        <v/>
      </c>
      <c r="W1739">
        <f>W1738+0.5</f>
        <v/>
      </c>
    </row>
    <row r="1740">
      <c r="E1740">
        <f>O1740=ROUND(1729*0.1,10)</f>
        <v/>
      </c>
      <c r="F1740">
        <f>P1740=ROUND(1729*0.2,10)</f>
        <v/>
      </c>
      <c r="G1740">
        <f>Q1740=ROUND(1729*0.3,10)</f>
        <v/>
      </c>
      <c r="H1740">
        <f>R1740=ROUND(1729*0.05,10)</f>
        <v/>
      </c>
      <c r="I1740">
        <f>S1740=ROUND(1729*0.01,10)</f>
        <v/>
      </c>
      <c r="J1740">
        <f>T1740=ROUND(1729*0.7,10)</f>
        <v/>
      </c>
      <c r="K1740">
        <f>U1740=ROUND(1729*1.1,10)</f>
        <v/>
      </c>
      <c r="L1740">
        <f>V1740=ROUND(1729*0.25,10)</f>
        <v/>
      </c>
      <c r="M1740">
        <f>W1740=ROUND(1729*0.5,10)</f>
        <v/>
      </c>
      <c r="O1740">
        <f>O1739+0.1</f>
        <v/>
      </c>
      <c r="P1740">
        <f>P1739+0.2</f>
        <v/>
      </c>
      <c r="Q1740">
        <f>Q1739+0.3</f>
        <v/>
      </c>
      <c r="R1740">
        <f>R1739+0.05</f>
        <v/>
      </c>
      <c r="S1740">
        <f>S1739+0.01</f>
        <v/>
      </c>
      <c r="T1740">
        <f>T1739+0.7</f>
        <v/>
      </c>
      <c r="U1740">
        <f>U1739+1.1</f>
        <v/>
      </c>
      <c r="V1740">
        <f>V1739+0.25</f>
        <v/>
      </c>
      <c r="W1740">
        <f>W1739+0.5</f>
        <v/>
      </c>
    </row>
    <row r="1741">
      <c r="E1741">
        <f>O1741=ROUND(1730*0.1,10)</f>
        <v/>
      </c>
      <c r="F1741">
        <f>P1741=ROUND(1730*0.2,10)</f>
        <v/>
      </c>
      <c r="G1741">
        <f>Q1741=ROUND(1730*0.3,10)</f>
        <v/>
      </c>
      <c r="H1741">
        <f>R1741=ROUND(1730*0.05,10)</f>
        <v/>
      </c>
      <c r="I1741">
        <f>S1741=ROUND(1730*0.01,10)</f>
        <v/>
      </c>
      <c r="J1741">
        <f>T1741=ROUND(1730*0.7,10)</f>
        <v/>
      </c>
      <c r="K1741">
        <f>U1741=ROUND(1730*1.1,10)</f>
        <v/>
      </c>
      <c r="L1741">
        <f>V1741=ROUND(1730*0.25,10)</f>
        <v/>
      </c>
      <c r="M1741">
        <f>W1741=ROUND(1730*0.5,10)</f>
        <v/>
      </c>
      <c r="O1741">
        <f>O1740+0.1</f>
        <v/>
      </c>
      <c r="P1741">
        <f>P1740+0.2</f>
        <v/>
      </c>
      <c r="Q1741">
        <f>Q1740+0.3</f>
        <v/>
      </c>
      <c r="R1741">
        <f>R1740+0.05</f>
        <v/>
      </c>
      <c r="S1741">
        <f>S1740+0.01</f>
        <v/>
      </c>
      <c r="T1741">
        <f>T1740+0.7</f>
        <v/>
      </c>
      <c r="U1741">
        <f>U1740+1.1</f>
        <v/>
      </c>
      <c r="V1741">
        <f>V1740+0.25</f>
        <v/>
      </c>
      <c r="W1741">
        <f>W1740+0.5</f>
        <v/>
      </c>
    </row>
    <row r="1742">
      <c r="E1742">
        <f>O1742=ROUND(1731*0.1,10)</f>
        <v/>
      </c>
      <c r="F1742">
        <f>P1742=ROUND(1731*0.2,10)</f>
        <v/>
      </c>
      <c r="G1742">
        <f>Q1742=ROUND(1731*0.3,10)</f>
        <v/>
      </c>
      <c r="H1742">
        <f>R1742=ROUND(1731*0.05,10)</f>
        <v/>
      </c>
      <c r="I1742">
        <f>S1742=ROUND(1731*0.01,10)</f>
        <v/>
      </c>
      <c r="J1742">
        <f>T1742=ROUND(1731*0.7,10)</f>
        <v/>
      </c>
      <c r="K1742">
        <f>U1742=ROUND(1731*1.1,10)</f>
        <v/>
      </c>
      <c r="L1742">
        <f>V1742=ROUND(1731*0.25,10)</f>
        <v/>
      </c>
      <c r="M1742">
        <f>W1742=ROUND(1731*0.5,10)</f>
        <v/>
      </c>
      <c r="O1742">
        <f>O1741+0.1</f>
        <v/>
      </c>
      <c r="P1742">
        <f>P1741+0.2</f>
        <v/>
      </c>
      <c r="Q1742">
        <f>Q1741+0.3</f>
        <v/>
      </c>
      <c r="R1742">
        <f>R1741+0.05</f>
        <v/>
      </c>
      <c r="S1742">
        <f>S1741+0.01</f>
        <v/>
      </c>
      <c r="T1742">
        <f>T1741+0.7</f>
        <v/>
      </c>
      <c r="U1742">
        <f>U1741+1.1</f>
        <v/>
      </c>
      <c r="V1742">
        <f>V1741+0.25</f>
        <v/>
      </c>
      <c r="W1742">
        <f>W1741+0.5</f>
        <v/>
      </c>
    </row>
    <row r="1743">
      <c r="E1743">
        <f>O1743=ROUND(1732*0.1,10)</f>
        <v/>
      </c>
      <c r="F1743">
        <f>P1743=ROUND(1732*0.2,10)</f>
        <v/>
      </c>
      <c r="G1743">
        <f>Q1743=ROUND(1732*0.3,10)</f>
        <v/>
      </c>
      <c r="H1743">
        <f>R1743=ROUND(1732*0.05,10)</f>
        <v/>
      </c>
      <c r="I1743">
        <f>S1743=ROUND(1732*0.01,10)</f>
        <v/>
      </c>
      <c r="J1743">
        <f>T1743=ROUND(1732*0.7,10)</f>
        <v/>
      </c>
      <c r="K1743">
        <f>U1743=ROUND(1732*1.1,10)</f>
        <v/>
      </c>
      <c r="L1743">
        <f>V1743=ROUND(1732*0.25,10)</f>
        <v/>
      </c>
      <c r="M1743">
        <f>W1743=ROUND(1732*0.5,10)</f>
        <v/>
      </c>
      <c r="O1743">
        <f>O1742+0.1</f>
        <v/>
      </c>
      <c r="P1743">
        <f>P1742+0.2</f>
        <v/>
      </c>
      <c r="Q1743">
        <f>Q1742+0.3</f>
        <v/>
      </c>
      <c r="R1743">
        <f>R1742+0.05</f>
        <v/>
      </c>
      <c r="S1743">
        <f>S1742+0.01</f>
        <v/>
      </c>
      <c r="T1743">
        <f>T1742+0.7</f>
        <v/>
      </c>
      <c r="U1743">
        <f>U1742+1.1</f>
        <v/>
      </c>
      <c r="V1743">
        <f>V1742+0.25</f>
        <v/>
      </c>
      <c r="W1743">
        <f>W1742+0.5</f>
        <v/>
      </c>
    </row>
    <row r="1744">
      <c r="E1744">
        <f>O1744=ROUND(1733*0.1,10)</f>
        <v/>
      </c>
      <c r="F1744">
        <f>P1744=ROUND(1733*0.2,10)</f>
        <v/>
      </c>
      <c r="G1744">
        <f>Q1744=ROUND(1733*0.3,10)</f>
        <v/>
      </c>
      <c r="H1744">
        <f>R1744=ROUND(1733*0.05,10)</f>
        <v/>
      </c>
      <c r="I1744">
        <f>S1744=ROUND(1733*0.01,10)</f>
        <v/>
      </c>
      <c r="J1744">
        <f>T1744=ROUND(1733*0.7,10)</f>
        <v/>
      </c>
      <c r="K1744">
        <f>U1744=ROUND(1733*1.1,10)</f>
        <v/>
      </c>
      <c r="L1744">
        <f>V1744=ROUND(1733*0.25,10)</f>
        <v/>
      </c>
      <c r="M1744">
        <f>W1744=ROUND(1733*0.5,10)</f>
        <v/>
      </c>
      <c r="O1744">
        <f>O1743+0.1</f>
        <v/>
      </c>
      <c r="P1744">
        <f>P1743+0.2</f>
        <v/>
      </c>
      <c r="Q1744">
        <f>Q1743+0.3</f>
        <v/>
      </c>
      <c r="R1744">
        <f>R1743+0.05</f>
        <v/>
      </c>
      <c r="S1744">
        <f>S1743+0.01</f>
        <v/>
      </c>
      <c r="T1744">
        <f>T1743+0.7</f>
        <v/>
      </c>
      <c r="U1744">
        <f>U1743+1.1</f>
        <v/>
      </c>
      <c r="V1744">
        <f>V1743+0.25</f>
        <v/>
      </c>
      <c r="W1744">
        <f>W1743+0.5</f>
        <v/>
      </c>
    </row>
    <row r="1745">
      <c r="E1745">
        <f>O1745=ROUND(1734*0.1,10)</f>
        <v/>
      </c>
      <c r="F1745">
        <f>P1745=ROUND(1734*0.2,10)</f>
        <v/>
      </c>
      <c r="G1745">
        <f>Q1745=ROUND(1734*0.3,10)</f>
        <v/>
      </c>
      <c r="H1745">
        <f>R1745=ROUND(1734*0.05,10)</f>
        <v/>
      </c>
      <c r="I1745">
        <f>S1745=ROUND(1734*0.01,10)</f>
        <v/>
      </c>
      <c r="J1745">
        <f>T1745=ROUND(1734*0.7,10)</f>
        <v/>
      </c>
      <c r="K1745">
        <f>U1745=ROUND(1734*1.1,10)</f>
        <v/>
      </c>
      <c r="L1745">
        <f>V1745=ROUND(1734*0.25,10)</f>
        <v/>
      </c>
      <c r="M1745">
        <f>W1745=ROUND(1734*0.5,10)</f>
        <v/>
      </c>
      <c r="O1745">
        <f>O1744+0.1</f>
        <v/>
      </c>
      <c r="P1745">
        <f>P1744+0.2</f>
        <v/>
      </c>
      <c r="Q1745">
        <f>Q1744+0.3</f>
        <v/>
      </c>
      <c r="R1745">
        <f>R1744+0.05</f>
        <v/>
      </c>
      <c r="S1745">
        <f>S1744+0.01</f>
        <v/>
      </c>
      <c r="T1745">
        <f>T1744+0.7</f>
        <v/>
      </c>
      <c r="U1745">
        <f>U1744+1.1</f>
        <v/>
      </c>
      <c r="V1745">
        <f>V1744+0.25</f>
        <v/>
      </c>
      <c r="W1745">
        <f>W1744+0.5</f>
        <v/>
      </c>
    </row>
    <row r="1746">
      <c r="E1746">
        <f>O1746=ROUND(1735*0.1,10)</f>
        <v/>
      </c>
      <c r="F1746">
        <f>P1746=ROUND(1735*0.2,10)</f>
        <v/>
      </c>
      <c r="G1746">
        <f>Q1746=ROUND(1735*0.3,10)</f>
        <v/>
      </c>
      <c r="H1746">
        <f>R1746=ROUND(1735*0.05,10)</f>
        <v/>
      </c>
      <c r="I1746">
        <f>S1746=ROUND(1735*0.01,10)</f>
        <v/>
      </c>
      <c r="J1746">
        <f>T1746=ROUND(1735*0.7,10)</f>
        <v/>
      </c>
      <c r="K1746">
        <f>U1746=ROUND(1735*1.1,10)</f>
        <v/>
      </c>
      <c r="L1746">
        <f>V1746=ROUND(1735*0.25,10)</f>
        <v/>
      </c>
      <c r="M1746">
        <f>W1746=ROUND(1735*0.5,10)</f>
        <v/>
      </c>
      <c r="O1746">
        <f>O1745+0.1</f>
        <v/>
      </c>
      <c r="P1746">
        <f>P1745+0.2</f>
        <v/>
      </c>
      <c r="Q1746">
        <f>Q1745+0.3</f>
        <v/>
      </c>
      <c r="R1746">
        <f>R1745+0.05</f>
        <v/>
      </c>
      <c r="S1746">
        <f>S1745+0.01</f>
        <v/>
      </c>
      <c r="T1746">
        <f>T1745+0.7</f>
        <v/>
      </c>
      <c r="U1746">
        <f>U1745+1.1</f>
        <v/>
      </c>
      <c r="V1746">
        <f>V1745+0.25</f>
        <v/>
      </c>
      <c r="W1746">
        <f>W1745+0.5</f>
        <v/>
      </c>
    </row>
    <row r="1747">
      <c r="E1747">
        <f>O1747=ROUND(1736*0.1,10)</f>
        <v/>
      </c>
      <c r="F1747">
        <f>P1747=ROUND(1736*0.2,10)</f>
        <v/>
      </c>
      <c r="G1747">
        <f>Q1747=ROUND(1736*0.3,10)</f>
        <v/>
      </c>
      <c r="H1747">
        <f>R1747=ROUND(1736*0.05,10)</f>
        <v/>
      </c>
      <c r="I1747">
        <f>S1747=ROUND(1736*0.01,10)</f>
        <v/>
      </c>
      <c r="J1747">
        <f>T1747=ROUND(1736*0.7,10)</f>
        <v/>
      </c>
      <c r="K1747">
        <f>U1747=ROUND(1736*1.1,10)</f>
        <v/>
      </c>
      <c r="L1747">
        <f>V1747=ROUND(1736*0.25,10)</f>
        <v/>
      </c>
      <c r="M1747">
        <f>W1747=ROUND(1736*0.5,10)</f>
        <v/>
      </c>
      <c r="O1747">
        <f>O1746+0.1</f>
        <v/>
      </c>
      <c r="P1747">
        <f>P1746+0.2</f>
        <v/>
      </c>
      <c r="Q1747">
        <f>Q1746+0.3</f>
        <v/>
      </c>
      <c r="R1747">
        <f>R1746+0.05</f>
        <v/>
      </c>
      <c r="S1747">
        <f>S1746+0.01</f>
        <v/>
      </c>
      <c r="T1747">
        <f>T1746+0.7</f>
        <v/>
      </c>
      <c r="U1747">
        <f>U1746+1.1</f>
        <v/>
      </c>
      <c r="V1747">
        <f>V1746+0.25</f>
        <v/>
      </c>
      <c r="W1747">
        <f>W1746+0.5</f>
        <v/>
      </c>
    </row>
    <row r="1748">
      <c r="E1748">
        <f>O1748=ROUND(1737*0.1,10)</f>
        <v/>
      </c>
      <c r="F1748">
        <f>P1748=ROUND(1737*0.2,10)</f>
        <v/>
      </c>
      <c r="G1748">
        <f>Q1748=ROUND(1737*0.3,10)</f>
        <v/>
      </c>
      <c r="H1748">
        <f>R1748=ROUND(1737*0.05,10)</f>
        <v/>
      </c>
      <c r="I1748">
        <f>S1748=ROUND(1737*0.01,10)</f>
        <v/>
      </c>
      <c r="J1748">
        <f>T1748=ROUND(1737*0.7,10)</f>
        <v/>
      </c>
      <c r="K1748">
        <f>U1748=ROUND(1737*1.1,10)</f>
        <v/>
      </c>
      <c r="L1748">
        <f>V1748=ROUND(1737*0.25,10)</f>
        <v/>
      </c>
      <c r="M1748">
        <f>W1748=ROUND(1737*0.5,10)</f>
        <v/>
      </c>
      <c r="O1748">
        <f>O1747+0.1</f>
        <v/>
      </c>
      <c r="P1748">
        <f>P1747+0.2</f>
        <v/>
      </c>
      <c r="Q1748">
        <f>Q1747+0.3</f>
        <v/>
      </c>
      <c r="R1748">
        <f>R1747+0.05</f>
        <v/>
      </c>
      <c r="S1748">
        <f>S1747+0.01</f>
        <v/>
      </c>
      <c r="T1748">
        <f>T1747+0.7</f>
        <v/>
      </c>
      <c r="U1748">
        <f>U1747+1.1</f>
        <v/>
      </c>
      <c r="V1748">
        <f>V1747+0.25</f>
        <v/>
      </c>
      <c r="W1748">
        <f>W1747+0.5</f>
        <v/>
      </c>
    </row>
    <row r="1749">
      <c r="E1749">
        <f>O1749=ROUND(1738*0.1,10)</f>
        <v/>
      </c>
      <c r="F1749">
        <f>P1749=ROUND(1738*0.2,10)</f>
        <v/>
      </c>
      <c r="G1749">
        <f>Q1749=ROUND(1738*0.3,10)</f>
        <v/>
      </c>
      <c r="H1749">
        <f>R1749=ROUND(1738*0.05,10)</f>
        <v/>
      </c>
      <c r="I1749">
        <f>S1749=ROUND(1738*0.01,10)</f>
        <v/>
      </c>
      <c r="J1749">
        <f>T1749=ROUND(1738*0.7,10)</f>
        <v/>
      </c>
      <c r="K1749">
        <f>U1749=ROUND(1738*1.1,10)</f>
        <v/>
      </c>
      <c r="L1749">
        <f>V1749=ROUND(1738*0.25,10)</f>
        <v/>
      </c>
      <c r="M1749">
        <f>W1749=ROUND(1738*0.5,10)</f>
        <v/>
      </c>
      <c r="O1749">
        <f>O1748+0.1</f>
        <v/>
      </c>
      <c r="P1749">
        <f>P1748+0.2</f>
        <v/>
      </c>
      <c r="Q1749">
        <f>Q1748+0.3</f>
        <v/>
      </c>
      <c r="R1749">
        <f>R1748+0.05</f>
        <v/>
      </c>
      <c r="S1749">
        <f>S1748+0.01</f>
        <v/>
      </c>
      <c r="T1749">
        <f>T1748+0.7</f>
        <v/>
      </c>
      <c r="U1749">
        <f>U1748+1.1</f>
        <v/>
      </c>
      <c r="V1749">
        <f>V1748+0.25</f>
        <v/>
      </c>
      <c r="W1749">
        <f>W1748+0.5</f>
        <v/>
      </c>
    </row>
    <row r="1750">
      <c r="E1750">
        <f>O1750=ROUND(1739*0.1,10)</f>
        <v/>
      </c>
      <c r="F1750">
        <f>P1750=ROUND(1739*0.2,10)</f>
        <v/>
      </c>
      <c r="G1750">
        <f>Q1750=ROUND(1739*0.3,10)</f>
        <v/>
      </c>
      <c r="H1750">
        <f>R1750=ROUND(1739*0.05,10)</f>
        <v/>
      </c>
      <c r="I1750">
        <f>S1750=ROUND(1739*0.01,10)</f>
        <v/>
      </c>
      <c r="J1750">
        <f>T1750=ROUND(1739*0.7,10)</f>
        <v/>
      </c>
      <c r="K1750">
        <f>U1750=ROUND(1739*1.1,10)</f>
        <v/>
      </c>
      <c r="L1750">
        <f>V1750=ROUND(1739*0.25,10)</f>
        <v/>
      </c>
      <c r="M1750">
        <f>W1750=ROUND(1739*0.5,10)</f>
        <v/>
      </c>
      <c r="O1750">
        <f>O1749+0.1</f>
        <v/>
      </c>
      <c r="P1750">
        <f>P1749+0.2</f>
        <v/>
      </c>
      <c r="Q1750">
        <f>Q1749+0.3</f>
        <v/>
      </c>
      <c r="R1750">
        <f>R1749+0.05</f>
        <v/>
      </c>
      <c r="S1750">
        <f>S1749+0.01</f>
        <v/>
      </c>
      <c r="T1750">
        <f>T1749+0.7</f>
        <v/>
      </c>
      <c r="U1750">
        <f>U1749+1.1</f>
        <v/>
      </c>
      <c r="V1750">
        <f>V1749+0.25</f>
        <v/>
      </c>
      <c r="W1750">
        <f>W1749+0.5</f>
        <v/>
      </c>
    </row>
    <row r="1751">
      <c r="E1751">
        <f>O1751=ROUND(1740*0.1,10)</f>
        <v/>
      </c>
      <c r="F1751">
        <f>P1751=ROUND(1740*0.2,10)</f>
        <v/>
      </c>
      <c r="G1751">
        <f>Q1751=ROUND(1740*0.3,10)</f>
        <v/>
      </c>
      <c r="H1751">
        <f>R1751=ROUND(1740*0.05,10)</f>
        <v/>
      </c>
      <c r="I1751">
        <f>S1751=ROUND(1740*0.01,10)</f>
        <v/>
      </c>
      <c r="J1751">
        <f>T1751=ROUND(1740*0.7,10)</f>
        <v/>
      </c>
      <c r="K1751">
        <f>U1751=ROUND(1740*1.1,10)</f>
        <v/>
      </c>
      <c r="L1751">
        <f>V1751=ROUND(1740*0.25,10)</f>
        <v/>
      </c>
      <c r="M1751">
        <f>W1751=ROUND(1740*0.5,10)</f>
        <v/>
      </c>
      <c r="O1751">
        <f>O1750+0.1</f>
        <v/>
      </c>
      <c r="P1751">
        <f>P1750+0.2</f>
        <v/>
      </c>
      <c r="Q1751">
        <f>Q1750+0.3</f>
        <v/>
      </c>
      <c r="R1751">
        <f>R1750+0.05</f>
        <v/>
      </c>
      <c r="S1751">
        <f>S1750+0.01</f>
        <v/>
      </c>
      <c r="T1751">
        <f>T1750+0.7</f>
        <v/>
      </c>
      <c r="U1751">
        <f>U1750+1.1</f>
        <v/>
      </c>
      <c r="V1751">
        <f>V1750+0.25</f>
        <v/>
      </c>
      <c r="W1751">
        <f>W1750+0.5</f>
        <v/>
      </c>
    </row>
    <row r="1752">
      <c r="E1752">
        <f>O1752=ROUND(1741*0.1,10)</f>
        <v/>
      </c>
      <c r="F1752">
        <f>P1752=ROUND(1741*0.2,10)</f>
        <v/>
      </c>
      <c r="G1752">
        <f>Q1752=ROUND(1741*0.3,10)</f>
        <v/>
      </c>
      <c r="H1752">
        <f>R1752=ROUND(1741*0.05,10)</f>
        <v/>
      </c>
      <c r="I1752">
        <f>S1752=ROUND(1741*0.01,10)</f>
        <v/>
      </c>
      <c r="J1752">
        <f>T1752=ROUND(1741*0.7,10)</f>
        <v/>
      </c>
      <c r="K1752">
        <f>U1752=ROUND(1741*1.1,10)</f>
        <v/>
      </c>
      <c r="L1752">
        <f>V1752=ROUND(1741*0.25,10)</f>
        <v/>
      </c>
      <c r="M1752">
        <f>W1752=ROUND(1741*0.5,10)</f>
        <v/>
      </c>
      <c r="O1752">
        <f>O1751+0.1</f>
        <v/>
      </c>
      <c r="P1752">
        <f>P1751+0.2</f>
        <v/>
      </c>
      <c r="Q1752">
        <f>Q1751+0.3</f>
        <v/>
      </c>
      <c r="R1752">
        <f>R1751+0.05</f>
        <v/>
      </c>
      <c r="S1752">
        <f>S1751+0.01</f>
        <v/>
      </c>
      <c r="T1752">
        <f>T1751+0.7</f>
        <v/>
      </c>
      <c r="U1752">
        <f>U1751+1.1</f>
        <v/>
      </c>
      <c r="V1752">
        <f>V1751+0.25</f>
        <v/>
      </c>
      <c r="W1752">
        <f>W1751+0.5</f>
        <v/>
      </c>
    </row>
    <row r="1753">
      <c r="E1753">
        <f>O1753=ROUND(1742*0.1,10)</f>
        <v/>
      </c>
      <c r="F1753">
        <f>P1753=ROUND(1742*0.2,10)</f>
        <v/>
      </c>
      <c r="G1753">
        <f>Q1753=ROUND(1742*0.3,10)</f>
        <v/>
      </c>
      <c r="H1753">
        <f>R1753=ROUND(1742*0.05,10)</f>
        <v/>
      </c>
      <c r="I1753">
        <f>S1753=ROUND(1742*0.01,10)</f>
        <v/>
      </c>
      <c r="J1753">
        <f>T1753=ROUND(1742*0.7,10)</f>
        <v/>
      </c>
      <c r="K1753">
        <f>U1753=ROUND(1742*1.1,10)</f>
        <v/>
      </c>
      <c r="L1753">
        <f>V1753=ROUND(1742*0.25,10)</f>
        <v/>
      </c>
      <c r="M1753">
        <f>W1753=ROUND(1742*0.5,10)</f>
        <v/>
      </c>
      <c r="O1753">
        <f>O1752+0.1</f>
        <v/>
      </c>
      <c r="P1753">
        <f>P1752+0.2</f>
        <v/>
      </c>
      <c r="Q1753">
        <f>Q1752+0.3</f>
        <v/>
      </c>
      <c r="R1753">
        <f>R1752+0.05</f>
        <v/>
      </c>
      <c r="S1753">
        <f>S1752+0.01</f>
        <v/>
      </c>
      <c r="T1753">
        <f>T1752+0.7</f>
        <v/>
      </c>
      <c r="U1753">
        <f>U1752+1.1</f>
        <v/>
      </c>
      <c r="V1753">
        <f>V1752+0.25</f>
        <v/>
      </c>
      <c r="W1753">
        <f>W1752+0.5</f>
        <v/>
      </c>
    </row>
    <row r="1754">
      <c r="E1754">
        <f>O1754=ROUND(1743*0.1,10)</f>
        <v/>
      </c>
      <c r="F1754">
        <f>P1754=ROUND(1743*0.2,10)</f>
        <v/>
      </c>
      <c r="G1754">
        <f>Q1754=ROUND(1743*0.3,10)</f>
        <v/>
      </c>
      <c r="H1754">
        <f>R1754=ROUND(1743*0.05,10)</f>
        <v/>
      </c>
      <c r="I1754">
        <f>S1754=ROUND(1743*0.01,10)</f>
        <v/>
      </c>
      <c r="J1754">
        <f>T1754=ROUND(1743*0.7,10)</f>
        <v/>
      </c>
      <c r="K1754">
        <f>U1754=ROUND(1743*1.1,10)</f>
        <v/>
      </c>
      <c r="L1754">
        <f>V1754=ROUND(1743*0.25,10)</f>
        <v/>
      </c>
      <c r="M1754">
        <f>W1754=ROUND(1743*0.5,10)</f>
        <v/>
      </c>
      <c r="O1754">
        <f>O1753+0.1</f>
        <v/>
      </c>
      <c r="P1754">
        <f>P1753+0.2</f>
        <v/>
      </c>
      <c r="Q1754">
        <f>Q1753+0.3</f>
        <v/>
      </c>
      <c r="R1754">
        <f>R1753+0.05</f>
        <v/>
      </c>
      <c r="S1754">
        <f>S1753+0.01</f>
        <v/>
      </c>
      <c r="T1754">
        <f>T1753+0.7</f>
        <v/>
      </c>
      <c r="U1754">
        <f>U1753+1.1</f>
        <v/>
      </c>
      <c r="V1754">
        <f>V1753+0.25</f>
        <v/>
      </c>
      <c r="W1754">
        <f>W1753+0.5</f>
        <v/>
      </c>
    </row>
    <row r="1755">
      <c r="E1755">
        <f>O1755=ROUND(1744*0.1,10)</f>
        <v/>
      </c>
      <c r="F1755">
        <f>P1755=ROUND(1744*0.2,10)</f>
        <v/>
      </c>
      <c r="G1755">
        <f>Q1755=ROUND(1744*0.3,10)</f>
        <v/>
      </c>
      <c r="H1755">
        <f>R1755=ROUND(1744*0.05,10)</f>
        <v/>
      </c>
      <c r="I1755">
        <f>S1755=ROUND(1744*0.01,10)</f>
        <v/>
      </c>
      <c r="J1755">
        <f>T1755=ROUND(1744*0.7,10)</f>
        <v/>
      </c>
      <c r="K1755">
        <f>U1755=ROUND(1744*1.1,10)</f>
        <v/>
      </c>
      <c r="L1755">
        <f>V1755=ROUND(1744*0.25,10)</f>
        <v/>
      </c>
      <c r="M1755">
        <f>W1755=ROUND(1744*0.5,10)</f>
        <v/>
      </c>
      <c r="O1755">
        <f>O1754+0.1</f>
        <v/>
      </c>
      <c r="P1755">
        <f>P1754+0.2</f>
        <v/>
      </c>
      <c r="Q1755">
        <f>Q1754+0.3</f>
        <v/>
      </c>
      <c r="R1755">
        <f>R1754+0.05</f>
        <v/>
      </c>
      <c r="S1755">
        <f>S1754+0.01</f>
        <v/>
      </c>
      <c r="T1755">
        <f>T1754+0.7</f>
        <v/>
      </c>
      <c r="U1755">
        <f>U1754+1.1</f>
        <v/>
      </c>
      <c r="V1755">
        <f>V1754+0.25</f>
        <v/>
      </c>
      <c r="W1755">
        <f>W1754+0.5</f>
        <v/>
      </c>
    </row>
    <row r="1756">
      <c r="E1756">
        <f>O1756=ROUND(1745*0.1,10)</f>
        <v/>
      </c>
      <c r="F1756">
        <f>P1756=ROUND(1745*0.2,10)</f>
        <v/>
      </c>
      <c r="G1756">
        <f>Q1756=ROUND(1745*0.3,10)</f>
        <v/>
      </c>
      <c r="H1756">
        <f>R1756=ROUND(1745*0.05,10)</f>
        <v/>
      </c>
      <c r="I1756">
        <f>S1756=ROUND(1745*0.01,10)</f>
        <v/>
      </c>
      <c r="J1756">
        <f>T1756=ROUND(1745*0.7,10)</f>
        <v/>
      </c>
      <c r="K1756">
        <f>U1756=ROUND(1745*1.1,10)</f>
        <v/>
      </c>
      <c r="L1756">
        <f>V1756=ROUND(1745*0.25,10)</f>
        <v/>
      </c>
      <c r="M1756">
        <f>W1756=ROUND(1745*0.5,10)</f>
        <v/>
      </c>
      <c r="O1756">
        <f>O1755+0.1</f>
        <v/>
      </c>
      <c r="P1756">
        <f>P1755+0.2</f>
        <v/>
      </c>
      <c r="Q1756">
        <f>Q1755+0.3</f>
        <v/>
      </c>
      <c r="R1756">
        <f>R1755+0.05</f>
        <v/>
      </c>
      <c r="S1756">
        <f>S1755+0.01</f>
        <v/>
      </c>
      <c r="T1756">
        <f>T1755+0.7</f>
        <v/>
      </c>
      <c r="U1756">
        <f>U1755+1.1</f>
        <v/>
      </c>
      <c r="V1756">
        <f>V1755+0.25</f>
        <v/>
      </c>
      <c r="W1756">
        <f>W1755+0.5</f>
        <v/>
      </c>
    </row>
    <row r="1757">
      <c r="E1757">
        <f>O1757=ROUND(1746*0.1,10)</f>
        <v/>
      </c>
      <c r="F1757">
        <f>P1757=ROUND(1746*0.2,10)</f>
        <v/>
      </c>
      <c r="G1757">
        <f>Q1757=ROUND(1746*0.3,10)</f>
        <v/>
      </c>
      <c r="H1757">
        <f>R1757=ROUND(1746*0.05,10)</f>
        <v/>
      </c>
      <c r="I1757">
        <f>S1757=ROUND(1746*0.01,10)</f>
        <v/>
      </c>
      <c r="J1757">
        <f>T1757=ROUND(1746*0.7,10)</f>
        <v/>
      </c>
      <c r="K1757">
        <f>U1757=ROUND(1746*1.1,10)</f>
        <v/>
      </c>
      <c r="L1757">
        <f>V1757=ROUND(1746*0.25,10)</f>
        <v/>
      </c>
      <c r="M1757">
        <f>W1757=ROUND(1746*0.5,10)</f>
        <v/>
      </c>
      <c r="O1757">
        <f>O1756+0.1</f>
        <v/>
      </c>
      <c r="P1757">
        <f>P1756+0.2</f>
        <v/>
      </c>
      <c r="Q1757">
        <f>Q1756+0.3</f>
        <v/>
      </c>
      <c r="R1757">
        <f>R1756+0.05</f>
        <v/>
      </c>
      <c r="S1757">
        <f>S1756+0.01</f>
        <v/>
      </c>
      <c r="T1757">
        <f>T1756+0.7</f>
        <v/>
      </c>
      <c r="U1757">
        <f>U1756+1.1</f>
        <v/>
      </c>
      <c r="V1757">
        <f>V1756+0.25</f>
        <v/>
      </c>
      <c r="W1757">
        <f>W1756+0.5</f>
        <v/>
      </c>
    </row>
    <row r="1758">
      <c r="E1758">
        <f>O1758=ROUND(1747*0.1,10)</f>
        <v/>
      </c>
      <c r="F1758">
        <f>P1758=ROUND(1747*0.2,10)</f>
        <v/>
      </c>
      <c r="G1758">
        <f>Q1758=ROUND(1747*0.3,10)</f>
        <v/>
      </c>
      <c r="H1758">
        <f>R1758=ROUND(1747*0.05,10)</f>
        <v/>
      </c>
      <c r="I1758">
        <f>S1758=ROUND(1747*0.01,10)</f>
        <v/>
      </c>
      <c r="J1758">
        <f>T1758=ROUND(1747*0.7,10)</f>
        <v/>
      </c>
      <c r="K1758">
        <f>U1758=ROUND(1747*1.1,10)</f>
        <v/>
      </c>
      <c r="L1758">
        <f>V1758=ROUND(1747*0.25,10)</f>
        <v/>
      </c>
      <c r="M1758">
        <f>W1758=ROUND(1747*0.5,10)</f>
        <v/>
      </c>
      <c r="O1758">
        <f>O1757+0.1</f>
        <v/>
      </c>
      <c r="P1758">
        <f>P1757+0.2</f>
        <v/>
      </c>
      <c r="Q1758">
        <f>Q1757+0.3</f>
        <v/>
      </c>
      <c r="R1758">
        <f>R1757+0.05</f>
        <v/>
      </c>
      <c r="S1758">
        <f>S1757+0.01</f>
        <v/>
      </c>
      <c r="T1758">
        <f>T1757+0.7</f>
        <v/>
      </c>
      <c r="U1758">
        <f>U1757+1.1</f>
        <v/>
      </c>
      <c r="V1758">
        <f>V1757+0.25</f>
        <v/>
      </c>
      <c r="W1758">
        <f>W1757+0.5</f>
        <v/>
      </c>
    </row>
    <row r="1759">
      <c r="E1759">
        <f>O1759=ROUND(1748*0.1,10)</f>
        <v/>
      </c>
      <c r="F1759">
        <f>P1759=ROUND(1748*0.2,10)</f>
        <v/>
      </c>
      <c r="G1759">
        <f>Q1759=ROUND(1748*0.3,10)</f>
        <v/>
      </c>
      <c r="H1759">
        <f>R1759=ROUND(1748*0.05,10)</f>
        <v/>
      </c>
      <c r="I1759">
        <f>S1759=ROUND(1748*0.01,10)</f>
        <v/>
      </c>
      <c r="J1759">
        <f>T1759=ROUND(1748*0.7,10)</f>
        <v/>
      </c>
      <c r="K1759">
        <f>U1759=ROUND(1748*1.1,10)</f>
        <v/>
      </c>
      <c r="L1759">
        <f>V1759=ROUND(1748*0.25,10)</f>
        <v/>
      </c>
      <c r="M1759">
        <f>W1759=ROUND(1748*0.5,10)</f>
        <v/>
      </c>
      <c r="O1759">
        <f>O1758+0.1</f>
        <v/>
      </c>
      <c r="P1759">
        <f>P1758+0.2</f>
        <v/>
      </c>
      <c r="Q1759">
        <f>Q1758+0.3</f>
        <v/>
      </c>
      <c r="R1759">
        <f>R1758+0.05</f>
        <v/>
      </c>
      <c r="S1759">
        <f>S1758+0.01</f>
        <v/>
      </c>
      <c r="T1759">
        <f>T1758+0.7</f>
        <v/>
      </c>
      <c r="U1759">
        <f>U1758+1.1</f>
        <v/>
      </c>
      <c r="V1759">
        <f>V1758+0.25</f>
        <v/>
      </c>
      <c r="W1759">
        <f>W1758+0.5</f>
        <v/>
      </c>
    </row>
    <row r="1760">
      <c r="E1760">
        <f>O1760=ROUND(1749*0.1,10)</f>
        <v/>
      </c>
      <c r="F1760">
        <f>P1760=ROUND(1749*0.2,10)</f>
        <v/>
      </c>
      <c r="G1760">
        <f>Q1760=ROUND(1749*0.3,10)</f>
        <v/>
      </c>
      <c r="H1760">
        <f>R1760=ROUND(1749*0.05,10)</f>
        <v/>
      </c>
      <c r="I1760">
        <f>S1760=ROUND(1749*0.01,10)</f>
        <v/>
      </c>
      <c r="J1760">
        <f>T1760=ROUND(1749*0.7,10)</f>
        <v/>
      </c>
      <c r="K1760">
        <f>U1760=ROUND(1749*1.1,10)</f>
        <v/>
      </c>
      <c r="L1760">
        <f>V1760=ROUND(1749*0.25,10)</f>
        <v/>
      </c>
      <c r="M1760">
        <f>W1760=ROUND(1749*0.5,10)</f>
        <v/>
      </c>
      <c r="O1760">
        <f>O1759+0.1</f>
        <v/>
      </c>
      <c r="P1760">
        <f>P1759+0.2</f>
        <v/>
      </c>
      <c r="Q1760">
        <f>Q1759+0.3</f>
        <v/>
      </c>
      <c r="R1760">
        <f>R1759+0.05</f>
        <v/>
      </c>
      <c r="S1760">
        <f>S1759+0.01</f>
        <v/>
      </c>
      <c r="T1760">
        <f>T1759+0.7</f>
        <v/>
      </c>
      <c r="U1760">
        <f>U1759+1.1</f>
        <v/>
      </c>
      <c r="V1760">
        <f>V1759+0.25</f>
        <v/>
      </c>
      <c r="W1760">
        <f>W1759+0.5</f>
        <v/>
      </c>
    </row>
    <row r="1761">
      <c r="E1761">
        <f>O1761=ROUND(1750*0.1,10)</f>
        <v/>
      </c>
      <c r="F1761">
        <f>P1761=ROUND(1750*0.2,10)</f>
        <v/>
      </c>
      <c r="G1761">
        <f>Q1761=ROUND(1750*0.3,10)</f>
        <v/>
      </c>
      <c r="H1761">
        <f>R1761=ROUND(1750*0.05,10)</f>
        <v/>
      </c>
      <c r="I1761">
        <f>S1761=ROUND(1750*0.01,10)</f>
        <v/>
      </c>
      <c r="J1761">
        <f>T1761=ROUND(1750*0.7,10)</f>
        <v/>
      </c>
      <c r="K1761">
        <f>U1761=ROUND(1750*1.1,10)</f>
        <v/>
      </c>
      <c r="L1761">
        <f>V1761=ROUND(1750*0.25,10)</f>
        <v/>
      </c>
      <c r="M1761">
        <f>W1761=ROUND(1750*0.5,10)</f>
        <v/>
      </c>
      <c r="O1761">
        <f>O1760+0.1</f>
        <v/>
      </c>
      <c r="P1761">
        <f>P1760+0.2</f>
        <v/>
      </c>
      <c r="Q1761">
        <f>Q1760+0.3</f>
        <v/>
      </c>
      <c r="R1761">
        <f>R1760+0.05</f>
        <v/>
      </c>
      <c r="S1761">
        <f>S1760+0.01</f>
        <v/>
      </c>
      <c r="T1761">
        <f>T1760+0.7</f>
        <v/>
      </c>
      <c r="U1761">
        <f>U1760+1.1</f>
        <v/>
      </c>
      <c r="V1761">
        <f>V1760+0.25</f>
        <v/>
      </c>
      <c r="W1761">
        <f>W1760+0.5</f>
        <v/>
      </c>
    </row>
    <row r="1762">
      <c r="E1762">
        <f>O1762=ROUND(1751*0.1,10)</f>
        <v/>
      </c>
      <c r="F1762">
        <f>P1762=ROUND(1751*0.2,10)</f>
        <v/>
      </c>
      <c r="G1762">
        <f>Q1762=ROUND(1751*0.3,10)</f>
        <v/>
      </c>
      <c r="H1762">
        <f>R1762=ROUND(1751*0.05,10)</f>
        <v/>
      </c>
      <c r="I1762">
        <f>S1762=ROUND(1751*0.01,10)</f>
        <v/>
      </c>
      <c r="J1762">
        <f>T1762=ROUND(1751*0.7,10)</f>
        <v/>
      </c>
      <c r="K1762">
        <f>U1762=ROUND(1751*1.1,10)</f>
        <v/>
      </c>
      <c r="L1762">
        <f>V1762=ROUND(1751*0.25,10)</f>
        <v/>
      </c>
      <c r="M1762">
        <f>W1762=ROUND(1751*0.5,10)</f>
        <v/>
      </c>
      <c r="O1762">
        <f>O1761+0.1</f>
        <v/>
      </c>
      <c r="P1762">
        <f>P1761+0.2</f>
        <v/>
      </c>
      <c r="Q1762">
        <f>Q1761+0.3</f>
        <v/>
      </c>
      <c r="R1762">
        <f>R1761+0.05</f>
        <v/>
      </c>
      <c r="S1762">
        <f>S1761+0.01</f>
        <v/>
      </c>
      <c r="T1762">
        <f>T1761+0.7</f>
        <v/>
      </c>
      <c r="U1762">
        <f>U1761+1.1</f>
        <v/>
      </c>
      <c r="V1762">
        <f>V1761+0.25</f>
        <v/>
      </c>
      <c r="W1762">
        <f>W1761+0.5</f>
        <v/>
      </c>
    </row>
    <row r="1763">
      <c r="E1763">
        <f>O1763=ROUND(1752*0.1,10)</f>
        <v/>
      </c>
      <c r="F1763">
        <f>P1763=ROUND(1752*0.2,10)</f>
        <v/>
      </c>
      <c r="G1763">
        <f>Q1763=ROUND(1752*0.3,10)</f>
        <v/>
      </c>
      <c r="H1763">
        <f>R1763=ROUND(1752*0.05,10)</f>
        <v/>
      </c>
      <c r="I1763">
        <f>S1763=ROUND(1752*0.01,10)</f>
        <v/>
      </c>
      <c r="J1763">
        <f>T1763=ROUND(1752*0.7,10)</f>
        <v/>
      </c>
      <c r="K1763">
        <f>U1763=ROUND(1752*1.1,10)</f>
        <v/>
      </c>
      <c r="L1763">
        <f>V1763=ROUND(1752*0.25,10)</f>
        <v/>
      </c>
      <c r="M1763">
        <f>W1763=ROUND(1752*0.5,10)</f>
        <v/>
      </c>
      <c r="O1763">
        <f>O1762+0.1</f>
        <v/>
      </c>
      <c r="P1763">
        <f>P1762+0.2</f>
        <v/>
      </c>
      <c r="Q1763">
        <f>Q1762+0.3</f>
        <v/>
      </c>
      <c r="R1763">
        <f>R1762+0.05</f>
        <v/>
      </c>
      <c r="S1763">
        <f>S1762+0.01</f>
        <v/>
      </c>
      <c r="T1763">
        <f>T1762+0.7</f>
        <v/>
      </c>
      <c r="U1763">
        <f>U1762+1.1</f>
        <v/>
      </c>
      <c r="V1763">
        <f>V1762+0.25</f>
        <v/>
      </c>
      <c r="W1763">
        <f>W1762+0.5</f>
        <v/>
      </c>
    </row>
    <row r="1764">
      <c r="E1764">
        <f>O1764=ROUND(1753*0.1,10)</f>
        <v/>
      </c>
      <c r="F1764">
        <f>P1764=ROUND(1753*0.2,10)</f>
        <v/>
      </c>
      <c r="G1764">
        <f>Q1764=ROUND(1753*0.3,10)</f>
        <v/>
      </c>
      <c r="H1764">
        <f>R1764=ROUND(1753*0.05,10)</f>
        <v/>
      </c>
      <c r="I1764">
        <f>S1764=ROUND(1753*0.01,10)</f>
        <v/>
      </c>
      <c r="J1764">
        <f>T1764=ROUND(1753*0.7,10)</f>
        <v/>
      </c>
      <c r="K1764">
        <f>U1764=ROUND(1753*1.1,10)</f>
        <v/>
      </c>
      <c r="L1764">
        <f>V1764=ROUND(1753*0.25,10)</f>
        <v/>
      </c>
      <c r="M1764">
        <f>W1764=ROUND(1753*0.5,10)</f>
        <v/>
      </c>
      <c r="O1764">
        <f>O1763+0.1</f>
        <v/>
      </c>
      <c r="P1764">
        <f>P1763+0.2</f>
        <v/>
      </c>
      <c r="Q1764">
        <f>Q1763+0.3</f>
        <v/>
      </c>
      <c r="R1764">
        <f>R1763+0.05</f>
        <v/>
      </c>
      <c r="S1764">
        <f>S1763+0.01</f>
        <v/>
      </c>
      <c r="T1764">
        <f>T1763+0.7</f>
        <v/>
      </c>
      <c r="U1764">
        <f>U1763+1.1</f>
        <v/>
      </c>
      <c r="V1764">
        <f>V1763+0.25</f>
        <v/>
      </c>
      <c r="W1764">
        <f>W1763+0.5</f>
        <v/>
      </c>
    </row>
    <row r="1765">
      <c r="E1765">
        <f>O1765=ROUND(1754*0.1,10)</f>
        <v/>
      </c>
      <c r="F1765">
        <f>P1765=ROUND(1754*0.2,10)</f>
        <v/>
      </c>
      <c r="G1765">
        <f>Q1765=ROUND(1754*0.3,10)</f>
        <v/>
      </c>
      <c r="H1765">
        <f>R1765=ROUND(1754*0.05,10)</f>
        <v/>
      </c>
      <c r="I1765">
        <f>S1765=ROUND(1754*0.01,10)</f>
        <v/>
      </c>
      <c r="J1765">
        <f>T1765=ROUND(1754*0.7,10)</f>
        <v/>
      </c>
      <c r="K1765">
        <f>U1765=ROUND(1754*1.1,10)</f>
        <v/>
      </c>
      <c r="L1765">
        <f>V1765=ROUND(1754*0.25,10)</f>
        <v/>
      </c>
      <c r="M1765">
        <f>W1765=ROUND(1754*0.5,10)</f>
        <v/>
      </c>
      <c r="O1765">
        <f>O1764+0.1</f>
        <v/>
      </c>
      <c r="P1765">
        <f>P1764+0.2</f>
        <v/>
      </c>
      <c r="Q1765">
        <f>Q1764+0.3</f>
        <v/>
      </c>
      <c r="R1765">
        <f>R1764+0.05</f>
        <v/>
      </c>
      <c r="S1765">
        <f>S1764+0.01</f>
        <v/>
      </c>
      <c r="T1765">
        <f>T1764+0.7</f>
        <v/>
      </c>
      <c r="U1765">
        <f>U1764+1.1</f>
        <v/>
      </c>
      <c r="V1765">
        <f>V1764+0.25</f>
        <v/>
      </c>
      <c r="W1765">
        <f>W1764+0.5</f>
        <v/>
      </c>
    </row>
    <row r="1766">
      <c r="E1766">
        <f>O1766=ROUND(1755*0.1,10)</f>
        <v/>
      </c>
      <c r="F1766">
        <f>P1766=ROUND(1755*0.2,10)</f>
        <v/>
      </c>
      <c r="G1766">
        <f>Q1766=ROUND(1755*0.3,10)</f>
        <v/>
      </c>
      <c r="H1766">
        <f>R1766=ROUND(1755*0.05,10)</f>
        <v/>
      </c>
      <c r="I1766">
        <f>S1766=ROUND(1755*0.01,10)</f>
        <v/>
      </c>
      <c r="J1766">
        <f>T1766=ROUND(1755*0.7,10)</f>
        <v/>
      </c>
      <c r="K1766">
        <f>U1766=ROUND(1755*1.1,10)</f>
        <v/>
      </c>
      <c r="L1766">
        <f>V1766=ROUND(1755*0.25,10)</f>
        <v/>
      </c>
      <c r="M1766">
        <f>W1766=ROUND(1755*0.5,10)</f>
        <v/>
      </c>
      <c r="O1766">
        <f>O1765+0.1</f>
        <v/>
      </c>
      <c r="P1766">
        <f>P1765+0.2</f>
        <v/>
      </c>
      <c r="Q1766">
        <f>Q1765+0.3</f>
        <v/>
      </c>
      <c r="R1766">
        <f>R1765+0.05</f>
        <v/>
      </c>
      <c r="S1766">
        <f>S1765+0.01</f>
        <v/>
      </c>
      <c r="T1766">
        <f>T1765+0.7</f>
        <v/>
      </c>
      <c r="U1766">
        <f>U1765+1.1</f>
        <v/>
      </c>
      <c r="V1766">
        <f>V1765+0.25</f>
        <v/>
      </c>
      <c r="W1766">
        <f>W1765+0.5</f>
        <v/>
      </c>
    </row>
    <row r="1767">
      <c r="E1767">
        <f>O1767=ROUND(1756*0.1,10)</f>
        <v/>
      </c>
      <c r="F1767">
        <f>P1767=ROUND(1756*0.2,10)</f>
        <v/>
      </c>
      <c r="G1767">
        <f>Q1767=ROUND(1756*0.3,10)</f>
        <v/>
      </c>
      <c r="H1767">
        <f>R1767=ROUND(1756*0.05,10)</f>
        <v/>
      </c>
      <c r="I1767">
        <f>S1767=ROUND(1756*0.01,10)</f>
        <v/>
      </c>
      <c r="J1767">
        <f>T1767=ROUND(1756*0.7,10)</f>
        <v/>
      </c>
      <c r="K1767">
        <f>U1767=ROUND(1756*1.1,10)</f>
        <v/>
      </c>
      <c r="L1767">
        <f>V1767=ROUND(1756*0.25,10)</f>
        <v/>
      </c>
      <c r="M1767">
        <f>W1767=ROUND(1756*0.5,10)</f>
        <v/>
      </c>
      <c r="O1767">
        <f>O1766+0.1</f>
        <v/>
      </c>
      <c r="P1767">
        <f>P1766+0.2</f>
        <v/>
      </c>
      <c r="Q1767">
        <f>Q1766+0.3</f>
        <v/>
      </c>
      <c r="R1767">
        <f>R1766+0.05</f>
        <v/>
      </c>
      <c r="S1767">
        <f>S1766+0.01</f>
        <v/>
      </c>
      <c r="T1767">
        <f>T1766+0.7</f>
        <v/>
      </c>
      <c r="U1767">
        <f>U1766+1.1</f>
        <v/>
      </c>
      <c r="V1767">
        <f>V1766+0.25</f>
        <v/>
      </c>
      <c r="W1767">
        <f>W1766+0.5</f>
        <v/>
      </c>
    </row>
    <row r="1768">
      <c r="E1768">
        <f>O1768=ROUND(1757*0.1,10)</f>
        <v/>
      </c>
      <c r="F1768">
        <f>P1768=ROUND(1757*0.2,10)</f>
        <v/>
      </c>
      <c r="G1768">
        <f>Q1768=ROUND(1757*0.3,10)</f>
        <v/>
      </c>
      <c r="H1768">
        <f>R1768=ROUND(1757*0.05,10)</f>
        <v/>
      </c>
      <c r="I1768">
        <f>S1768=ROUND(1757*0.01,10)</f>
        <v/>
      </c>
      <c r="J1768">
        <f>T1768=ROUND(1757*0.7,10)</f>
        <v/>
      </c>
      <c r="K1768">
        <f>U1768=ROUND(1757*1.1,10)</f>
        <v/>
      </c>
      <c r="L1768">
        <f>V1768=ROUND(1757*0.25,10)</f>
        <v/>
      </c>
      <c r="M1768">
        <f>W1768=ROUND(1757*0.5,10)</f>
        <v/>
      </c>
      <c r="O1768">
        <f>O1767+0.1</f>
        <v/>
      </c>
      <c r="P1768">
        <f>P1767+0.2</f>
        <v/>
      </c>
      <c r="Q1768">
        <f>Q1767+0.3</f>
        <v/>
      </c>
      <c r="R1768">
        <f>R1767+0.05</f>
        <v/>
      </c>
      <c r="S1768">
        <f>S1767+0.01</f>
        <v/>
      </c>
      <c r="T1768">
        <f>T1767+0.7</f>
        <v/>
      </c>
      <c r="U1768">
        <f>U1767+1.1</f>
        <v/>
      </c>
      <c r="V1768">
        <f>V1767+0.25</f>
        <v/>
      </c>
      <c r="W1768">
        <f>W1767+0.5</f>
        <v/>
      </c>
    </row>
    <row r="1769">
      <c r="E1769">
        <f>O1769=ROUND(1758*0.1,10)</f>
        <v/>
      </c>
      <c r="F1769">
        <f>P1769=ROUND(1758*0.2,10)</f>
        <v/>
      </c>
      <c r="G1769">
        <f>Q1769=ROUND(1758*0.3,10)</f>
        <v/>
      </c>
      <c r="H1769">
        <f>R1769=ROUND(1758*0.05,10)</f>
        <v/>
      </c>
      <c r="I1769">
        <f>S1769=ROUND(1758*0.01,10)</f>
        <v/>
      </c>
      <c r="J1769">
        <f>T1769=ROUND(1758*0.7,10)</f>
        <v/>
      </c>
      <c r="K1769">
        <f>U1769=ROUND(1758*1.1,10)</f>
        <v/>
      </c>
      <c r="L1769">
        <f>V1769=ROUND(1758*0.25,10)</f>
        <v/>
      </c>
      <c r="M1769">
        <f>W1769=ROUND(1758*0.5,10)</f>
        <v/>
      </c>
      <c r="O1769">
        <f>O1768+0.1</f>
        <v/>
      </c>
      <c r="P1769">
        <f>P1768+0.2</f>
        <v/>
      </c>
      <c r="Q1769">
        <f>Q1768+0.3</f>
        <v/>
      </c>
      <c r="R1769">
        <f>R1768+0.05</f>
        <v/>
      </c>
      <c r="S1769">
        <f>S1768+0.01</f>
        <v/>
      </c>
      <c r="T1769">
        <f>T1768+0.7</f>
        <v/>
      </c>
      <c r="U1769">
        <f>U1768+1.1</f>
        <v/>
      </c>
      <c r="V1769">
        <f>V1768+0.25</f>
        <v/>
      </c>
      <c r="W1769">
        <f>W1768+0.5</f>
        <v/>
      </c>
    </row>
    <row r="1770">
      <c r="E1770">
        <f>O1770=ROUND(1759*0.1,10)</f>
        <v/>
      </c>
      <c r="F1770">
        <f>P1770=ROUND(1759*0.2,10)</f>
        <v/>
      </c>
      <c r="G1770">
        <f>Q1770=ROUND(1759*0.3,10)</f>
        <v/>
      </c>
      <c r="H1770">
        <f>R1770=ROUND(1759*0.05,10)</f>
        <v/>
      </c>
      <c r="I1770">
        <f>S1770=ROUND(1759*0.01,10)</f>
        <v/>
      </c>
      <c r="J1770">
        <f>T1770=ROUND(1759*0.7,10)</f>
        <v/>
      </c>
      <c r="K1770">
        <f>U1770=ROUND(1759*1.1,10)</f>
        <v/>
      </c>
      <c r="L1770">
        <f>V1770=ROUND(1759*0.25,10)</f>
        <v/>
      </c>
      <c r="M1770">
        <f>W1770=ROUND(1759*0.5,10)</f>
        <v/>
      </c>
      <c r="O1770">
        <f>O1769+0.1</f>
        <v/>
      </c>
      <c r="P1770">
        <f>P1769+0.2</f>
        <v/>
      </c>
      <c r="Q1770">
        <f>Q1769+0.3</f>
        <v/>
      </c>
      <c r="R1770">
        <f>R1769+0.05</f>
        <v/>
      </c>
      <c r="S1770">
        <f>S1769+0.01</f>
        <v/>
      </c>
      <c r="T1770">
        <f>T1769+0.7</f>
        <v/>
      </c>
      <c r="U1770">
        <f>U1769+1.1</f>
        <v/>
      </c>
      <c r="V1770">
        <f>V1769+0.25</f>
        <v/>
      </c>
      <c r="W1770">
        <f>W1769+0.5</f>
        <v/>
      </c>
    </row>
    <row r="1771">
      <c r="E1771">
        <f>O1771=ROUND(1760*0.1,10)</f>
        <v/>
      </c>
      <c r="F1771">
        <f>P1771=ROUND(1760*0.2,10)</f>
        <v/>
      </c>
      <c r="G1771">
        <f>Q1771=ROUND(1760*0.3,10)</f>
        <v/>
      </c>
      <c r="H1771">
        <f>R1771=ROUND(1760*0.05,10)</f>
        <v/>
      </c>
      <c r="I1771">
        <f>S1771=ROUND(1760*0.01,10)</f>
        <v/>
      </c>
      <c r="J1771">
        <f>T1771=ROUND(1760*0.7,10)</f>
        <v/>
      </c>
      <c r="K1771">
        <f>U1771=ROUND(1760*1.1,10)</f>
        <v/>
      </c>
      <c r="L1771">
        <f>V1771=ROUND(1760*0.25,10)</f>
        <v/>
      </c>
      <c r="M1771">
        <f>W1771=ROUND(1760*0.5,10)</f>
        <v/>
      </c>
      <c r="O1771">
        <f>O1770+0.1</f>
        <v/>
      </c>
      <c r="P1771">
        <f>P1770+0.2</f>
        <v/>
      </c>
      <c r="Q1771">
        <f>Q1770+0.3</f>
        <v/>
      </c>
      <c r="R1771">
        <f>R1770+0.05</f>
        <v/>
      </c>
      <c r="S1771">
        <f>S1770+0.01</f>
        <v/>
      </c>
      <c r="T1771">
        <f>T1770+0.7</f>
        <v/>
      </c>
      <c r="U1771">
        <f>U1770+1.1</f>
        <v/>
      </c>
      <c r="V1771">
        <f>V1770+0.25</f>
        <v/>
      </c>
      <c r="W1771">
        <f>W1770+0.5</f>
        <v/>
      </c>
    </row>
    <row r="1772">
      <c r="E1772">
        <f>O1772=ROUND(1761*0.1,10)</f>
        <v/>
      </c>
      <c r="F1772">
        <f>P1772=ROUND(1761*0.2,10)</f>
        <v/>
      </c>
      <c r="G1772">
        <f>Q1772=ROUND(1761*0.3,10)</f>
        <v/>
      </c>
      <c r="H1772">
        <f>R1772=ROUND(1761*0.05,10)</f>
        <v/>
      </c>
      <c r="I1772">
        <f>S1772=ROUND(1761*0.01,10)</f>
        <v/>
      </c>
      <c r="J1772">
        <f>T1772=ROUND(1761*0.7,10)</f>
        <v/>
      </c>
      <c r="K1772">
        <f>U1772=ROUND(1761*1.1,10)</f>
        <v/>
      </c>
      <c r="L1772">
        <f>V1772=ROUND(1761*0.25,10)</f>
        <v/>
      </c>
      <c r="M1772">
        <f>W1772=ROUND(1761*0.5,10)</f>
        <v/>
      </c>
      <c r="O1772">
        <f>O1771+0.1</f>
        <v/>
      </c>
      <c r="P1772">
        <f>P1771+0.2</f>
        <v/>
      </c>
      <c r="Q1772">
        <f>Q1771+0.3</f>
        <v/>
      </c>
      <c r="R1772">
        <f>R1771+0.05</f>
        <v/>
      </c>
      <c r="S1772">
        <f>S1771+0.01</f>
        <v/>
      </c>
      <c r="T1772">
        <f>T1771+0.7</f>
        <v/>
      </c>
      <c r="U1772">
        <f>U1771+1.1</f>
        <v/>
      </c>
      <c r="V1772">
        <f>V1771+0.25</f>
        <v/>
      </c>
      <c r="W1772">
        <f>W1771+0.5</f>
        <v/>
      </c>
    </row>
    <row r="1773">
      <c r="E1773">
        <f>O1773=ROUND(1762*0.1,10)</f>
        <v/>
      </c>
      <c r="F1773">
        <f>P1773=ROUND(1762*0.2,10)</f>
        <v/>
      </c>
      <c r="G1773">
        <f>Q1773=ROUND(1762*0.3,10)</f>
        <v/>
      </c>
      <c r="H1773">
        <f>R1773=ROUND(1762*0.05,10)</f>
        <v/>
      </c>
      <c r="I1773">
        <f>S1773=ROUND(1762*0.01,10)</f>
        <v/>
      </c>
      <c r="J1773">
        <f>T1773=ROUND(1762*0.7,10)</f>
        <v/>
      </c>
      <c r="K1773">
        <f>U1773=ROUND(1762*1.1,10)</f>
        <v/>
      </c>
      <c r="L1773">
        <f>V1773=ROUND(1762*0.25,10)</f>
        <v/>
      </c>
      <c r="M1773">
        <f>W1773=ROUND(1762*0.5,10)</f>
        <v/>
      </c>
      <c r="O1773">
        <f>O1772+0.1</f>
        <v/>
      </c>
      <c r="P1773">
        <f>P1772+0.2</f>
        <v/>
      </c>
      <c r="Q1773">
        <f>Q1772+0.3</f>
        <v/>
      </c>
      <c r="R1773">
        <f>R1772+0.05</f>
        <v/>
      </c>
      <c r="S1773">
        <f>S1772+0.01</f>
        <v/>
      </c>
      <c r="T1773">
        <f>T1772+0.7</f>
        <v/>
      </c>
      <c r="U1773">
        <f>U1772+1.1</f>
        <v/>
      </c>
      <c r="V1773">
        <f>V1772+0.25</f>
        <v/>
      </c>
      <c r="W1773">
        <f>W1772+0.5</f>
        <v/>
      </c>
    </row>
    <row r="1774">
      <c r="E1774">
        <f>O1774=ROUND(1763*0.1,10)</f>
        <v/>
      </c>
      <c r="F1774">
        <f>P1774=ROUND(1763*0.2,10)</f>
        <v/>
      </c>
      <c r="G1774">
        <f>Q1774=ROUND(1763*0.3,10)</f>
        <v/>
      </c>
      <c r="H1774">
        <f>R1774=ROUND(1763*0.05,10)</f>
        <v/>
      </c>
      <c r="I1774">
        <f>S1774=ROUND(1763*0.01,10)</f>
        <v/>
      </c>
      <c r="J1774">
        <f>T1774=ROUND(1763*0.7,10)</f>
        <v/>
      </c>
      <c r="K1774">
        <f>U1774=ROUND(1763*1.1,10)</f>
        <v/>
      </c>
      <c r="L1774">
        <f>V1774=ROUND(1763*0.25,10)</f>
        <v/>
      </c>
      <c r="M1774">
        <f>W1774=ROUND(1763*0.5,10)</f>
        <v/>
      </c>
      <c r="O1774">
        <f>O1773+0.1</f>
        <v/>
      </c>
      <c r="P1774">
        <f>P1773+0.2</f>
        <v/>
      </c>
      <c r="Q1774">
        <f>Q1773+0.3</f>
        <v/>
      </c>
      <c r="R1774">
        <f>R1773+0.05</f>
        <v/>
      </c>
      <c r="S1774">
        <f>S1773+0.01</f>
        <v/>
      </c>
      <c r="T1774">
        <f>T1773+0.7</f>
        <v/>
      </c>
      <c r="U1774">
        <f>U1773+1.1</f>
        <v/>
      </c>
      <c r="V1774">
        <f>V1773+0.25</f>
        <v/>
      </c>
      <c r="W1774">
        <f>W1773+0.5</f>
        <v/>
      </c>
    </row>
    <row r="1775">
      <c r="E1775">
        <f>O1775=ROUND(1764*0.1,10)</f>
        <v/>
      </c>
      <c r="F1775">
        <f>P1775=ROUND(1764*0.2,10)</f>
        <v/>
      </c>
      <c r="G1775">
        <f>Q1775=ROUND(1764*0.3,10)</f>
        <v/>
      </c>
      <c r="H1775">
        <f>R1775=ROUND(1764*0.05,10)</f>
        <v/>
      </c>
      <c r="I1775">
        <f>S1775=ROUND(1764*0.01,10)</f>
        <v/>
      </c>
      <c r="J1775">
        <f>T1775=ROUND(1764*0.7,10)</f>
        <v/>
      </c>
      <c r="K1775">
        <f>U1775=ROUND(1764*1.1,10)</f>
        <v/>
      </c>
      <c r="L1775">
        <f>V1775=ROUND(1764*0.25,10)</f>
        <v/>
      </c>
      <c r="M1775">
        <f>W1775=ROUND(1764*0.5,10)</f>
        <v/>
      </c>
      <c r="O1775">
        <f>O1774+0.1</f>
        <v/>
      </c>
      <c r="P1775">
        <f>P1774+0.2</f>
        <v/>
      </c>
      <c r="Q1775">
        <f>Q1774+0.3</f>
        <v/>
      </c>
      <c r="R1775">
        <f>R1774+0.05</f>
        <v/>
      </c>
      <c r="S1775">
        <f>S1774+0.01</f>
        <v/>
      </c>
      <c r="T1775">
        <f>T1774+0.7</f>
        <v/>
      </c>
      <c r="U1775">
        <f>U1774+1.1</f>
        <v/>
      </c>
      <c r="V1775">
        <f>V1774+0.25</f>
        <v/>
      </c>
      <c r="W1775">
        <f>W1774+0.5</f>
        <v/>
      </c>
    </row>
    <row r="1776">
      <c r="E1776">
        <f>O1776=ROUND(1765*0.1,10)</f>
        <v/>
      </c>
      <c r="F1776">
        <f>P1776=ROUND(1765*0.2,10)</f>
        <v/>
      </c>
      <c r="G1776">
        <f>Q1776=ROUND(1765*0.3,10)</f>
        <v/>
      </c>
      <c r="H1776">
        <f>R1776=ROUND(1765*0.05,10)</f>
        <v/>
      </c>
      <c r="I1776">
        <f>S1776=ROUND(1765*0.01,10)</f>
        <v/>
      </c>
      <c r="J1776">
        <f>T1776=ROUND(1765*0.7,10)</f>
        <v/>
      </c>
      <c r="K1776">
        <f>U1776=ROUND(1765*1.1,10)</f>
        <v/>
      </c>
      <c r="L1776">
        <f>V1776=ROUND(1765*0.25,10)</f>
        <v/>
      </c>
      <c r="M1776">
        <f>W1776=ROUND(1765*0.5,10)</f>
        <v/>
      </c>
      <c r="O1776">
        <f>O1775+0.1</f>
        <v/>
      </c>
      <c r="P1776">
        <f>P1775+0.2</f>
        <v/>
      </c>
      <c r="Q1776">
        <f>Q1775+0.3</f>
        <v/>
      </c>
      <c r="R1776">
        <f>R1775+0.05</f>
        <v/>
      </c>
      <c r="S1776">
        <f>S1775+0.01</f>
        <v/>
      </c>
      <c r="T1776">
        <f>T1775+0.7</f>
        <v/>
      </c>
      <c r="U1776">
        <f>U1775+1.1</f>
        <v/>
      </c>
      <c r="V1776">
        <f>V1775+0.25</f>
        <v/>
      </c>
      <c r="W1776">
        <f>W1775+0.5</f>
        <v/>
      </c>
    </row>
    <row r="1777">
      <c r="E1777">
        <f>O1777=ROUND(1766*0.1,10)</f>
        <v/>
      </c>
      <c r="F1777">
        <f>P1777=ROUND(1766*0.2,10)</f>
        <v/>
      </c>
      <c r="G1777">
        <f>Q1777=ROUND(1766*0.3,10)</f>
        <v/>
      </c>
      <c r="H1777">
        <f>R1777=ROUND(1766*0.05,10)</f>
        <v/>
      </c>
      <c r="I1777">
        <f>S1777=ROUND(1766*0.01,10)</f>
        <v/>
      </c>
      <c r="J1777">
        <f>T1777=ROUND(1766*0.7,10)</f>
        <v/>
      </c>
      <c r="K1777">
        <f>U1777=ROUND(1766*1.1,10)</f>
        <v/>
      </c>
      <c r="L1777">
        <f>V1777=ROUND(1766*0.25,10)</f>
        <v/>
      </c>
      <c r="M1777">
        <f>W1777=ROUND(1766*0.5,10)</f>
        <v/>
      </c>
      <c r="O1777">
        <f>O1776+0.1</f>
        <v/>
      </c>
      <c r="P1777">
        <f>P1776+0.2</f>
        <v/>
      </c>
      <c r="Q1777">
        <f>Q1776+0.3</f>
        <v/>
      </c>
      <c r="R1777">
        <f>R1776+0.05</f>
        <v/>
      </c>
      <c r="S1777">
        <f>S1776+0.01</f>
        <v/>
      </c>
      <c r="T1777">
        <f>T1776+0.7</f>
        <v/>
      </c>
      <c r="U1777">
        <f>U1776+1.1</f>
        <v/>
      </c>
      <c r="V1777">
        <f>V1776+0.25</f>
        <v/>
      </c>
      <c r="W1777">
        <f>W1776+0.5</f>
        <v/>
      </c>
    </row>
    <row r="1778">
      <c r="E1778">
        <f>O1778=ROUND(1767*0.1,10)</f>
        <v/>
      </c>
      <c r="F1778">
        <f>P1778=ROUND(1767*0.2,10)</f>
        <v/>
      </c>
      <c r="G1778">
        <f>Q1778=ROUND(1767*0.3,10)</f>
        <v/>
      </c>
      <c r="H1778">
        <f>R1778=ROUND(1767*0.05,10)</f>
        <v/>
      </c>
      <c r="I1778">
        <f>S1778=ROUND(1767*0.01,10)</f>
        <v/>
      </c>
      <c r="J1778">
        <f>T1778=ROUND(1767*0.7,10)</f>
        <v/>
      </c>
      <c r="K1778">
        <f>U1778=ROUND(1767*1.1,10)</f>
        <v/>
      </c>
      <c r="L1778">
        <f>V1778=ROUND(1767*0.25,10)</f>
        <v/>
      </c>
      <c r="M1778">
        <f>W1778=ROUND(1767*0.5,10)</f>
        <v/>
      </c>
      <c r="O1778">
        <f>O1777+0.1</f>
        <v/>
      </c>
      <c r="P1778">
        <f>P1777+0.2</f>
        <v/>
      </c>
      <c r="Q1778">
        <f>Q1777+0.3</f>
        <v/>
      </c>
      <c r="R1778">
        <f>R1777+0.05</f>
        <v/>
      </c>
      <c r="S1778">
        <f>S1777+0.01</f>
        <v/>
      </c>
      <c r="T1778">
        <f>T1777+0.7</f>
        <v/>
      </c>
      <c r="U1778">
        <f>U1777+1.1</f>
        <v/>
      </c>
      <c r="V1778">
        <f>V1777+0.25</f>
        <v/>
      </c>
      <c r="W1778">
        <f>W1777+0.5</f>
        <v/>
      </c>
    </row>
    <row r="1779">
      <c r="E1779">
        <f>O1779=ROUND(1768*0.1,10)</f>
        <v/>
      </c>
      <c r="F1779">
        <f>P1779=ROUND(1768*0.2,10)</f>
        <v/>
      </c>
      <c r="G1779">
        <f>Q1779=ROUND(1768*0.3,10)</f>
        <v/>
      </c>
      <c r="H1779">
        <f>R1779=ROUND(1768*0.05,10)</f>
        <v/>
      </c>
      <c r="I1779">
        <f>S1779=ROUND(1768*0.01,10)</f>
        <v/>
      </c>
      <c r="J1779">
        <f>T1779=ROUND(1768*0.7,10)</f>
        <v/>
      </c>
      <c r="K1779">
        <f>U1779=ROUND(1768*1.1,10)</f>
        <v/>
      </c>
      <c r="L1779">
        <f>V1779=ROUND(1768*0.25,10)</f>
        <v/>
      </c>
      <c r="M1779">
        <f>W1779=ROUND(1768*0.5,10)</f>
        <v/>
      </c>
      <c r="O1779">
        <f>O1778+0.1</f>
        <v/>
      </c>
      <c r="P1779">
        <f>P1778+0.2</f>
        <v/>
      </c>
      <c r="Q1779">
        <f>Q1778+0.3</f>
        <v/>
      </c>
      <c r="R1779">
        <f>R1778+0.05</f>
        <v/>
      </c>
      <c r="S1779">
        <f>S1778+0.01</f>
        <v/>
      </c>
      <c r="T1779">
        <f>T1778+0.7</f>
        <v/>
      </c>
      <c r="U1779">
        <f>U1778+1.1</f>
        <v/>
      </c>
      <c r="V1779">
        <f>V1778+0.25</f>
        <v/>
      </c>
      <c r="W1779">
        <f>W1778+0.5</f>
        <v/>
      </c>
    </row>
    <row r="1780">
      <c r="E1780">
        <f>O1780=ROUND(1769*0.1,10)</f>
        <v/>
      </c>
      <c r="F1780">
        <f>P1780=ROUND(1769*0.2,10)</f>
        <v/>
      </c>
      <c r="G1780">
        <f>Q1780=ROUND(1769*0.3,10)</f>
        <v/>
      </c>
      <c r="H1780">
        <f>R1780=ROUND(1769*0.05,10)</f>
        <v/>
      </c>
      <c r="I1780">
        <f>S1780=ROUND(1769*0.01,10)</f>
        <v/>
      </c>
      <c r="J1780">
        <f>T1780=ROUND(1769*0.7,10)</f>
        <v/>
      </c>
      <c r="K1780">
        <f>U1780=ROUND(1769*1.1,10)</f>
        <v/>
      </c>
      <c r="L1780">
        <f>V1780=ROUND(1769*0.25,10)</f>
        <v/>
      </c>
      <c r="M1780">
        <f>W1780=ROUND(1769*0.5,10)</f>
        <v/>
      </c>
      <c r="O1780">
        <f>O1779+0.1</f>
        <v/>
      </c>
      <c r="P1780">
        <f>P1779+0.2</f>
        <v/>
      </c>
      <c r="Q1780">
        <f>Q1779+0.3</f>
        <v/>
      </c>
      <c r="R1780">
        <f>R1779+0.05</f>
        <v/>
      </c>
      <c r="S1780">
        <f>S1779+0.01</f>
        <v/>
      </c>
      <c r="T1780">
        <f>T1779+0.7</f>
        <v/>
      </c>
      <c r="U1780">
        <f>U1779+1.1</f>
        <v/>
      </c>
      <c r="V1780">
        <f>V1779+0.25</f>
        <v/>
      </c>
      <c r="W1780">
        <f>W1779+0.5</f>
        <v/>
      </c>
    </row>
    <row r="1781">
      <c r="E1781">
        <f>O1781=ROUND(1770*0.1,10)</f>
        <v/>
      </c>
      <c r="F1781">
        <f>P1781=ROUND(1770*0.2,10)</f>
        <v/>
      </c>
      <c r="G1781">
        <f>Q1781=ROUND(1770*0.3,10)</f>
        <v/>
      </c>
      <c r="H1781">
        <f>R1781=ROUND(1770*0.05,10)</f>
        <v/>
      </c>
      <c r="I1781">
        <f>S1781=ROUND(1770*0.01,10)</f>
        <v/>
      </c>
      <c r="J1781">
        <f>T1781=ROUND(1770*0.7,10)</f>
        <v/>
      </c>
      <c r="K1781">
        <f>U1781=ROUND(1770*1.1,10)</f>
        <v/>
      </c>
      <c r="L1781">
        <f>V1781=ROUND(1770*0.25,10)</f>
        <v/>
      </c>
      <c r="M1781">
        <f>W1781=ROUND(1770*0.5,10)</f>
        <v/>
      </c>
      <c r="O1781">
        <f>O1780+0.1</f>
        <v/>
      </c>
      <c r="P1781">
        <f>P1780+0.2</f>
        <v/>
      </c>
      <c r="Q1781">
        <f>Q1780+0.3</f>
        <v/>
      </c>
      <c r="R1781">
        <f>R1780+0.05</f>
        <v/>
      </c>
      <c r="S1781">
        <f>S1780+0.01</f>
        <v/>
      </c>
      <c r="T1781">
        <f>T1780+0.7</f>
        <v/>
      </c>
      <c r="U1781">
        <f>U1780+1.1</f>
        <v/>
      </c>
      <c r="V1781">
        <f>V1780+0.25</f>
        <v/>
      </c>
      <c r="W1781">
        <f>W1780+0.5</f>
        <v/>
      </c>
    </row>
    <row r="1782">
      <c r="E1782">
        <f>O1782=ROUND(1771*0.1,10)</f>
        <v/>
      </c>
      <c r="F1782">
        <f>P1782=ROUND(1771*0.2,10)</f>
        <v/>
      </c>
      <c r="G1782">
        <f>Q1782=ROUND(1771*0.3,10)</f>
        <v/>
      </c>
      <c r="H1782">
        <f>R1782=ROUND(1771*0.05,10)</f>
        <v/>
      </c>
      <c r="I1782">
        <f>S1782=ROUND(1771*0.01,10)</f>
        <v/>
      </c>
      <c r="J1782">
        <f>T1782=ROUND(1771*0.7,10)</f>
        <v/>
      </c>
      <c r="K1782">
        <f>U1782=ROUND(1771*1.1,10)</f>
        <v/>
      </c>
      <c r="L1782">
        <f>V1782=ROUND(1771*0.25,10)</f>
        <v/>
      </c>
      <c r="M1782">
        <f>W1782=ROUND(1771*0.5,10)</f>
        <v/>
      </c>
      <c r="O1782">
        <f>O1781+0.1</f>
        <v/>
      </c>
      <c r="P1782">
        <f>P1781+0.2</f>
        <v/>
      </c>
      <c r="Q1782">
        <f>Q1781+0.3</f>
        <v/>
      </c>
      <c r="R1782">
        <f>R1781+0.05</f>
        <v/>
      </c>
      <c r="S1782">
        <f>S1781+0.01</f>
        <v/>
      </c>
      <c r="T1782">
        <f>T1781+0.7</f>
        <v/>
      </c>
      <c r="U1782">
        <f>U1781+1.1</f>
        <v/>
      </c>
      <c r="V1782">
        <f>V1781+0.25</f>
        <v/>
      </c>
      <c r="W1782">
        <f>W1781+0.5</f>
        <v/>
      </c>
    </row>
    <row r="1783">
      <c r="E1783">
        <f>O1783=ROUND(1772*0.1,10)</f>
        <v/>
      </c>
      <c r="F1783">
        <f>P1783=ROUND(1772*0.2,10)</f>
        <v/>
      </c>
      <c r="G1783">
        <f>Q1783=ROUND(1772*0.3,10)</f>
        <v/>
      </c>
      <c r="H1783">
        <f>R1783=ROUND(1772*0.05,10)</f>
        <v/>
      </c>
      <c r="I1783">
        <f>S1783=ROUND(1772*0.01,10)</f>
        <v/>
      </c>
      <c r="J1783">
        <f>T1783=ROUND(1772*0.7,10)</f>
        <v/>
      </c>
      <c r="K1783">
        <f>U1783=ROUND(1772*1.1,10)</f>
        <v/>
      </c>
      <c r="L1783">
        <f>V1783=ROUND(1772*0.25,10)</f>
        <v/>
      </c>
      <c r="M1783">
        <f>W1783=ROUND(1772*0.5,10)</f>
        <v/>
      </c>
      <c r="O1783">
        <f>O1782+0.1</f>
        <v/>
      </c>
      <c r="P1783">
        <f>P1782+0.2</f>
        <v/>
      </c>
      <c r="Q1783">
        <f>Q1782+0.3</f>
        <v/>
      </c>
      <c r="R1783">
        <f>R1782+0.05</f>
        <v/>
      </c>
      <c r="S1783">
        <f>S1782+0.01</f>
        <v/>
      </c>
      <c r="T1783">
        <f>T1782+0.7</f>
        <v/>
      </c>
      <c r="U1783">
        <f>U1782+1.1</f>
        <v/>
      </c>
      <c r="V1783">
        <f>V1782+0.25</f>
        <v/>
      </c>
      <c r="W1783">
        <f>W1782+0.5</f>
        <v/>
      </c>
    </row>
    <row r="1784">
      <c r="E1784">
        <f>O1784=ROUND(1773*0.1,10)</f>
        <v/>
      </c>
      <c r="F1784">
        <f>P1784=ROUND(1773*0.2,10)</f>
        <v/>
      </c>
      <c r="G1784">
        <f>Q1784=ROUND(1773*0.3,10)</f>
        <v/>
      </c>
      <c r="H1784">
        <f>R1784=ROUND(1773*0.05,10)</f>
        <v/>
      </c>
      <c r="I1784">
        <f>S1784=ROUND(1773*0.01,10)</f>
        <v/>
      </c>
      <c r="J1784">
        <f>T1784=ROUND(1773*0.7,10)</f>
        <v/>
      </c>
      <c r="K1784">
        <f>U1784=ROUND(1773*1.1,10)</f>
        <v/>
      </c>
      <c r="L1784">
        <f>V1784=ROUND(1773*0.25,10)</f>
        <v/>
      </c>
      <c r="M1784">
        <f>W1784=ROUND(1773*0.5,10)</f>
        <v/>
      </c>
      <c r="O1784">
        <f>O1783+0.1</f>
        <v/>
      </c>
      <c r="P1784">
        <f>P1783+0.2</f>
        <v/>
      </c>
      <c r="Q1784">
        <f>Q1783+0.3</f>
        <v/>
      </c>
      <c r="R1784">
        <f>R1783+0.05</f>
        <v/>
      </c>
      <c r="S1784">
        <f>S1783+0.01</f>
        <v/>
      </c>
      <c r="T1784">
        <f>T1783+0.7</f>
        <v/>
      </c>
      <c r="U1784">
        <f>U1783+1.1</f>
        <v/>
      </c>
      <c r="V1784">
        <f>V1783+0.25</f>
        <v/>
      </c>
      <c r="W1784">
        <f>W1783+0.5</f>
        <v/>
      </c>
    </row>
    <row r="1785">
      <c r="E1785">
        <f>O1785=ROUND(1774*0.1,10)</f>
        <v/>
      </c>
      <c r="F1785">
        <f>P1785=ROUND(1774*0.2,10)</f>
        <v/>
      </c>
      <c r="G1785">
        <f>Q1785=ROUND(1774*0.3,10)</f>
        <v/>
      </c>
      <c r="H1785">
        <f>R1785=ROUND(1774*0.05,10)</f>
        <v/>
      </c>
      <c r="I1785">
        <f>S1785=ROUND(1774*0.01,10)</f>
        <v/>
      </c>
      <c r="J1785">
        <f>T1785=ROUND(1774*0.7,10)</f>
        <v/>
      </c>
      <c r="K1785">
        <f>U1785=ROUND(1774*1.1,10)</f>
        <v/>
      </c>
      <c r="L1785">
        <f>V1785=ROUND(1774*0.25,10)</f>
        <v/>
      </c>
      <c r="M1785">
        <f>W1785=ROUND(1774*0.5,10)</f>
        <v/>
      </c>
      <c r="O1785">
        <f>O1784+0.1</f>
        <v/>
      </c>
      <c r="P1785">
        <f>P1784+0.2</f>
        <v/>
      </c>
      <c r="Q1785">
        <f>Q1784+0.3</f>
        <v/>
      </c>
      <c r="R1785">
        <f>R1784+0.05</f>
        <v/>
      </c>
      <c r="S1785">
        <f>S1784+0.01</f>
        <v/>
      </c>
      <c r="T1785">
        <f>T1784+0.7</f>
        <v/>
      </c>
      <c r="U1785">
        <f>U1784+1.1</f>
        <v/>
      </c>
      <c r="V1785">
        <f>V1784+0.25</f>
        <v/>
      </c>
      <c r="W1785">
        <f>W1784+0.5</f>
        <v/>
      </c>
    </row>
    <row r="1786">
      <c r="E1786">
        <f>O1786=ROUND(1775*0.1,10)</f>
        <v/>
      </c>
      <c r="F1786">
        <f>P1786=ROUND(1775*0.2,10)</f>
        <v/>
      </c>
      <c r="G1786">
        <f>Q1786=ROUND(1775*0.3,10)</f>
        <v/>
      </c>
      <c r="H1786">
        <f>R1786=ROUND(1775*0.05,10)</f>
        <v/>
      </c>
      <c r="I1786">
        <f>S1786=ROUND(1775*0.01,10)</f>
        <v/>
      </c>
      <c r="J1786">
        <f>T1786=ROUND(1775*0.7,10)</f>
        <v/>
      </c>
      <c r="K1786">
        <f>U1786=ROUND(1775*1.1,10)</f>
        <v/>
      </c>
      <c r="L1786">
        <f>V1786=ROUND(1775*0.25,10)</f>
        <v/>
      </c>
      <c r="M1786">
        <f>W1786=ROUND(1775*0.5,10)</f>
        <v/>
      </c>
      <c r="O1786">
        <f>O1785+0.1</f>
        <v/>
      </c>
      <c r="P1786">
        <f>P1785+0.2</f>
        <v/>
      </c>
      <c r="Q1786">
        <f>Q1785+0.3</f>
        <v/>
      </c>
      <c r="R1786">
        <f>R1785+0.05</f>
        <v/>
      </c>
      <c r="S1786">
        <f>S1785+0.01</f>
        <v/>
      </c>
      <c r="T1786">
        <f>T1785+0.7</f>
        <v/>
      </c>
      <c r="U1786">
        <f>U1785+1.1</f>
        <v/>
      </c>
      <c r="V1786">
        <f>V1785+0.25</f>
        <v/>
      </c>
      <c r="W1786">
        <f>W1785+0.5</f>
        <v/>
      </c>
    </row>
    <row r="1787">
      <c r="E1787">
        <f>O1787=ROUND(1776*0.1,10)</f>
        <v/>
      </c>
      <c r="F1787">
        <f>P1787=ROUND(1776*0.2,10)</f>
        <v/>
      </c>
      <c r="G1787">
        <f>Q1787=ROUND(1776*0.3,10)</f>
        <v/>
      </c>
      <c r="H1787">
        <f>R1787=ROUND(1776*0.05,10)</f>
        <v/>
      </c>
      <c r="I1787">
        <f>S1787=ROUND(1776*0.01,10)</f>
        <v/>
      </c>
      <c r="J1787">
        <f>T1787=ROUND(1776*0.7,10)</f>
        <v/>
      </c>
      <c r="K1787">
        <f>U1787=ROUND(1776*1.1,10)</f>
        <v/>
      </c>
      <c r="L1787">
        <f>V1787=ROUND(1776*0.25,10)</f>
        <v/>
      </c>
      <c r="M1787">
        <f>W1787=ROUND(1776*0.5,10)</f>
        <v/>
      </c>
      <c r="O1787">
        <f>O1786+0.1</f>
        <v/>
      </c>
      <c r="P1787">
        <f>P1786+0.2</f>
        <v/>
      </c>
      <c r="Q1787">
        <f>Q1786+0.3</f>
        <v/>
      </c>
      <c r="R1787">
        <f>R1786+0.05</f>
        <v/>
      </c>
      <c r="S1787">
        <f>S1786+0.01</f>
        <v/>
      </c>
      <c r="T1787">
        <f>T1786+0.7</f>
        <v/>
      </c>
      <c r="U1787">
        <f>U1786+1.1</f>
        <v/>
      </c>
      <c r="V1787">
        <f>V1786+0.25</f>
        <v/>
      </c>
      <c r="W1787">
        <f>W1786+0.5</f>
        <v/>
      </c>
    </row>
    <row r="1788">
      <c r="E1788">
        <f>O1788=ROUND(1777*0.1,10)</f>
        <v/>
      </c>
      <c r="F1788">
        <f>P1788=ROUND(1777*0.2,10)</f>
        <v/>
      </c>
      <c r="G1788">
        <f>Q1788=ROUND(1777*0.3,10)</f>
        <v/>
      </c>
      <c r="H1788">
        <f>R1788=ROUND(1777*0.05,10)</f>
        <v/>
      </c>
      <c r="I1788">
        <f>S1788=ROUND(1777*0.01,10)</f>
        <v/>
      </c>
      <c r="J1788">
        <f>T1788=ROUND(1777*0.7,10)</f>
        <v/>
      </c>
      <c r="K1788">
        <f>U1788=ROUND(1777*1.1,10)</f>
        <v/>
      </c>
      <c r="L1788">
        <f>V1788=ROUND(1777*0.25,10)</f>
        <v/>
      </c>
      <c r="M1788">
        <f>W1788=ROUND(1777*0.5,10)</f>
        <v/>
      </c>
      <c r="O1788">
        <f>O1787+0.1</f>
        <v/>
      </c>
      <c r="P1788">
        <f>P1787+0.2</f>
        <v/>
      </c>
      <c r="Q1788">
        <f>Q1787+0.3</f>
        <v/>
      </c>
      <c r="R1788">
        <f>R1787+0.05</f>
        <v/>
      </c>
      <c r="S1788">
        <f>S1787+0.01</f>
        <v/>
      </c>
      <c r="T1788">
        <f>T1787+0.7</f>
        <v/>
      </c>
      <c r="U1788">
        <f>U1787+1.1</f>
        <v/>
      </c>
      <c r="V1788">
        <f>V1787+0.25</f>
        <v/>
      </c>
      <c r="W1788">
        <f>W1787+0.5</f>
        <v/>
      </c>
    </row>
    <row r="1789">
      <c r="E1789">
        <f>O1789=ROUND(1778*0.1,10)</f>
        <v/>
      </c>
      <c r="F1789">
        <f>P1789=ROUND(1778*0.2,10)</f>
        <v/>
      </c>
      <c r="G1789">
        <f>Q1789=ROUND(1778*0.3,10)</f>
        <v/>
      </c>
      <c r="H1789">
        <f>R1789=ROUND(1778*0.05,10)</f>
        <v/>
      </c>
      <c r="I1789">
        <f>S1789=ROUND(1778*0.01,10)</f>
        <v/>
      </c>
      <c r="J1789">
        <f>T1789=ROUND(1778*0.7,10)</f>
        <v/>
      </c>
      <c r="K1789">
        <f>U1789=ROUND(1778*1.1,10)</f>
        <v/>
      </c>
      <c r="L1789">
        <f>V1789=ROUND(1778*0.25,10)</f>
        <v/>
      </c>
      <c r="M1789">
        <f>W1789=ROUND(1778*0.5,10)</f>
        <v/>
      </c>
      <c r="O1789">
        <f>O1788+0.1</f>
        <v/>
      </c>
      <c r="P1789">
        <f>P1788+0.2</f>
        <v/>
      </c>
      <c r="Q1789">
        <f>Q1788+0.3</f>
        <v/>
      </c>
      <c r="R1789">
        <f>R1788+0.05</f>
        <v/>
      </c>
      <c r="S1789">
        <f>S1788+0.01</f>
        <v/>
      </c>
      <c r="T1789">
        <f>T1788+0.7</f>
        <v/>
      </c>
      <c r="U1789">
        <f>U1788+1.1</f>
        <v/>
      </c>
      <c r="V1789">
        <f>V1788+0.25</f>
        <v/>
      </c>
      <c r="W1789">
        <f>W1788+0.5</f>
        <v/>
      </c>
    </row>
    <row r="1790">
      <c r="E1790">
        <f>O1790=ROUND(1779*0.1,10)</f>
        <v/>
      </c>
      <c r="F1790">
        <f>P1790=ROUND(1779*0.2,10)</f>
        <v/>
      </c>
      <c r="G1790">
        <f>Q1790=ROUND(1779*0.3,10)</f>
        <v/>
      </c>
      <c r="H1790">
        <f>R1790=ROUND(1779*0.05,10)</f>
        <v/>
      </c>
      <c r="I1790">
        <f>S1790=ROUND(1779*0.01,10)</f>
        <v/>
      </c>
      <c r="J1790">
        <f>T1790=ROUND(1779*0.7,10)</f>
        <v/>
      </c>
      <c r="K1790">
        <f>U1790=ROUND(1779*1.1,10)</f>
        <v/>
      </c>
      <c r="L1790">
        <f>V1790=ROUND(1779*0.25,10)</f>
        <v/>
      </c>
      <c r="M1790">
        <f>W1790=ROUND(1779*0.5,10)</f>
        <v/>
      </c>
      <c r="O1790">
        <f>O1789+0.1</f>
        <v/>
      </c>
      <c r="P1790">
        <f>P1789+0.2</f>
        <v/>
      </c>
      <c r="Q1790">
        <f>Q1789+0.3</f>
        <v/>
      </c>
      <c r="R1790">
        <f>R1789+0.05</f>
        <v/>
      </c>
      <c r="S1790">
        <f>S1789+0.01</f>
        <v/>
      </c>
      <c r="T1790">
        <f>T1789+0.7</f>
        <v/>
      </c>
      <c r="U1790">
        <f>U1789+1.1</f>
        <v/>
      </c>
      <c r="V1790">
        <f>V1789+0.25</f>
        <v/>
      </c>
      <c r="W1790">
        <f>W1789+0.5</f>
        <v/>
      </c>
    </row>
    <row r="1791">
      <c r="E1791">
        <f>O1791=ROUND(1780*0.1,10)</f>
        <v/>
      </c>
      <c r="F1791">
        <f>P1791=ROUND(1780*0.2,10)</f>
        <v/>
      </c>
      <c r="G1791">
        <f>Q1791=ROUND(1780*0.3,10)</f>
        <v/>
      </c>
      <c r="H1791">
        <f>R1791=ROUND(1780*0.05,10)</f>
        <v/>
      </c>
      <c r="I1791">
        <f>S1791=ROUND(1780*0.01,10)</f>
        <v/>
      </c>
      <c r="J1791">
        <f>T1791=ROUND(1780*0.7,10)</f>
        <v/>
      </c>
      <c r="K1791">
        <f>U1791=ROUND(1780*1.1,10)</f>
        <v/>
      </c>
      <c r="L1791">
        <f>V1791=ROUND(1780*0.25,10)</f>
        <v/>
      </c>
      <c r="M1791">
        <f>W1791=ROUND(1780*0.5,10)</f>
        <v/>
      </c>
      <c r="O1791">
        <f>O1790+0.1</f>
        <v/>
      </c>
      <c r="P1791">
        <f>P1790+0.2</f>
        <v/>
      </c>
      <c r="Q1791">
        <f>Q1790+0.3</f>
        <v/>
      </c>
      <c r="R1791">
        <f>R1790+0.05</f>
        <v/>
      </c>
      <c r="S1791">
        <f>S1790+0.01</f>
        <v/>
      </c>
      <c r="T1791">
        <f>T1790+0.7</f>
        <v/>
      </c>
      <c r="U1791">
        <f>U1790+1.1</f>
        <v/>
      </c>
      <c r="V1791">
        <f>V1790+0.25</f>
        <v/>
      </c>
      <c r="W1791">
        <f>W1790+0.5</f>
        <v/>
      </c>
    </row>
    <row r="1792">
      <c r="E1792">
        <f>O1792=ROUND(1781*0.1,10)</f>
        <v/>
      </c>
      <c r="F1792">
        <f>P1792=ROUND(1781*0.2,10)</f>
        <v/>
      </c>
      <c r="G1792">
        <f>Q1792=ROUND(1781*0.3,10)</f>
        <v/>
      </c>
      <c r="H1792">
        <f>R1792=ROUND(1781*0.05,10)</f>
        <v/>
      </c>
      <c r="I1792">
        <f>S1792=ROUND(1781*0.01,10)</f>
        <v/>
      </c>
      <c r="J1792">
        <f>T1792=ROUND(1781*0.7,10)</f>
        <v/>
      </c>
      <c r="K1792">
        <f>U1792=ROUND(1781*1.1,10)</f>
        <v/>
      </c>
      <c r="L1792">
        <f>V1792=ROUND(1781*0.25,10)</f>
        <v/>
      </c>
      <c r="M1792">
        <f>W1792=ROUND(1781*0.5,10)</f>
        <v/>
      </c>
      <c r="O1792">
        <f>O1791+0.1</f>
        <v/>
      </c>
      <c r="P1792">
        <f>P1791+0.2</f>
        <v/>
      </c>
      <c r="Q1792">
        <f>Q1791+0.3</f>
        <v/>
      </c>
      <c r="R1792">
        <f>R1791+0.05</f>
        <v/>
      </c>
      <c r="S1792">
        <f>S1791+0.01</f>
        <v/>
      </c>
      <c r="T1792">
        <f>T1791+0.7</f>
        <v/>
      </c>
      <c r="U1792">
        <f>U1791+1.1</f>
        <v/>
      </c>
      <c r="V1792">
        <f>V1791+0.25</f>
        <v/>
      </c>
      <c r="W1792">
        <f>W1791+0.5</f>
        <v/>
      </c>
    </row>
    <row r="1793">
      <c r="E1793">
        <f>O1793=ROUND(1782*0.1,10)</f>
        <v/>
      </c>
      <c r="F1793">
        <f>P1793=ROUND(1782*0.2,10)</f>
        <v/>
      </c>
      <c r="G1793">
        <f>Q1793=ROUND(1782*0.3,10)</f>
        <v/>
      </c>
      <c r="H1793">
        <f>R1793=ROUND(1782*0.05,10)</f>
        <v/>
      </c>
      <c r="I1793">
        <f>S1793=ROUND(1782*0.01,10)</f>
        <v/>
      </c>
      <c r="J1793">
        <f>T1793=ROUND(1782*0.7,10)</f>
        <v/>
      </c>
      <c r="K1793">
        <f>U1793=ROUND(1782*1.1,10)</f>
        <v/>
      </c>
      <c r="L1793">
        <f>V1793=ROUND(1782*0.25,10)</f>
        <v/>
      </c>
      <c r="M1793">
        <f>W1793=ROUND(1782*0.5,10)</f>
        <v/>
      </c>
      <c r="O1793">
        <f>O1792+0.1</f>
        <v/>
      </c>
      <c r="P1793">
        <f>P1792+0.2</f>
        <v/>
      </c>
      <c r="Q1793">
        <f>Q1792+0.3</f>
        <v/>
      </c>
      <c r="R1793">
        <f>R1792+0.05</f>
        <v/>
      </c>
      <c r="S1793">
        <f>S1792+0.01</f>
        <v/>
      </c>
      <c r="T1793">
        <f>T1792+0.7</f>
        <v/>
      </c>
      <c r="U1793">
        <f>U1792+1.1</f>
        <v/>
      </c>
      <c r="V1793">
        <f>V1792+0.25</f>
        <v/>
      </c>
      <c r="W1793">
        <f>W1792+0.5</f>
        <v/>
      </c>
    </row>
    <row r="1794">
      <c r="E1794">
        <f>O1794=ROUND(1783*0.1,10)</f>
        <v/>
      </c>
      <c r="F1794">
        <f>P1794=ROUND(1783*0.2,10)</f>
        <v/>
      </c>
      <c r="G1794">
        <f>Q1794=ROUND(1783*0.3,10)</f>
        <v/>
      </c>
      <c r="H1794">
        <f>R1794=ROUND(1783*0.05,10)</f>
        <v/>
      </c>
      <c r="I1794">
        <f>S1794=ROUND(1783*0.01,10)</f>
        <v/>
      </c>
      <c r="J1794">
        <f>T1794=ROUND(1783*0.7,10)</f>
        <v/>
      </c>
      <c r="K1794">
        <f>U1794=ROUND(1783*1.1,10)</f>
        <v/>
      </c>
      <c r="L1794">
        <f>V1794=ROUND(1783*0.25,10)</f>
        <v/>
      </c>
      <c r="M1794">
        <f>W1794=ROUND(1783*0.5,10)</f>
        <v/>
      </c>
      <c r="O1794">
        <f>O1793+0.1</f>
        <v/>
      </c>
      <c r="P1794">
        <f>P1793+0.2</f>
        <v/>
      </c>
      <c r="Q1794">
        <f>Q1793+0.3</f>
        <v/>
      </c>
      <c r="R1794">
        <f>R1793+0.05</f>
        <v/>
      </c>
      <c r="S1794">
        <f>S1793+0.01</f>
        <v/>
      </c>
      <c r="T1794">
        <f>T1793+0.7</f>
        <v/>
      </c>
      <c r="U1794">
        <f>U1793+1.1</f>
        <v/>
      </c>
      <c r="V1794">
        <f>V1793+0.25</f>
        <v/>
      </c>
      <c r="W1794">
        <f>W1793+0.5</f>
        <v/>
      </c>
    </row>
    <row r="1795">
      <c r="E1795">
        <f>O1795=ROUND(1784*0.1,10)</f>
        <v/>
      </c>
      <c r="F1795">
        <f>P1795=ROUND(1784*0.2,10)</f>
        <v/>
      </c>
      <c r="G1795">
        <f>Q1795=ROUND(1784*0.3,10)</f>
        <v/>
      </c>
      <c r="H1795">
        <f>R1795=ROUND(1784*0.05,10)</f>
        <v/>
      </c>
      <c r="I1795">
        <f>S1795=ROUND(1784*0.01,10)</f>
        <v/>
      </c>
      <c r="J1795">
        <f>T1795=ROUND(1784*0.7,10)</f>
        <v/>
      </c>
      <c r="K1795">
        <f>U1795=ROUND(1784*1.1,10)</f>
        <v/>
      </c>
      <c r="L1795">
        <f>V1795=ROUND(1784*0.25,10)</f>
        <v/>
      </c>
      <c r="M1795">
        <f>W1795=ROUND(1784*0.5,10)</f>
        <v/>
      </c>
      <c r="O1795">
        <f>O1794+0.1</f>
        <v/>
      </c>
      <c r="P1795">
        <f>P1794+0.2</f>
        <v/>
      </c>
      <c r="Q1795">
        <f>Q1794+0.3</f>
        <v/>
      </c>
      <c r="R1795">
        <f>R1794+0.05</f>
        <v/>
      </c>
      <c r="S1795">
        <f>S1794+0.01</f>
        <v/>
      </c>
      <c r="T1795">
        <f>T1794+0.7</f>
        <v/>
      </c>
      <c r="U1795">
        <f>U1794+1.1</f>
        <v/>
      </c>
      <c r="V1795">
        <f>V1794+0.25</f>
        <v/>
      </c>
      <c r="W1795">
        <f>W1794+0.5</f>
        <v/>
      </c>
    </row>
    <row r="1796">
      <c r="E1796">
        <f>O1796=ROUND(1785*0.1,10)</f>
        <v/>
      </c>
      <c r="F1796">
        <f>P1796=ROUND(1785*0.2,10)</f>
        <v/>
      </c>
      <c r="G1796">
        <f>Q1796=ROUND(1785*0.3,10)</f>
        <v/>
      </c>
      <c r="H1796">
        <f>R1796=ROUND(1785*0.05,10)</f>
        <v/>
      </c>
      <c r="I1796">
        <f>S1796=ROUND(1785*0.01,10)</f>
        <v/>
      </c>
      <c r="J1796">
        <f>T1796=ROUND(1785*0.7,10)</f>
        <v/>
      </c>
      <c r="K1796">
        <f>U1796=ROUND(1785*1.1,10)</f>
        <v/>
      </c>
      <c r="L1796">
        <f>V1796=ROUND(1785*0.25,10)</f>
        <v/>
      </c>
      <c r="M1796">
        <f>W1796=ROUND(1785*0.5,10)</f>
        <v/>
      </c>
      <c r="O1796">
        <f>O1795+0.1</f>
        <v/>
      </c>
      <c r="P1796">
        <f>P1795+0.2</f>
        <v/>
      </c>
      <c r="Q1796">
        <f>Q1795+0.3</f>
        <v/>
      </c>
      <c r="R1796">
        <f>R1795+0.05</f>
        <v/>
      </c>
      <c r="S1796">
        <f>S1795+0.01</f>
        <v/>
      </c>
      <c r="T1796">
        <f>T1795+0.7</f>
        <v/>
      </c>
      <c r="U1796">
        <f>U1795+1.1</f>
        <v/>
      </c>
      <c r="V1796">
        <f>V1795+0.25</f>
        <v/>
      </c>
      <c r="W1796">
        <f>W1795+0.5</f>
        <v/>
      </c>
    </row>
    <row r="1797">
      <c r="E1797">
        <f>O1797=ROUND(1786*0.1,10)</f>
        <v/>
      </c>
      <c r="F1797">
        <f>P1797=ROUND(1786*0.2,10)</f>
        <v/>
      </c>
      <c r="G1797">
        <f>Q1797=ROUND(1786*0.3,10)</f>
        <v/>
      </c>
      <c r="H1797">
        <f>R1797=ROUND(1786*0.05,10)</f>
        <v/>
      </c>
      <c r="I1797">
        <f>S1797=ROUND(1786*0.01,10)</f>
        <v/>
      </c>
      <c r="J1797">
        <f>T1797=ROUND(1786*0.7,10)</f>
        <v/>
      </c>
      <c r="K1797">
        <f>U1797=ROUND(1786*1.1,10)</f>
        <v/>
      </c>
      <c r="L1797">
        <f>V1797=ROUND(1786*0.25,10)</f>
        <v/>
      </c>
      <c r="M1797">
        <f>W1797=ROUND(1786*0.5,10)</f>
        <v/>
      </c>
      <c r="O1797">
        <f>O1796+0.1</f>
        <v/>
      </c>
      <c r="P1797">
        <f>P1796+0.2</f>
        <v/>
      </c>
      <c r="Q1797">
        <f>Q1796+0.3</f>
        <v/>
      </c>
      <c r="R1797">
        <f>R1796+0.05</f>
        <v/>
      </c>
      <c r="S1797">
        <f>S1796+0.01</f>
        <v/>
      </c>
      <c r="T1797">
        <f>T1796+0.7</f>
        <v/>
      </c>
      <c r="U1797">
        <f>U1796+1.1</f>
        <v/>
      </c>
      <c r="V1797">
        <f>V1796+0.25</f>
        <v/>
      </c>
      <c r="W1797">
        <f>W1796+0.5</f>
        <v/>
      </c>
    </row>
    <row r="1798">
      <c r="E1798">
        <f>O1798=ROUND(1787*0.1,10)</f>
        <v/>
      </c>
      <c r="F1798">
        <f>P1798=ROUND(1787*0.2,10)</f>
        <v/>
      </c>
      <c r="G1798">
        <f>Q1798=ROUND(1787*0.3,10)</f>
        <v/>
      </c>
      <c r="H1798">
        <f>R1798=ROUND(1787*0.05,10)</f>
        <v/>
      </c>
      <c r="I1798">
        <f>S1798=ROUND(1787*0.01,10)</f>
        <v/>
      </c>
      <c r="J1798">
        <f>T1798=ROUND(1787*0.7,10)</f>
        <v/>
      </c>
      <c r="K1798">
        <f>U1798=ROUND(1787*1.1,10)</f>
        <v/>
      </c>
      <c r="L1798">
        <f>V1798=ROUND(1787*0.25,10)</f>
        <v/>
      </c>
      <c r="M1798">
        <f>W1798=ROUND(1787*0.5,10)</f>
        <v/>
      </c>
      <c r="O1798">
        <f>O1797+0.1</f>
        <v/>
      </c>
      <c r="P1798">
        <f>P1797+0.2</f>
        <v/>
      </c>
      <c r="Q1798">
        <f>Q1797+0.3</f>
        <v/>
      </c>
      <c r="R1798">
        <f>R1797+0.05</f>
        <v/>
      </c>
      <c r="S1798">
        <f>S1797+0.01</f>
        <v/>
      </c>
      <c r="T1798">
        <f>T1797+0.7</f>
        <v/>
      </c>
      <c r="U1798">
        <f>U1797+1.1</f>
        <v/>
      </c>
      <c r="V1798">
        <f>V1797+0.25</f>
        <v/>
      </c>
      <c r="W1798">
        <f>W1797+0.5</f>
        <v/>
      </c>
    </row>
    <row r="1799">
      <c r="E1799">
        <f>O1799=ROUND(1788*0.1,10)</f>
        <v/>
      </c>
      <c r="F1799">
        <f>P1799=ROUND(1788*0.2,10)</f>
        <v/>
      </c>
      <c r="G1799">
        <f>Q1799=ROUND(1788*0.3,10)</f>
        <v/>
      </c>
      <c r="H1799">
        <f>R1799=ROUND(1788*0.05,10)</f>
        <v/>
      </c>
      <c r="I1799">
        <f>S1799=ROUND(1788*0.01,10)</f>
        <v/>
      </c>
      <c r="J1799">
        <f>T1799=ROUND(1788*0.7,10)</f>
        <v/>
      </c>
      <c r="K1799">
        <f>U1799=ROUND(1788*1.1,10)</f>
        <v/>
      </c>
      <c r="L1799">
        <f>V1799=ROUND(1788*0.25,10)</f>
        <v/>
      </c>
      <c r="M1799">
        <f>W1799=ROUND(1788*0.5,10)</f>
        <v/>
      </c>
      <c r="O1799">
        <f>O1798+0.1</f>
        <v/>
      </c>
      <c r="P1799">
        <f>P1798+0.2</f>
        <v/>
      </c>
      <c r="Q1799">
        <f>Q1798+0.3</f>
        <v/>
      </c>
      <c r="R1799">
        <f>R1798+0.05</f>
        <v/>
      </c>
      <c r="S1799">
        <f>S1798+0.01</f>
        <v/>
      </c>
      <c r="T1799">
        <f>T1798+0.7</f>
        <v/>
      </c>
      <c r="U1799">
        <f>U1798+1.1</f>
        <v/>
      </c>
      <c r="V1799">
        <f>V1798+0.25</f>
        <v/>
      </c>
      <c r="W1799">
        <f>W1798+0.5</f>
        <v/>
      </c>
    </row>
    <row r="1800">
      <c r="E1800">
        <f>O1800=ROUND(1789*0.1,10)</f>
        <v/>
      </c>
      <c r="F1800">
        <f>P1800=ROUND(1789*0.2,10)</f>
        <v/>
      </c>
      <c r="G1800">
        <f>Q1800=ROUND(1789*0.3,10)</f>
        <v/>
      </c>
      <c r="H1800">
        <f>R1800=ROUND(1789*0.05,10)</f>
        <v/>
      </c>
      <c r="I1800">
        <f>S1800=ROUND(1789*0.01,10)</f>
        <v/>
      </c>
      <c r="J1800">
        <f>T1800=ROUND(1789*0.7,10)</f>
        <v/>
      </c>
      <c r="K1800">
        <f>U1800=ROUND(1789*1.1,10)</f>
        <v/>
      </c>
      <c r="L1800">
        <f>V1800=ROUND(1789*0.25,10)</f>
        <v/>
      </c>
      <c r="M1800">
        <f>W1800=ROUND(1789*0.5,10)</f>
        <v/>
      </c>
      <c r="O1800">
        <f>O1799+0.1</f>
        <v/>
      </c>
      <c r="P1800">
        <f>P1799+0.2</f>
        <v/>
      </c>
      <c r="Q1800">
        <f>Q1799+0.3</f>
        <v/>
      </c>
      <c r="R1800">
        <f>R1799+0.05</f>
        <v/>
      </c>
      <c r="S1800">
        <f>S1799+0.01</f>
        <v/>
      </c>
      <c r="T1800">
        <f>T1799+0.7</f>
        <v/>
      </c>
      <c r="U1800">
        <f>U1799+1.1</f>
        <v/>
      </c>
      <c r="V1800">
        <f>V1799+0.25</f>
        <v/>
      </c>
      <c r="W1800">
        <f>W1799+0.5</f>
        <v/>
      </c>
    </row>
    <row r="1801">
      <c r="E1801">
        <f>O1801=ROUND(1790*0.1,10)</f>
        <v/>
      </c>
      <c r="F1801">
        <f>P1801=ROUND(1790*0.2,10)</f>
        <v/>
      </c>
      <c r="G1801">
        <f>Q1801=ROUND(1790*0.3,10)</f>
        <v/>
      </c>
      <c r="H1801">
        <f>R1801=ROUND(1790*0.05,10)</f>
        <v/>
      </c>
      <c r="I1801">
        <f>S1801=ROUND(1790*0.01,10)</f>
        <v/>
      </c>
      <c r="J1801">
        <f>T1801=ROUND(1790*0.7,10)</f>
        <v/>
      </c>
      <c r="K1801">
        <f>U1801=ROUND(1790*1.1,10)</f>
        <v/>
      </c>
      <c r="L1801">
        <f>V1801=ROUND(1790*0.25,10)</f>
        <v/>
      </c>
      <c r="M1801">
        <f>W1801=ROUND(1790*0.5,10)</f>
        <v/>
      </c>
      <c r="O1801">
        <f>O1800+0.1</f>
        <v/>
      </c>
      <c r="P1801">
        <f>P1800+0.2</f>
        <v/>
      </c>
      <c r="Q1801">
        <f>Q1800+0.3</f>
        <v/>
      </c>
      <c r="R1801">
        <f>R1800+0.05</f>
        <v/>
      </c>
      <c r="S1801">
        <f>S1800+0.01</f>
        <v/>
      </c>
      <c r="T1801">
        <f>T1800+0.7</f>
        <v/>
      </c>
      <c r="U1801">
        <f>U1800+1.1</f>
        <v/>
      </c>
      <c r="V1801">
        <f>V1800+0.25</f>
        <v/>
      </c>
      <c r="W1801">
        <f>W1800+0.5</f>
        <v/>
      </c>
    </row>
    <row r="1802">
      <c r="E1802">
        <f>O1802=ROUND(1791*0.1,10)</f>
        <v/>
      </c>
      <c r="F1802">
        <f>P1802=ROUND(1791*0.2,10)</f>
        <v/>
      </c>
      <c r="G1802">
        <f>Q1802=ROUND(1791*0.3,10)</f>
        <v/>
      </c>
      <c r="H1802">
        <f>R1802=ROUND(1791*0.05,10)</f>
        <v/>
      </c>
      <c r="I1802">
        <f>S1802=ROUND(1791*0.01,10)</f>
        <v/>
      </c>
      <c r="J1802">
        <f>T1802=ROUND(1791*0.7,10)</f>
        <v/>
      </c>
      <c r="K1802">
        <f>U1802=ROUND(1791*1.1,10)</f>
        <v/>
      </c>
      <c r="L1802">
        <f>V1802=ROUND(1791*0.25,10)</f>
        <v/>
      </c>
      <c r="M1802">
        <f>W1802=ROUND(1791*0.5,10)</f>
        <v/>
      </c>
      <c r="O1802">
        <f>O1801+0.1</f>
        <v/>
      </c>
      <c r="P1802">
        <f>P1801+0.2</f>
        <v/>
      </c>
      <c r="Q1802">
        <f>Q1801+0.3</f>
        <v/>
      </c>
      <c r="R1802">
        <f>R1801+0.05</f>
        <v/>
      </c>
      <c r="S1802">
        <f>S1801+0.01</f>
        <v/>
      </c>
      <c r="T1802">
        <f>T1801+0.7</f>
        <v/>
      </c>
      <c r="U1802">
        <f>U1801+1.1</f>
        <v/>
      </c>
      <c r="V1802">
        <f>V1801+0.25</f>
        <v/>
      </c>
      <c r="W1802">
        <f>W1801+0.5</f>
        <v/>
      </c>
    </row>
    <row r="1803">
      <c r="E1803">
        <f>O1803=ROUND(1792*0.1,10)</f>
        <v/>
      </c>
      <c r="F1803">
        <f>P1803=ROUND(1792*0.2,10)</f>
        <v/>
      </c>
      <c r="G1803">
        <f>Q1803=ROUND(1792*0.3,10)</f>
        <v/>
      </c>
      <c r="H1803">
        <f>R1803=ROUND(1792*0.05,10)</f>
        <v/>
      </c>
      <c r="I1803">
        <f>S1803=ROUND(1792*0.01,10)</f>
        <v/>
      </c>
      <c r="J1803">
        <f>T1803=ROUND(1792*0.7,10)</f>
        <v/>
      </c>
      <c r="K1803">
        <f>U1803=ROUND(1792*1.1,10)</f>
        <v/>
      </c>
      <c r="L1803">
        <f>V1803=ROUND(1792*0.25,10)</f>
        <v/>
      </c>
      <c r="M1803">
        <f>W1803=ROUND(1792*0.5,10)</f>
        <v/>
      </c>
      <c r="O1803">
        <f>O1802+0.1</f>
        <v/>
      </c>
      <c r="P1803">
        <f>P1802+0.2</f>
        <v/>
      </c>
      <c r="Q1803">
        <f>Q1802+0.3</f>
        <v/>
      </c>
      <c r="R1803">
        <f>R1802+0.05</f>
        <v/>
      </c>
      <c r="S1803">
        <f>S1802+0.01</f>
        <v/>
      </c>
      <c r="T1803">
        <f>T1802+0.7</f>
        <v/>
      </c>
      <c r="U1803">
        <f>U1802+1.1</f>
        <v/>
      </c>
      <c r="V1803">
        <f>V1802+0.25</f>
        <v/>
      </c>
      <c r="W1803">
        <f>W1802+0.5</f>
        <v/>
      </c>
    </row>
    <row r="1804">
      <c r="E1804">
        <f>O1804=ROUND(1793*0.1,10)</f>
        <v/>
      </c>
      <c r="F1804">
        <f>P1804=ROUND(1793*0.2,10)</f>
        <v/>
      </c>
      <c r="G1804">
        <f>Q1804=ROUND(1793*0.3,10)</f>
        <v/>
      </c>
      <c r="H1804">
        <f>R1804=ROUND(1793*0.05,10)</f>
        <v/>
      </c>
      <c r="I1804">
        <f>S1804=ROUND(1793*0.01,10)</f>
        <v/>
      </c>
      <c r="J1804">
        <f>T1804=ROUND(1793*0.7,10)</f>
        <v/>
      </c>
      <c r="K1804">
        <f>U1804=ROUND(1793*1.1,10)</f>
        <v/>
      </c>
      <c r="L1804">
        <f>V1804=ROUND(1793*0.25,10)</f>
        <v/>
      </c>
      <c r="M1804">
        <f>W1804=ROUND(1793*0.5,10)</f>
        <v/>
      </c>
      <c r="O1804">
        <f>O1803+0.1</f>
        <v/>
      </c>
      <c r="P1804">
        <f>P1803+0.2</f>
        <v/>
      </c>
      <c r="Q1804">
        <f>Q1803+0.3</f>
        <v/>
      </c>
      <c r="R1804">
        <f>R1803+0.05</f>
        <v/>
      </c>
      <c r="S1804">
        <f>S1803+0.01</f>
        <v/>
      </c>
      <c r="T1804">
        <f>T1803+0.7</f>
        <v/>
      </c>
      <c r="U1804">
        <f>U1803+1.1</f>
        <v/>
      </c>
      <c r="V1804">
        <f>V1803+0.25</f>
        <v/>
      </c>
      <c r="W1804">
        <f>W1803+0.5</f>
        <v/>
      </c>
    </row>
    <row r="1805">
      <c r="E1805">
        <f>O1805=ROUND(1794*0.1,10)</f>
        <v/>
      </c>
      <c r="F1805">
        <f>P1805=ROUND(1794*0.2,10)</f>
        <v/>
      </c>
      <c r="G1805">
        <f>Q1805=ROUND(1794*0.3,10)</f>
        <v/>
      </c>
      <c r="H1805">
        <f>R1805=ROUND(1794*0.05,10)</f>
        <v/>
      </c>
      <c r="I1805">
        <f>S1805=ROUND(1794*0.01,10)</f>
        <v/>
      </c>
      <c r="J1805">
        <f>T1805=ROUND(1794*0.7,10)</f>
        <v/>
      </c>
      <c r="K1805">
        <f>U1805=ROUND(1794*1.1,10)</f>
        <v/>
      </c>
      <c r="L1805">
        <f>V1805=ROUND(1794*0.25,10)</f>
        <v/>
      </c>
      <c r="M1805">
        <f>W1805=ROUND(1794*0.5,10)</f>
        <v/>
      </c>
      <c r="O1805">
        <f>O1804+0.1</f>
        <v/>
      </c>
      <c r="P1805">
        <f>P1804+0.2</f>
        <v/>
      </c>
      <c r="Q1805">
        <f>Q1804+0.3</f>
        <v/>
      </c>
      <c r="R1805">
        <f>R1804+0.05</f>
        <v/>
      </c>
      <c r="S1805">
        <f>S1804+0.01</f>
        <v/>
      </c>
      <c r="T1805">
        <f>T1804+0.7</f>
        <v/>
      </c>
      <c r="U1805">
        <f>U1804+1.1</f>
        <v/>
      </c>
      <c r="V1805">
        <f>V1804+0.25</f>
        <v/>
      </c>
      <c r="W1805">
        <f>W1804+0.5</f>
        <v/>
      </c>
    </row>
    <row r="1806">
      <c r="E1806">
        <f>O1806=ROUND(1795*0.1,10)</f>
        <v/>
      </c>
      <c r="F1806">
        <f>P1806=ROUND(1795*0.2,10)</f>
        <v/>
      </c>
      <c r="G1806">
        <f>Q1806=ROUND(1795*0.3,10)</f>
        <v/>
      </c>
      <c r="H1806">
        <f>R1806=ROUND(1795*0.05,10)</f>
        <v/>
      </c>
      <c r="I1806">
        <f>S1806=ROUND(1795*0.01,10)</f>
        <v/>
      </c>
      <c r="J1806">
        <f>T1806=ROUND(1795*0.7,10)</f>
        <v/>
      </c>
      <c r="K1806">
        <f>U1806=ROUND(1795*1.1,10)</f>
        <v/>
      </c>
      <c r="L1806">
        <f>V1806=ROUND(1795*0.25,10)</f>
        <v/>
      </c>
      <c r="M1806">
        <f>W1806=ROUND(1795*0.5,10)</f>
        <v/>
      </c>
      <c r="O1806">
        <f>O1805+0.1</f>
        <v/>
      </c>
      <c r="P1806">
        <f>P1805+0.2</f>
        <v/>
      </c>
      <c r="Q1806">
        <f>Q1805+0.3</f>
        <v/>
      </c>
      <c r="R1806">
        <f>R1805+0.05</f>
        <v/>
      </c>
      <c r="S1806">
        <f>S1805+0.01</f>
        <v/>
      </c>
      <c r="T1806">
        <f>T1805+0.7</f>
        <v/>
      </c>
      <c r="U1806">
        <f>U1805+1.1</f>
        <v/>
      </c>
      <c r="V1806">
        <f>V1805+0.25</f>
        <v/>
      </c>
      <c r="W1806">
        <f>W1805+0.5</f>
        <v/>
      </c>
    </row>
    <row r="1807">
      <c r="E1807">
        <f>O1807=ROUND(1796*0.1,10)</f>
        <v/>
      </c>
      <c r="F1807">
        <f>P1807=ROUND(1796*0.2,10)</f>
        <v/>
      </c>
      <c r="G1807">
        <f>Q1807=ROUND(1796*0.3,10)</f>
        <v/>
      </c>
      <c r="H1807">
        <f>R1807=ROUND(1796*0.05,10)</f>
        <v/>
      </c>
      <c r="I1807">
        <f>S1807=ROUND(1796*0.01,10)</f>
        <v/>
      </c>
      <c r="J1807">
        <f>T1807=ROUND(1796*0.7,10)</f>
        <v/>
      </c>
      <c r="K1807">
        <f>U1807=ROUND(1796*1.1,10)</f>
        <v/>
      </c>
      <c r="L1807">
        <f>V1807=ROUND(1796*0.25,10)</f>
        <v/>
      </c>
      <c r="M1807">
        <f>W1807=ROUND(1796*0.5,10)</f>
        <v/>
      </c>
      <c r="O1807">
        <f>O1806+0.1</f>
        <v/>
      </c>
      <c r="P1807">
        <f>P1806+0.2</f>
        <v/>
      </c>
      <c r="Q1807">
        <f>Q1806+0.3</f>
        <v/>
      </c>
      <c r="R1807">
        <f>R1806+0.05</f>
        <v/>
      </c>
      <c r="S1807">
        <f>S1806+0.01</f>
        <v/>
      </c>
      <c r="T1807">
        <f>T1806+0.7</f>
        <v/>
      </c>
      <c r="U1807">
        <f>U1806+1.1</f>
        <v/>
      </c>
      <c r="V1807">
        <f>V1806+0.25</f>
        <v/>
      </c>
      <c r="W1807">
        <f>W1806+0.5</f>
        <v/>
      </c>
    </row>
    <row r="1808">
      <c r="E1808">
        <f>O1808=ROUND(1797*0.1,10)</f>
        <v/>
      </c>
      <c r="F1808">
        <f>P1808=ROUND(1797*0.2,10)</f>
        <v/>
      </c>
      <c r="G1808">
        <f>Q1808=ROUND(1797*0.3,10)</f>
        <v/>
      </c>
      <c r="H1808">
        <f>R1808=ROUND(1797*0.05,10)</f>
        <v/>
      </c>
      <c r="I1808">
        <f>S1808=ROUND(1797*0.01,10)</f>
        <v/>
      </c>
      <c r="J1808">
        <f>T1808=ROUND(1797*0.7,10)</f>
        <v/>
      </c>
      <c r="K1808">
        <f>U1808=ROUND(1797*1.1,10)</f>
        <v/>
      </c>
      <c r="L1808">
        <f>V1808=ROUND(1797*0.25,10)</f>
        <v/>
      </c>
      <c r="M1808">
        <f>W1808=ROUND(1797*0.5,10)</f>
        <v/>
      </c>
      <c r="O1808">
        <f>O1807+0.1</f>
        <v/>
      </c>
      <c r="P1808">
        <f>P1807+0.2</f>
        <v/>
      </c>
      <c r="Q1808">
        <f>Q1807+0.3</f>
        <v/>
      </c>
      <c r="R1808">
        <f>R1807+0.05</f>
        <v/>
      </c>
      <c r="S1808">
        <f>S1807+0.01</f>
        <v/>
      </c>
      <c r="T1808">
        <f>T1807+0.7</f>
        <v/>
      </c>
      <c r="U1808">
        <f>U1807+1.1</f>
        <v/>
      </c>
      <c r="V1808">
        <f>V1807+0.25</f>
        <v/>
      </c>
      <c r="W1808">
        <f>W1807+0.5</f>
        <v/>
      </c>
    </row>
    <row r="1809">
      <c r="E1809">
        <f>O1809=ROUND(1798*0.1,10)</f>
        <v/>
      </c>
      <c r="F1809">
        <f>P1809=ROUND(1798*0.2,10)</f>
        <v/>
      </c>
      <c r="G1809">
        <f>Q1809=ROUND(1798*0.3,10)</f>
        <v/>
      </c>
      <c r="H1809">
        <f>R1809=ROUND(1798*0.05,10)</f>
        <v/>
      </c>
      <c r="I1809">
        <f>S1809=ROUND(1798*0.01,10)</f>
        <v/>
      </c>
      <c r="J1809">
        <f>T1809=ROUND(1798*0.7,10)</f>
        <v/>
      </c>
      <c r="K1809">
        <f>U1809=ROUND(1798*1.1,10)</f>
        <v/>
      </c>
      <c r="L1809">
        <f>V1809=ROUND(1798*0.25,10)</f>
        <v/>
      </c>
      <c r="M1809">
        <f>W1809=ROUND(1798*0.5,10)</f>
        <v/>
      </c>
      <c r="O1809">
        <f>O1808+0.1</f>
        <v/>
      </c>
      <c r="P1809">
        <f>P1808+0.2</f>
        <v/>
      </c>
      <c r="Q1809">
        <f>Q1808+0.3</f>
        <v/>
      </c>
      <c r="R1809">
        <f>R1808+0.05</f>
        <v/>
      </c>
      <c r="S1809">
        <f>S1808+0.01</f>
        <v/>
      </c>
      <c r="T1809">
        <f>T1808+0.7</f>
        <v/>
      </c>
      <c r="U1809">
        <f>U1808+1.1</f>
        <v/>
      </c>
      <c r="V1809">
        <f>V1808+0.25</f>
        <v/>
      </c>
      <c r="W1809">
        <f>W1808+0.5</f>
        <v/>
      </c>
    </row>
    <row r="1810">
      <c r="E1810">
        <f>O1810=ROUND(1799*0.1,10)</f>
        <v/>
      </c>
      <c r="F1810">
        <f>P1810=ROUND(1799*0.2,10)</f>
        <v/>
      </c>
      <c r="G1810">
        <f>Q1810=ROUND(1799*0.3,10)</f>
        <v/>
      </c>
      <c r="H1810">
        <f>R1810=ROUND(1799*0.05,10)</f>
        <v/>
      </c>
      <c r="I1810">
        <f>S1810=ROUND(1799*0.01,10)</f>
        <v/>
      </c>
      <c r="J1810">
        <f>T1810=ROUND(1799*0.7,10)</f>
        <v/>
      </c>
      <c r="K1810">
        <f>U1810=ROUND(1799*1.1,10)</f>
        <v/>
      </c>
      <c r="L1810">
        <f>V1810=ROUND(1799*0.25,10)</f>
        <v/>
      </c>
      <c r="M1810">
        <f>W1810=ROUND(1799*0.5,10)</f>
        <v/>
      </c>
      <c r="O1810">
        <f>O1809+0.1</f>
        <v/>
      </c>
      <c r="P1810">
        <f>P1809+0.2</f>
        <v/>
      </c>
      <c r="Q1810">
        <f>Q1809+0.3</f>
        <v/>
      </c>
      <c r="R1810">
        <f>R1809+0.05</f>
        <v/>
      </c>
      <c r="S1810">
        <f>S1809+0.01</f>
        <v/>
      </c>
      <c r="T1810">
        <f>T1809+0.7</f>
        <v/>
      </c>
      <c r="U1810">
        <f>U1809+1.1</f>
        <v/>
      </c>
      <c r="V1810">
        <f>V1809+0.25</f>
        <v/>
      </c>
      <c r="W1810">
        <f>W1809+0.5</f>
        <v/>
      </c>
    </row>
    <row r="1811">
      <c r="E1811">
        <f>O1811=ROUND(1800*0.1,10)</f>
        <v/>
      </c>
      <c r="F1811">
        <f>P1811=ROUND(1800*0.2,10)</f>
        <v/>
      </c>
      <c r="G1811">
        <f>Q1811=ROUND(1800*0.3,10)</f>
        <v/>
      </c>
      <c r="H1811">
        <f>R1811=ROUND(1800*0.05,10)</f>
        <v/>
      </c>
      <c r="I1811">
        <f>S1811=ROUND(1800*0.01,10)</f>
        <v/>
      </c>
      <c r="J1811">
        <f>T1811=ROUND(1800*0.7,10)</f>
        <v/>
      </c>
      <c r="K1811">
        <f>U1811=ROUND(1800*1.1,10)</f>
        <v/>
      </c>
      <c r="L1811">
        <f>V1811=ROUND(1800*0.25,10)</f>
        <v/>
      </c>
      <c r="M1811">
        <f>W1811=ROUND(1800*0.5,10)</f>
        <v/>
      </c>
      <c r="O1811">
        <f>O1810+0.1</f>
        <v/>
      </c>
      <c r="P1811">
        <f>P1810+0.2</f>
        <v/>
      </c>
      <c r="Q1811">
        <f>Q1810+0.3</f>
        <v/>
      </c>
      <c r="R1811">
        <f>R1810+0.05</f>
        <v/>
      </c>
      <c r="S1811">
        <f>S1810+0.01</f>
        <v/>
      </c>
      <c r="T1811">
        <f>T1810+0.7</f>
        <v/>
      </c>
      <c r="U1811">
        <f>U1810+1.1</f>
        <v/>
      </c>
      <c r="V1811">
        <f>V1810+0.25</f>
        <v/>
      </c>
      <c r="W1811">
        <f>W1810+0.5</f>
        <v/>
      </c>
    </row>
    <row r="1812">
      <c r="E1812">
        <f>O1812=ROUND(1801*0.1,10)</f>
        <v/>
      </c>
      <c r="F1812">
        <f>P1812=ROUND(1801*0.2,10)</f>
        <v/>
      </c>
      <c r="G1812">
        <f>Q1812=ROUND(1801*0.3,10)</f>
        <v/>
      </c>
      <c r="H1812">
        <f>R1812=ROUND(1801*0.05,10)</f>
        <v/>
      </c>
      <c r="I1812">
        <f>S1812=ROUND(1801*0.01,10)</f>
        <v/>
      </c>
      <c r="J1812">
        <f>T1812=ROUND(1801*0.7,10)</f>
        <v/>
      </c>
      <c r="K1812">
        <f>U1812=ROUND(1801*1.1,10)</f>
        <v/>
      </c>
      <c r="L1812">
        <f>V1812=ROUND(1801*0.25,10)</f>
        <v/>
      </c>
      <c r="M1812">
        <f>W1812=ROUND(1801*0.5,10)</f>
        <v/>
      </c>
      <c r="O1812">
        <f>O1811+0.1</f>
        <v/>
      </c>
      <c r="P1812">
        <f>P1811+0.2</f>
        <v/>
      </c>
      <c r="Q1812">
        <f>Q1811+0.3</f>
        <v/>
      </c>
      <c r="R1812">
        <f>R1811+0.05</f>
        <v/>
      </c>
      <c r="S1812">
        <f>S1811+0.01</f>
        <v/>
      </c>
      <c r="T1812">
        <f>T1811+0.7</f>
        <v/>
      </c>
      <c r="U1812">
        <f>U1811+1.1</f>
        <v/>
      </c>
      <c r="V1812">
        <f>V1811+0.25</f>
        <v/>
      </c>
      <c r="W1812">
        <f>W1811+0.5</f>
        <v/>
      </c>
    </row>
    <row r="1813">
      <c r="E1813">
        <f>O1813=ROUND(1802*0.1,10)</f>
        <v/>
      </c>
      <c r="F1813">
        <f>P1813=ROUND(1802*0.2,10)</f>
        <v/>
      </c>
      <c r="G1813">
        <f>Q1813=ROUND(1802*0.3,10)</f>
        <v/>
      </c>
      <c r="H1813">
        <f>R1813=ROUND(1802*0.05,10)</f>
        <v/>
      </c>
      <c r="I1813">
        <f>S1813=ROUND(1802*0.01,10)</f>
        <v/>
      </c>
      <c r="J1813">
        <f>T1813=ROUND(1802*0.7,10)</f>
        <v/>
      </c>
      <c r="K1813">
        <f>U1813=ROUND(1802*1.1,10)</f>
        <v/>
      </c>
      <c r="L1813">
        <f>V1813=ROUND(1802*0.25,10)</f>
        <v/>
      </c>
      <c r="M1813">
        <f>W1813=ROUND(1802*0.5,10)</f>
        <v/>
      </c>
      <c r="O1813">
        <f>O1812+0.1</f>
        <v/>
      </c>
      <c r="P1813">
        <f>P1812+0.2</f>
        <v/>
      </c>
      <c r="Q1813">
        <f>Q1812+0.3</f>
        <v/>
      </c>
      <c r="R1813">
        <f>R1812+0.05</f>
        <v/>
      </c>
      <c r="S1813">
        <f>S1812+0.01</f>
        <v/>
      </c>
      <c r="T1813">
        <f>T1812+0.7</f>
        <v/>
      </c>
      <c r="U1813">
        <f>U1812+1.1</f>
        <v/>
      </c>
      <c r="V1813">
        <f>V1812+0.25</f>
        <v/>
      </c>
      <c r="W1813">
        <f>W1812+0.5</f>
        <v/>
      </c>
    </row>
    <row r="1814">
      <c r="E1814">
        <f>O1814=ROUND(1803*0.1,10)</f>
        <v/>
      </c>
      <c r="F1814">
        <f>P1814=ROUND(1803*0.2,10)</f>
        <v/>
      </c>
      <c r="G1814">
        <f>Q1814=ROUND(1803*0.3,10)</f>
        <v/>
      </c>
      <c r="H1814">
        <f>R1814=ROUND(1803*0.05,10)</f>
        <v/>
      </c>
      <c r="I1814">
        <f>S1814=ROUND(1803*0.01,10)</f>
        <v/>
      </c>
      <c r="J1814">
        <f>T1814=ROUND(1803*0.7,10)</f>
        <v/>
      </c>
      <c r="K1814">
        <f>U1814=ROUND(1803*1.1,10)</f>
        <v/>
      </c>
      <c r="L1814">
        <f>V1814=ROUND(1803*0.25,10)</f>
        <v/>
      </c>
      <c r="M1814">
        <f>W1814=ROUND(1803*0.5,10)</f>
        <v/>
      </c>
      <c r="O1814">
        <f>O1813+0.1</f>
        <v/>
      </c>
      <c r="P1814">
        <f>P1813+0.2</f>
        <v/>
      </c>
      <c r="Q1814">
        <f>Q1813+0.3</f>
        <v/>
      </c>
      <c r="R1814">
        <f>R1813+0.05</f>
        <v/>
      </c>
      <c r="S1814">
        <f>S1813+0.01</f>
        <v/>
      </c>
      <c r="T1814">
        <f>T1813+0.7</f>
        <v/>
      </c>
      <c r="U1814">
        <f>U1813+1.1</f>
        <v/>
      </c>
      <c r="V1814">
        <f>V1813+0.25</f>
        <v/>
      </c>
      <c r="W1814">
        <f>W1813+0.5</f>
        <v/>
      </c>
    </row>
    <row r="1815">
      <c r="E1815">
        <f>O1815=ROUND(1804*0.1,10)</f>
        <v/>
      </c>
      <c r="F1815">
        <f>P1815=ROUND(1804*0.2,10)</f>
        <v/>
      </c>
      <c r="G1815">
        <f>Q1815=ROUND(1804*0.3,10)</f>
        <v/>
      </c>
      <c r="H1815">
        <f>R1815=ROUND(1804*0.05,10)</f>
        <v/>
      </c>
      <c r="I1815">
        <f>S1815=ROUND(1804*0.01,10)</f>
        <v/>
      </c>
      <c r="J1815">
        <f>T1815=ROUND(1804*0.7,10)</f>
        <v/>
      </c>
      <c r="K1815">
        <f>U1815=ROUND(1804*1.1,10)</f>
        <v/>
      </c>
      <c r="L1815">
        <f>V1815=ROUND(1804*0.25,10)</f>
        <v/>
      </c>
      <c r="M1815">
        <f>W1815=ROUND(1804*0.5,10)</f>
        <v/>
      </c>
      <c r="O1815">
        <f>O1814+0.1</f>
        <v/>
      </c>
      <c r="P1815">
        <f>P1814+0.2</f>
        <v/>
      </c>
      <c r="Q1815">
        <f>Q1814+0.3</f>
        <v/>
      </c>
      <c r="R1815">
        <f>R1814+0.05</f>
        <v/>
      </c>
      <c r="S1815">
        <f>S1814+0.01</f>
        <v/>
      </c>
      <c r="T1815">
        <f>T1814+0.7</f>
        <v/>
      </c>
      <c r="U1815">
        <f>U1814+1.1</f>
        <v/>
      </c>
      <c r="V1815">
        <f>V1814+0.25</f>
        <v/>
      </c>
      <c r="W1815">
        <f>W1814+0.5</f>
        <v/>
      </c>
    </row>
    <row r="1816">
      <c r="E1816">
        <f>O1816=ROUND(1805*0.1,10)</f>
        <v/>
      </c>
      <c r="F1816">
        <f>P1816=ROUND(1805*0.2,10)</f>
        <v/>
      </c>
      <c r="G1816">
        <f>Q1816=ROUND(1805*0.3,10)</f>
        <v/>
      </c>
      <c r="H1816">
        <f>R1816=ROUND(1805*0.05,10)</f>
        <v/>
      </c>
      <c r="I1816">
        <f>S1816=ROUND(1805*0.01,10)</f>
        <v/>
      </c>
      <c r="J1816">
        <f>T1816=ROUND(1805*0.7,10)</f>
        <v/>
      </c>
      <c r="K1816">
        <f>U1816=ROUND(1805*1.1,10)</f>
        <v/>
      </c>
      <c r="L1816">
        <f>V1816=ROUND(1805*0.25,10)</f>
        <v/>
      </c>
      <c r="M1816">
        <f>W1816=ROUND(1805*0.5,10)</f>
        <v/>
      </c>
      <c r="O1816">
        <f>O1815+0.1</f>
        <v/>
      </c>
      <c r="P1816">
        <f>P1815+0.2</f>
        <v/>
      </c>
      <c r="Q1816">
        <f>Q1815+0.3</f>
        <v/>
      </c>
      <c r="R1816">
        <f>R1815+0.05</f>
        <v/>
      </c>
      <c r="S1816">
        <f>S1815+0.01</f>
        <v/>
      </c>
      <c r="T1816">
        <f>T1815+0.7</f>
        <v/>
      </c>
      <c r="U1816">
        <f>U1815+1.1</f>
        <v/>
      </c>
      <c r="V1816">
        <f>V1815+0.25</f>
        <v/>
      </c>
      <c r="W1816">
        <f>W1815+0.5</f>
        <v/>
      </c>
    </row>
    <row r="1817">
      <c r="E1817">
        <f>O1817=ROUND(1806*0.1,10)</f>
        <v/>
      </c>
      <c r="F1817">
        <f>P1817=ROUND(1806*0.2,10)</f>
        <v/>
      </c>
      <c r="G1817">
        <f>Q1817=ROUND(1806*0.3,10)</f>
        <v/>
      </c>
      <c r="H1817">
        <f>R1817=ROUND(1806*0.05,10)</f>
        <v/>
      </c>
      <c r="I1817">
        <f>S1817=ROUND(1806*0.01,10)</f>
        <v/>
      </c>
      <c r="J1817">
        <f>T1817=ROUND(1806*0.7,10)</f>
        <v/>
      </c>
      <c r="K1817">
        <f>U1817=ROUND(1806*1.1,10)</f>
        <v/>
      </c>
      <c r="L1817">
        <f>V1817=ROUND(1806*0.25,10)</f>
        <v/>
      </c>
      <c r="M1817">
        <f>W1817=ROUND(1806*0.5,10)</f>
        <v/>
      </c>
      <c r="O1817">
        <f>O1816+0.1</f>
        <v/>
      </c>
      <c r="P1817">
        <f>P1816+0.2</f>
        <v/>
      </c>
      <c r="Q1817">
        <f>Q1816+0.3</f>
        <v/>
      </c>
      <c r="R1817">
        <f>R1816+0.05</f>
        <v/>
      </c>
      <c r="S1817">
        <f>S1816+0.01</f>
        <v/>
      </c>
      <c r="T1817">
        <f>T1816+0.7</f>
        <v/>
      </c>
      <c r="U1817">
        <f>U1816+1.1</f>
        <v/>
      </c>
      <c r="V1817">
        <f>V1816+0.25</f>
        <v/>
      </c>
      <c r="W1817">
        <f>W1816+0.5</f>
        <v/>
      </c>
    </row>
    <row r="1818">
      <c r="E1818">
        <f>O1818=ROUND(1807*0.1,10)</f>
        <v/>
      </c>
      <c r="F1818">
        <f>P1818=ROUND(1807*0.2,10)</f>
        <v/>
      </c>
      <c r="G1818">
        <f>Q1818=ROUND(1807*0.3,10)</f>
        <v/>
      </c>
      <c r="H1818">
        <f>R1818=ROUND(1807*0.05,10)</f>
        <v/>
      </c>
      <c r="I1818">
        <f>S1818=ROUND(1807*0.01,10)</f>
        <v/>
      </c>
      <c r="J1818">
        <f>T1818=ROUND(1807*0.7,10)</f>
        <v/>
      </c>
      <c r="K1818">
        <f>U1818=ROUND(1807*1.1,10)</f>
        <v/>
      </c>
      <c r="L1818">
        <f>V1818=ROUND(1807*0.25,10)</f>
        <v/>
      </c>
      <c r="M1818">
        <f>W1818=ROUND(1807*0.5,10)</f>
        <v/>
      </c>
      <c r="O1818">
        <f>O1817+0.1</f>
        <v/>
      </c>
      <c r="P1818">
        <f>P1817+0.2</f>
        <v/>
      </c>
      <c r="Q1818">
        <f>Q1817+0.3</f>
        <v/>
      </c>
      <c r="R1818">
        <f>R1817+0.05</f>
        <v/>
      </c>
      <c r="S1818">
        <f>S1817+0.01</f>
        <v/>
      </c>
      <c r="T1818">
        <f>T1817+0.7</f>
        <v/>
      </c>
      <c r="U1818">
        <f>U1817+1.1</f>
        <v/>
      </c>
      <c r="V1818">
        <f>V1817+0.25</f>
        <v/>
      </c>
      <c r="W1818">
        <f>W1817+0.5</f>
        <v/>
      </c>
    </row>
    <row r="1819">
      <c r="E1819">
        <f>O1819=ROUND(1808*0.1,10)</f>
        <v/>
      </c>
      <c r="F1819">
        <f>P1819=ROUND(1808*0.2,10)</f>
        <v/>
      </c>
      <c r="G1819">
        <f>Q1819=ROUND(1808*0.3,10)</f>
        <v/>
      </c>
      <c r="H1819">
        <f>R1819=ROUND(1808*0.05,10)</f>
        <v/>
      </c>
      <c r="I1819">
        <f>S1819=ROUND(1808*0.01,10)</f>
        <v/>
      </c>
      <c r="J1819">
        <f>T1819=ROUND(1808*0.7,10)</f>
        <v/>
      </c>
      <c r="K1819">
        <f>U1819=ROUND(1808*1.1,10)</f>
        <v/>
      </c>
      <c r="L1819">
        <f>V1819=ROUND(1808*0.25,10)</f>
        <v/>
      </c>
      <c r="M1819">
        <f>W1819=ROUND(1808*0.5,10)</f>
        <v/>
      </c>
      <c r="O1819">
        <f>O1818+0.1</f>
        <v/>
      </c>
      <c r="P1819">
        <f>P1818+0.2</f>
        <v/>
      </c>
      <c r="Q1819">
        <f>Q1818+0.3</f>
        <v/>
      </c>
      <c r="R1819">
        <f>R1818+0.05</f>
        <v/>
      </c>
      <c r="S1819">
        <f>S1818+0.01</f>
        <v/>
      </c>
      <c r="T1819">
        <f>T1818+0.7</f>
        <v/>
      </c>
      <c r="U1819">
        <f>U1818+1.1</f>
        <v/>
      </c>
      <c r="V1819">
        <f>V1818+0.25</f>
        <v/>
      </c>
      <c r="W1819">
        <f>W1818+0.5</f>
        <v/>
      </c>
    </row>
    <row r="1820">
      <c r="E1820">
        <f>O1820=ROUND(1809*0.1,10)</f>
        <v/>
      </c>
      <c r="F1820">
        <f>P1820=ROUND(1809*0.2,10)</f>
        <v/>
      </c>
      <c r="G1820">
        <f>Q1820=ROUND(1809*0.3,10)</f>
        <v/>
      </c>
      <c r="H1820">
        <f>R1820=ROUND(1809*0.05,10)</f>
        <v/>
      </c>
      <c r="I1820">
        <f>S1820=ROUND(1809*0.01,10)</f>
        <v/>
      </c>
      <c r="J1820">
        <f>T1820=ROUND(1809*0.7,10)</f>
        <v/>
      </c>
      <c r="K1820">
        <f>U1820=ROUND(1809*1.1,10)</f>
        <v/>
      </c>
      <c r="L1820">
        <f>V1820=ROUND(1809*0.25,10)</f>
        <v/>
      </c>
      <c r="M1820">
        <f>W1820=ROUND(1809*0.5,10)</f>
        <v/>
      </c>
      <c r="O1820">
        <f>O1819+0.1</f>
        <v/>
      </c>
      <c r="P1820">
        <f>P1819+0.2</f>
        <v/>
      </c>
      <c r="Q1820">
        <f>Q1819+0.3</f>
        <v/>
      </c>
      <c r="R1820">
        <f>R1819+0.05</f>
        <v/>
      </c>
      <c r="S1820">
        <f>S1819+0.01</f>
        <v/>
      </c>
      <c r="T1820">
        <f>T1819+0.7</f>
        <v/>
      </c>
      <c r="U1820">
        <f>U1819+1.1</f>
        <v/>
      </c>
      <c r="V1820">
        <f>V1819+0.25</f>
        <v/>
      </c>
      <c r="W1820">
        <f>W1819+0.5</f>
        <v/>
      </c>
    </row>
    <row r="1821">
      <c r="E1821">
        <f>O1821=ROUND(1810*0.1,10)</f>
        <v/>
      </c>
      <c r="F1821">
        <f>P1821=ROUND(1810*0.2,10)</f>
        <v/>
      </c>
      <c r="G1821">
        <f>Q1821=ROUND(1810*0.3,10)</f>
        <v/>
      </c>
      <c r="H1821">
        <f>R1821=ROUND(1810*0.05,10)</f>
        <v/>
      </c>
      <c r="I1821">
        <f>S1821=ROUND(1810*0.01,10)</f>
        <v/>
      </c>
      <c r="J1821">
        <f>T1821=ROUND(1810*0.7,10)</f>
        <v/>
      </c>
      <c r="K1821">
        <f>U1821=ROUND(1810*1.1,10)</f>
        <v/>
      </c>
      <c r="L1821">
        <f>V1821=ROUND(1810*0.25,10)</f>
        <v/>
      </c>
      <c r="M1821">
        <f>W1821=ROUND(1810*0.5,10)</f>
        <v/>
      </c>
      <c r="O1821">
        <f>O1820+0.1</f>
        <v/>
      </c>
      <c r="P1821">
        <f>P1820+0.2</f>
        <v/>
      </c>
      <c r="Q1821">
        <f>Q1820+0.3</f>
        <v/>
      </c>
      <c r="R1821">
        <f>R1820+0.05</f>
        <v/>
      </c>
      <c r="S1821">
        <f>S1820+0.01</f>
        <v/>
      </c>
      <c r="T1821">
        <f>T1820+0.7</f>
        <v/>
      </c>
      <c r="U1821">
        <f>U1820+1.1</f>
        <v/>
      </c>
      <c r="V1821">
        <f>V1820+0.25</f>
        <v/>
      </c>
      <c r="W1821">
        <f>W1820+0.5</f>
        <v/>
      </c>
    </row>
    <row r="1822">
      <c r="E1822">
        <f>O1822=ROUND(1811*0.1,10)</f>
        <v/>
      </c>
      <c r="F1822">
        <f>P1822=ROUND(1811*0.2,10)</f>
        <v/>
      </c>
      <c r="G1822">
        <f>Q1822=ROUND(1811*0.3,10)</f>
        <v/>
      </c>
      <c r="H1822">
        <f>R1822=ROUND(1811*0.05,10)</f>
        <v/>
      </c>
      <c r="I1822">
        <f>S1822=ROUND(1811*0.01,10)</f>
        <v/>
      </c>
      <c r="J1822">
        <f>T1822=ROUND(1811*0.7,10)</f>
        <v/>
      </c>
      <c r="K1822">
        <f>U1822=ROUND(1811*1.1,10)</f>
        <v/>
      </c>
      <c r="L1822">
        <f>V1822=ROUND(1811*0.25,10)</f>
        <v/>
      </c>
      <c r="M1822">
        <f>W1822=ROUND(1811*0.5,10)</f>
        <v/>
      </c>
      <c r="O1822">
        <f>O1821+0.1</f>
        <v/>
      </c>
      <c r="P1822">
        <f>P1821+0.2</f>
        <v/>
      </c>
      <c r="Q1822">
        <f>Q1821+0.3</f>
        <v/>
      </c>
      <c r="R1822">
        <f>R1821+0.05</f>
        <v/>
      </c>
      <c r="S1822">
        <f>S1821+0.01</f>
        <v/>
      </c>
      <c r="T1822">
        <f>T1821+0.7</f>
        <v/>
      </c>
      <c r="U1822">
        <f>U1821+1.1</f>
        <v/>
      </c>
      <c r="V1822">
        <f>V1821+0.25</f>
        <v/>
      </c>
      <c r="W1822">
        <f>W1821+0.5</f>
        <v/>
      </c>
    </row>
    <row r="1823">
      <c r="E1823">
        <f>O1823=ROUND(1812*0.1,10)</f>
        <v/>
      </c>
      <c r="F1823">
        <f>P1823=ROUND(1812*0.2,10)</f>
        <v/>
      </c>
      <c r="G1823">
        <f>Q1823=ROUND(1812*0.3,10)</f>
        <v/>
      </c>
      <c r="H1823">
        <f>R1823=ROUND(1812*0.05,10)</f>
        <v/>
      </c>
      <c r="I1823">
        <f>S1823=ROUND(1812*0.01,10)</f>
        <v/>
      </c>
      <c r="J1823">
        <f>T1823=ROUND(1812*0.7,10)</f>
        <v/>
      </c>
      <c r="K1823">
        <f>U1823=ROUND(1812*1.1,10)</f>
        <v/>
      </c>
      <c r="L1823">
        <f>V1823=ROUND(1812*0.25,10)</f>
        <v/>
      </c>
      <c r="M1823">
        <f>W1823=ROUND(1812*0.5,10)</f>
        <v/>
      </c>
      <c r="O1823">
        <f>O1822+0.1</f>
        <v/>
      </c>
      <c r="P1823">
        <f>P1822+0.2</f>
        <v/>
      </c>
      <c r="Q1823">
        <f>Q1822+0.3</f>
        <v/>
      </c>
      <c r="R1823">
        <f>R1822+0.05</f>
        <v/>
      </c>
      <c r="S1823">
        <f>S1822+0.01</f>
        <v/>
      </c>
      <c r="T1823">
        <f>T1822+0.7</f>
        <v/>
      </c>
      <c r="U1823">
        <f>U1822+1.1</f>
        <v/>
      </c>
      <c r="V1823">
        <f>V1822+0.25</f>
        <v/>
      </c>
      <c r="W1823">
        <f>W1822+0.5</f>
        <v/>
      </c>
    </row>
    <row r="1824">
      <c r="E1824">
        <f>O1824=ROUND(1813*0.1,10)</f>
        <v/>
      </c>
      <c r="F1824">
        <f>P1824=ROUND(1813*0.2,10)</f>
        <v/>
      </c>
      <c r="G1824">
        <f>Q1824=ROUND(1813*0.3,10)</f>
        <v/>
      </c>
      <c r="H1824">
        <f>R1824=ROUND(1813*0.05,10)</f>
        <v/>
      </c>
      <c r="I1824">
        <f>S1824=ROUND(1813*0.01,10)</f>
        <v/>
      </c>
      <c r="J1824">
        <f>T1824=ROUND(1813*0.7,10)</f>
        <v/>
      </c>
      <c r="K1824">
        <f>U1824=ROUND(1813*1.1,10)</f>
        <v/>
      </c>
      <c r="L1824">
        <f>V1824=ROUND(1813*0.25,10)</f>
        <v/>
      </c>
      <c r="M1824">
        <f>W1824=ROUND(1813*0.5,10)</f>
        <v/>
      </c>
      <c r="O1824">
        <f>O1823+0.1</f>
        <v/>
      </c>
      <c r="P1824">
        <f>P1823+0.2</f>
        <v/>
      </c>
      <c r="Q1824">
        <f>Q1823+0.3</f>
        <v/>
      </c>
      <c r="R1824">
        <f>R1823+0.05</f>
        <v/>
      </c>
      <c r="S1824">
        <f>S1823+0.01</f>
        <v/>
      </c>
      <c r="T1824">
        <f>T1823+0.7</f>
        <v/>
      </c>
      <c r="U1824">
        <f>U1823+1.1</f>
        <v/>
      </c>
      <c r="V1824">
        <f>V1823+0.25</f>
        <v/>
      </c>
      <c r="W1824">
        <f>W1823+0.5</f>
        <v/>
      </c>
    </row>
    <row r="1825">
      <c r="E1825">
        <f>O1825=ROUND(1814*0.1,10)</f>
        <v/>
      </c>
      <c r="F1825">
        <f>P1825=ROUND(1814*0.2,10)</f>
        <v/>
      </c>
      <c r="G1825">
        <f>Q1825=ROUND(1814*0.3,10)</f>
        <v/>
      </c>
      <c r="H1825">
        <f>R1825=ROUND(1814*0.05,10)</f>
        <v/>
      </c>
      <c r="I1825">
        <f>S1825=ROUND(1814*0.01,10)</f>
        <v/>
      </c>
      <c r="J1825">
        <f>T1825=ROUND(1814*0.7,10)</f>
        <v/>
      </c>
      <c r="K1825">
        <f>U1825=ROUND(1814*1.1,10)</f>
        <v/>
      </c>
      <c r="L1825">
        <f>V1825=ROUND(1814*0.25,10)</f>
        <v/>
      </c>
      <c r="M1825">
        <f>W1825=ROUND(1814*0.5,10)</f>
        <v/>
      </c>
      <c r="O1825">
        <f>O1824+0.1</f>
        <v/>
      </c>
      <c r="P1825">
        <f>P1824+0.2</f>
        <v/>
      </c>
      <c r="Q1825">
        <f>Q1824+0.3</f>
        <v/>
      </c>
      <c r="R1825">
        <f>R1824+0.05</f>
        <v/>
      </c>
      <c r="S1825">
        <f>S1824+0.01</f>
        <v/>
      </c>
      <c r="T1825">
        <f>T1824+0.7</f>
        <v/>
      </c>
      <c r="U1825">
        <f>U1824+1.1</f>
        <v/>
      </c>
      <c r="V1825">
        <f>V1824+0.25</f>
        <v/>
      </c>
      <c r="W1825">
        <f>W1824+0.5</f>
        <v/>
      </c>
    </row>
    <row r="1826">
      <c r="E1826">
        <f>O1826=ROUND(1815*0.1,10)</f>
        <v/>
      </c>
      <c r="F1826">
        <f>P1826=ROUND(1815*0.2,10)</f>
        <v/>
      </c>
      <c r="G1826">
        <f>Q1826=ROUND(1815*0.3,10)</f>
        <v/>
      </c>
      <c r="H1826">
        <f>R1826=ROUND(1815*0.05,10)</f>
        <v/>
      </c>
      <c r="I1826">
        <f>S1826=ROUND(1815*0.01,10)</f>
        <v/>
      </c>
      <c r="J1826">
        <f>T1826=ROUND(1815*0.7,10)</f>
        <v/>
      </c>
      <c r="K1826">
        <f>U1826=ROUND(1815*1.1,10)</f>
        <v/>
      </c>
      <c r="L1826">
        <f>V1826=ROUND(1815*0.25,10)</f>
        <v/>
      </c>
      <c r="M1826">
        <f>W1826=ROUND(1815*0.5,10)</f>
        <v/>
      </c>
      <c r="O1826">
        <f>O1825+0.1</f>
        <v/>
      </c>
      <c r="P1826">
        <f>P1825+0.2</f>
        <v/>
      </c>
      <c r="Q1826">
        <f>Q1825+0.3</f>
        <v/>
      </c>
      <c r="R1826">
        <f>R1825+0.05</f>
        <v/>
      </c>
      <c r="S1826">
        <f>S1825+0.01</f>
        <v/>
      </c>
      <c r="T1826">
        <f>T1825+0.7</f>
        <v/>
      </c>
      <c r="U1826">
        <f>U1825+1.1</f>
        <v/>
      </c>
      <c r="V1826">
        <f>V1825+0.25</f>
        <v/>
      </c>
      <c r="W1826">
        <f>W1825+0.5</f>
        <v/>
      </c>
    </row>
    <row r="1827">
      <c r="E1827">
        <f>O1827=ROUND(1816*0.1,10)</f>
        <v/>
      </c>
      <c r="F1827">
        <f>P1827=ROUND(1816*0.2,10)</f>
        <v/>
      </c>
      <c r="G1827">
        <f>Q1827=ROUND(1816*0.3,10)</f>
        <v/>
      </c>
      <c r="H1827">
        <f>R1827=ROUND(1816*0.05,10)</f>
        <v/>
      </c>
      <c r="I1827">
        <f>S1827=ROUND(1816*0.01,10)</f>
        <v/>
      </c>
      <c r="J1827">
        <f>T1827=ROUND(1816*0.7,10)</f>
        <v/>
      </c>
      <c r="K1827">
        <f>U1827=ROUND(1816*1.1,10)</f>
        <v/>
      </c>
      <c r="L1827">
        <f>V1827=ROUND(1816*0.25,10)</f>
        <v/>
      </c>
      <c r="M1827">
        <f>W1827=ROUND(1816*0.5,10)</f>
        <v/>
      </c>
      <c r="O1827">
        <f>O1826+0.1</f>
        <v/>
      </c>
      <c r="P1827">
        <f>P1826+0.2</f>
        <v/>
      </c>
      <c r="Q1827">
        <f>Q1826+0.3</f>
        <v/>
      </c>
      <c r="R1827">
        <f>R1826+0.05</f>
        <v/>
      </c>
      <c r="S1827">
        <f>S1826+0.01</f>
        <v/>
      </c>
      <c r="T1827">
        <f>T1826+0.7</f>
        <v/>
      </c>
      <c r="U1827">
        <f>U1826+1.1</f>
        <v/>
      </c>
      <c r="V1827">
        <f>V1826+0.25</f>
        <v/>
      </c>
      <c r="W1827">
        <f>W1826+0.5</f>
        <v/>
      </c>
    </row>
    <row r="1828">
      <c r="E1828">
        <f>O1828=ROUND(1817*0.1,10)</f>
        <v/>
      </c>
      <c r="F1828">
        <f>P1828=ROUND(1817*0.2,10)</f>
        <v/>
      </c>
      <c r="G1828">
        <f>Q1828=ROUND(1817*0.3,10)</f>
        <v/>
      </c>
      <c r="H1828">
        <f>R1828=ROUND(1817*0.05,10)</f>
        <v/>
      </c>
      <c r="I1828">
        <f>S1828=ROUND(1817*0.01,10)</f>
        <v/>
      </c>
      <c r="J1828">
        <f>T1828=ROUND(1817*0.7,10)</f>
        <v/>
      </c>
      <c r="K1828">
        <f>U1828=ROUND(1817*1.1,10)</f>
        <v/>
      </c>
      <c r="L1828">
        <f>V1828=ROUND(1817*0.25,10)</f>
        <v/>
      </c>
      <c r="M1828">
        <f>W1828=ROUND(1817*0.5,10)</f>
        <v/>
      </c>
      <c r="O1828">
        <f>O1827+0.1</f>
        <v/>
      </c>
      <c r="P1828">
        <f>P1827+0.2</f>
        <v/>
      </c>
      <c r="Q1828">
        <f>Q1827+0.3</f>
        <v/>
      </c>
      <c r="R1828">
        <f>R1827+0.05</f>
        <v/>
      </c>
      <c r="S1828">
        <f>S1827+0.01</f>
        <v/>
      </c>
      <c r="T1828">
        <f>T1827+0.7</f>
        <v/>
      </c>
      <c r="U1828">
        <f>U1827+1.1</f>
        <v/>
      </c>
      <c r="V1828">
        <f>V1827+0.25</f>
        <v/>
      </c>
      <c r="W1828">
        <f>W1827+0.5</f>
        <v/>
      </c>
    </row>
    <row r="1829">
      <c r="E1829">
        <f>O1829=ROUND(1818*0.1,10)</f>
        <v/>
      </c>
      <c r="F1829">
        <f>P1829=ROUND(1818*0.2,10)</f>
        <v/>
      </c>
      <c r="G1829">
        <f>Q1829=ROUND(1818*0.3,10)</f>
        <v/>
      </c>
      <c r="H1829">
        <f>R1829=ROUND(1818*0.05,10)</f>
        <v/>
      </c>
      <c r="I1829">
        <f>S1829=ROUND(1818*0.01,10)</f>
        <v/>
      </c>
      <c r="J1829">
        <f>T1829=ROUND(1818*0.7,10)</f>
        <v/>
      </c>
      <c r="K1829">
        <f>U1829=ROUND(1818*1.1,10)</f>
        <v/>
      </c>
      <c r="L1829">
        <f>V1829=ROUND(1818*0.25,10)</f>
        <v/>
      </c>
      <c r="M1829">
        <f>W1829=ROUND(1818*0.5,10)</f>
        <v/>
      </c>
      <c r="O1829">
        <f>O1828+0.1</f>
        <v/>
      </c>
      <c r="P1829">
        <f>P1828+0.2</f>
        <v/>
      </c>
      <c r="Q1829">
        <f>Q1828+0.3</f>
        <v/>
      </c>
      <c r="R1829">
        <f>R1828+0.05</f>
        <v/>
      </c>
      <c r="S1829">
        <f>S1828+0.01</f>
        <v/>
      </c>
      <c r="T1829">
        <f>T1828+0.7</f>
        <v/>
      </c>
      <c r="U1829">
        <f>U1828+1.1</f>
        <v/>
      </c>
      <c r="V1829">
        <f>V1828+0.25</f>
        <v/>
      </c>
      <c r="W1829">
        <f>W1828+0.5</f>
        <v/>
      </c>
    </row>
    <row r="1830">
      <c r="E1830">
        <f>O1830=ROUND(1819*0.1,10)</f>
        <v/>
      </c>
      <c r="F1830">
        <f>P1830=ROUND(1819*0.2,10)</f>
        <v/>
      </c>
      <c r="G1830">
        <f>Q1830=ROUND(1819*0.3,10)</f>
        <v/>
      </c>
      <c r="H1830">
        <f>R1830=ROUND(1819*0.05,10)</f>
        <v/>
      </c>
      <c r="I1830">
        <f>S1830=ROUND(1819*0.01,10)</f>
        <v/>
      </c>
      <c r="J1830">
        <f>T1830=ROUND(1819*0.7,10)</f>
        <v/>
      </c>
      <c r="K1830">
        <f>U1830=ROUND(1819*1.1,10)</f>
        <v/>
      </c>
      <c r="L1830">
        <f>V1830=ROUND(1819*0.25,10)</f>
        <v/>
      </c>
      <c r="M1830">
        <f>W1830=ROUND(1819*0.5,10)</f>
        <v/>
      </c>
      <c r="O1830">
        <f>O1829+0.1</f>
        <v/>
      </c>
      <c r="P1830">
        <f>P1829+0.2</f>
        <v/>
      </c>
      <c r="Q1830">
        <f>Q1829+0.3</f>
        <v/>
      </c>
      <c r="R1830">
        <f>R1829+0.05</f>
        <v/>
      </c>
      <c r="S1830">
        <f>S1829+0.01</f>
        <v/>
      </c>
      <c r="T1830">
        <f>T1829+0.7</f>
        <v/>
      </c>
      <c r="U1830">
        <f>U1829+1.1</f>
        <v/>
      </c>
      <c r="V1830">
        <f>V1829+0.25</f>
        <v/>
      </c>
      <c r="W1830">
        <f>W1829+0.5</f>
        <v/>
      </c>
    </row>
    <row r="1831">
      <c r="E1831">
        <f>O1831=ROUND(1820*0.1,10)</f>
        <v/>
      </c>
      <c r="F1831">
        <f>P1831=ROUND(1820*0.2,10)</f>
        <v/>
      </c>
      <c r="G1831">
        <f>Q1831=ROUND(1820*0.3,10)</f>
        <v/>
      </c>
      <c r="H1831">
        <f>R1831=ROUND(1820*0.05,10)</f>
        <v/>
      </c>
      <c r="I1831">
        <f>S1831=ROUND(1820*0.01,10)</f>
        <v/>
      </c>
      <c r="J1831">
        <f>T1831=ROUND(1820*0.7,10)</f>
        <v/>
      </c>
      <c r="K1831">
        <f>U1831=ROUND(1820*1.1,10)</f>
        <v/>
      </c>
      <c r="L1831">
        <f>V1831=ROUND(1820*0.25,10)</f>
        <v/>
      </c>
      <c r="M1831">
        <f>W1831=ROUND(1820*0.5,10)</f>
        <v/>
      </c>
      <c r="O1831">
        <f>O1830+0.1</f>
        <v/>
      </c>
      <c r="P1831">
        <f>P1830+0.2</f>
        <v/>
      </c>
      <c r="Q1831">
        <f>Q1830+0.3</f>
        <v/>
      </c>
      <c r="R1831">
        <f>R1830+0.05</f>
        <v/>
      </c>
      <c r="S1831">
        <f>S1830+0.01</f>
        <v/>
      </c>
      <c r="T1831">
        <f>T1830+0.7</f>
        <v/>
      </c>
      <c r="U1831">
        <f>U1830+1.1</f>
        <v/>
      </c>
      <c r="V1831">
        <f>V1830+0.25</f>
        <v/>
      </c>
      <c r="W1831">
        <f>W1830+0.5</f>
        <v/>
      </c>
    </row>
    <row r="1832">
      <c r="E1832">
        <f>O1832=ROUND(1821*0.1,10)</f>
        <v/>
      </c>
      <c r="F1832">
        <f>P1832=ROUND(1821*0.2,10)</f>
        <v/>
      </c>
      <c r="G1832">
        <f>Q1832=ROUND(1821*0.3,10)</f>
        <v/>
      </c>
      <c r="H1832">
        <f>R1832=ROUND(1821*0.05,10)</f>
        <v/>
      </c>
      <c r="I1832">
        <f>S1832=ROUND(1821*0.01,10)</f>
        <v/>
      </c>
      <c r="J1832">
        <f>T1832=ROUND(1821*0.7,10)</f>
        <v/>
      </c>
      <c r="K1832">
        <f>U1832=ROUND(1821*1.1,10)</f>
        <v/>
      </c>
      <c r="L1832">
        <f>V1832=ROUND(1821*0.25,10)</f>
        <v/>
      </c>
      <c r="M1832">
        <f>W1832=ROUND(1821*0.5,10)</f>
        <v/>
      </c>
      <c r="O1832">
        <f>O1831+0.1</f>
        <v/>
      </c>
      <c r="P1832">
        <f>P1831+0.2</f>
        <v/>
      </c>
      <c r="Q1832">
        <f>Q1831+0.3</f>
        <v/>
      </c>
      <c r="R1832">
        <f>R1831+0.05</f>
        <v/>
      </c>
      <c r="S1832">
        <f>S1831+0.01</f>
        <v/>
      </c>
      <c r="T1832">
        <f>T1831+0.7</f>
        <v/>
      </c>
      <c r="U1832">
        <f>U1831+1.1</f>
        <v/>
      </c>
      <c r="V1832">
        <f>V1831+0.25</f>
        <v/>
      </c>
      <c r="W1832">
        <f>W1831+0.5</f>
        <v/>
      </c>
    </row>
    <row r="1833">
      <c r="E1833">
        <f>O1833=ROUND(1822*0.1,10)</f>
        <v/>
      </c>
      <c r="F1833">
        <f>P1833=ROUND(1822*0.2,10)</f>
        <v/>
      </c>
      <c r="G1833">
        <f>Q1833=ROUND(1822*0.3,10)</f>
        <v/>
      </c>
      <c r="H1833">
        <f>R1833=ROUND(1822*0.05,10)</f>
        <v/>
      </c>
      <c r="I1833">
        <f>S1833=ROUND(1822*0.01,10)</f>
        <v/>
      </c>
      <c r="J1833">
        <f>T1833=ROUND(1822*0.7,10)</f>
        <v/>
      </c>
      <c r="K1833">
        <f>U1833=ROUND(1822*1.1,10)</f>
        <v/>
      </c>
      <c r="L1833">
        <f>V1833=ROUND(1822*0.25,10)</f>
        <v/>
      </c>
      <c r="M1833">
        <f>W1833=ROUND(1822*0.5,10)</f>
        <v/>
      </c>
      <c r="O1833">
        <f>O1832+0.1</f>
        <v/>
      </c>
      <c r="P1833">
        <f>P1832+0.2</f>
        <v/>
      </c>
      <c r="Q1833">
        <f>Q1832+0.3</f>
        <v/>
      </c>
      <c r="R1833">
        <f>R1832+0.05</f>
        <v/>
      </c>
      <c r="S1833">
        <f>S1832+0.01</f>
        <v/>
      </c>
      <c r="T1833">
        <f>T1832+0.7</f>
        <v/>
      </c>
      <c r="U1833">
        <f>U1832+1.1</f>
        <v/>
      </c>
      <c r="V1833">
        <f>V1832+0.25</f>
        <v/>
      </c>
      <c r="W1833">
        <f>W1832+0.5</f>
        <v/>
      </c>
    </row>
    <row r="1834">
      <c r="E1834">
        <f>O1834=ROUND(1823*0.1,10)</f>
        <v/>
      </c>
      <c r="F1834">
        <f>P1834=ROUND(1823*0.2,10)</f>
        <v/>
      </c>
      <c r="G1834">
        <f>Q1834=ROUND(1823*0.3,10)</f>
        <v/>
      </c>
      <c r="H1834">
        <f>R1834=ROUND(1823*0.05,10)</f>
        <v/>
      </c>
      <c r="I1834">
        <f>S1834=ROUND(1823*0.01,10)</f>
        <v/>
      </c>
      <c r="J1834">
        <f>T1834=ROUND(1823*0.7,10)</f>
        <v/>
      </c>
      <c r="K1834">
        <f>U1834=ROUND(1823*1.1,10)</f>
        <v/>
      </c>
      <c r="L1834">
        <f>V1834=ROUND(1823*0.25,10)</f>
        <v/>
      </c>
      <c r="M1834">
        <f>W1834=ROUND(1823*0.5,10)</f>
        <v/>
      </c>
      <c r="O1834">
        <f>O1833+0.1</f>
        <v/>
      </c>
      <c r="P1834">
        <f>P1833+0.2</f>
        <v/>
      </c>
      <c r="Q1834">
        <f>Q1833+0.3</f>
        <v/>
      </c>
      <c r="R1834">
        <f>R1833+0.05</f>
        <v/>
      </c>
      <c r="S1834">
        <f>S1833+0.01</f>
        <v/>
      </c>
      <c r="T1834">
        <f>T1833+0.7</f>
        <v/>
      </c>
      <c r="U1834">
        <f>U1833+1.1</f>
        <v/>
      </c>
      <c r="V1834">
        <f>V1833+0.25</f>
        <v/>
      </c>
      <c r="W1834">
        <f>W1833+0.5</f>
        <v/>
      </c>
    </row>
    <row r="1835">
      <c r="E1835">
        <f>O1835=ROUND(1824*0.1,10)</f>
        <v/>
      </c>
      <c r="F1835">
        <f>P1835=ROUND(1824*0.2,10)</f>
        <v/>
      </c>
      <c r="G1835">
        <f>Q1835=ROUND(1824*0.3,10)</f>
        <v/>
      </c>
      <c r="H1835">
        <f>R1835=ROUND(1824*0.05,10)</f>
        <v/>
      </c>
      <c r="I1835">
        <f>S1835=ROUND(1824*0.01,10)</f>
        <v/>
      </c>
      <c r="J1835">
        <f>T1835=ROUND(1824*0.7,10)</f>
        <v/>
      </c>
      <c r="K1835">
        <f>U1835=ROUND(1824*1.1,10)</f>
        <v/>
      </c>
      <c r="L1835">
        <f>V1835=ROUND(1824*0.25,10)</f>
        <v/>
      </c>
      <c r="M1835">
        <f>W1835=ROUND(1824*0.5,10)</f>
        <v/>
      </c>
      <c r="O1835">
        <f>O1834+0.1</f>
        <v/>
      </c>
      <c r="P1835">
        <f>P1834+0.2</f>
        <v/>
      </c>
      <c r="Q1835">
        <f>Q1834+0.3</f>
        <v/>
      </c>
      <c r="R1835">
        <f>R1834+0.05</f>
        <v/>
      </c>
      <c r="S1835">
        <f>S1834+0.01</f>
        <v/>
      </c>
      <c r="T1835">
        <f>T1834+0.7</f>
        <v/>
      </c>
      <c r="U1835">
        <f>U1834+1.1</f>
        <v/>
      </c>
      <c r="V1835">
        <f>V1834+0.25</f>
        <v/>
      </c>
      <c r="W1835">
        <f>W1834+0.5</f>
        <v/>
      </c>
    </row>
    <row r="1836">
      <c r="E1836">
        <f>O1836=ROUND(1825*0.1,10)</f>
        <v/>
      </c>
      <c r="F1836">
        <f>P1836=ROUND(1825*0.2,10)</f>
        <v/>
      </c>
      <c r="G1836">
        <f>Q1836=ROUND(1825*0.3,10)</f>
        <v/>
      </c>
      <c r="H1836">
        <f>R1836=ROUND(1825*0.05,10)</f>
        <v/>
      </c>
      <c r="I1836">
        <f>S1836=ROUND(1825*0.01,10)</f>
        <v/>
      </c>
      <c r="J1836">
        <f>T1836=ROUND(1825*0.7,10)</f>
        <v/>
      </c>
      <c r="K1836">
        <f>U1836=ROUND(1825*1.1,10)</f>
        <v/>
      </c>
      <c r="L1836">
        <f>V1836=ROUND(1825*0.25,10)</f>
        <v/>
      </c>
      <c r="M1836">
        <f>W1836=ROUND(1825*0.5,10)</f>
        <v/>
      </c>
      <c r="O1836">
        <f>O1835+0.1</f>
        <v/>
      </c>
      <c r="P1836">
        <f>P1835+0.2</f>
        <v/>
      </c>
      <c r="Q1836">
        <f>Q1835+0.3</f>
        <v/>
      </c>
      <c r="R1836">
        <f>R1835+0.05</f>
        <v/>
      </c>
      <c r="S1836">
        <f>S1835+0.01</f>
        <v/>
      </c>
      <c r="T1836">
        <f>T1835+0.7</f>
        <v/>
      </c>
      <c r="U1836">
        <f>U1835+1.1</f>
        <v/>
      </c>
      <c r="V1836">
        <f>V1835+0.25</f>
        <v/>
      </c>
      <c r="W1836">
        <f>W1835+0.5</f>
        <v/>
      </c>
    </row>
    <row r="1837">
      <c r="E1837">
        <f>O1837=ROUND(1826*0.1,10)</f>
        <v/>
      </c>
      <c r="F1837">
        <f>P1837=ROUND(1826*0.2,10)</f>
        <v/>
      </c>
      <c r="G1837">
        <f>Q1837=ROUND(1826*0.3,10)</f>
        <v/>
      </c>
      <c r="H1837">
        <f>R1837=ROUND(1826*0.05,10)</f>
        <v/>
      </c>
      <c r="I1837">
        <f>S1837=ROUND(1826*0.01,10)</f>
        <v/>
      </c>
      <c r="J1837">
        <f>T1837=ROUND(1826*0.7,10)</f>
        <v/>
      </c>
      <c r="K1837">
        <f>U1837=ROUND(1826*1.1,10)</f>
        <v/>
      </c>
      <c r="L1837">
        <f>V1837=ROUND(1826*0.25,10)</f>
        <v/>
      </c>
      <c r="M1837">
        <f>W1837=ROUND(1826*0.5,10)</f>
        <v/>
      </c>
      <c r="O1837">
        <f>O1836+0.1</f>
        <v/>
      </c>
      <c r="P1837">
        <f>P1836+0.2</f>
        <v/>
      </c>
      <c r="Q1837">
        <f>Q1836+0.3</f>
        <v/>
      </c>
      <c r="R1837">
        <f>R1836+0.05</f>
        <v/>
      </c>
      <c r="S1837">
        <f>S1836+0.01</f>
        <v/>
      </c>
      <c r="T1837">
        <f>T1836+0.7</f>
        <v/>
      </c>
      <c r="U1837">
        <f>U1836+1.1</f>
        <v/>
      </c>
      <c r="V1837">
        <f>V1836+0.25</f>
        <v/>
      </c>
      <c r="W1837">
        <f>W1836+0.5</f>
        <v/>
      </c>
    </row>
    <row r="1838">
      <c r="E1838">
        <f>O1838=ROUND(1827*0.1,10)</f>
        <v/>
      </c>
      <c r="F1838">
        <f>P1838=ROUND(1827*0.2,10)</f>
        <v/>
      </c>
      <c r="G1838">
        <f>Q1838=ROUND(1827*0.3,10)</f>
        <v/>
      </c>
      <c r="H1838">
        <f>R1838=ROUND(1827*0.05,10)</f>
        <v/>
      </c>
      <c r="I1838">
        <f>S1838=ROUND(1827*0.01,10)</f>
        <v/>
      </c>
      <c r="J1838">
        <f>T1838=ROUND(1827*0.7,10)</f>
        <v/>
      </c>
      <c r="K1838">
        <f>U1838=ROUND(1827*1.1,10)</f>
        <v/>
      </c>
      <c r="L1838">
        <f>V1838=ROUND(1827*0.25,10)</f>
        <v/>
      </c>
      <c r="M1838">
        <f>W1838=ROUND(1827*0.5,10)</f>
        <v/>
      </c>
      <c r="O1838">
        <f>O1837+0.1</f>
        <v/>
      </c>
      <c r="P1838">
        <f>P1837+0.2</f>
        <v/>
      </c>
      <c r="Q1838">
        <f>Q1837+0.3</f>
        <v/>
      </c>
      <c r="R1838">
        <f>R1837+0.05</f>
        <v/>
      </c>
      <c r="S1838">
        <f>S1837+0.01</f>
        <v/>
      </c>
      <c r="T1838">
        <f>T1837+0.7</f>
        <v/>
      </c>
      <c r="U1838">
        <f>U1837+1.1</f>
        <v/>
      </c>
      <c r="V1838">
        <f>V1837+0.25</f>
        <v/>
      </c>
      <c r="W1838">
        <f>W1837+0.5</f>
        <v/>
      </c>
    </row>
    <row r="1839">
      <c r="E1839">
        <f>O1839=ROUND(1828*0.1,10)</f>
        <v/>
      </c>
      <c r="F1839">
        <f>P1839=ROUND(1828*0.2,10)</f>
        <v/>
      </c>
      <c r="G1839">
        <f>Q1839=ROUND(1828*0.3,10)</f>
        <v/>
      </c>
      <c r="H1839">
        <f>R1839=ROUND(1828*0.05,10)</f>
        <v/>
      </c>
      <c r="I1839">
        <f>S1839=ROUND(1828*0.01,10)</f>
        <v/>
      </c>
      <c r="J1839">
        <f>T1839=ROUND(1828*0.7,10)</f>
        <v/>
      </c>
      <c r="K1839">
        <f>U1839=ROUND(1828*1.1,10)</f>
        <v/>
      </c>
      <c r="L1839">
        <f>V1839=ROUND(1828*0.25,10)</f>
        <v/>
      </c>
      <c r="M1839">
        <f>W1839=ROUND(1828*0.5,10)</f>
        <v/>
      </c>
      <c r="O1839">
        <f>O1838+0.1</f>
        <v/>
      </c>
      <c r="P1839">
        <f>P1838+0.2</f>
        <v/>
      </c>
      <c r="Q1839">
        <f>Q1838+0.3</f>
        <v/>
      </c>
      <c r="R1839">
        <f>R1838+0.05</f>
        <v/>
      </c>
      <c r="S1839">
        <f>S1838+0.01</f>
        <v/>
      </c>
      <c r="T1839">
        <f>T1838+0.7</f>
        <v/>
      </c>
      <c r="U1839">
        <f>U1838+1.1</f>
        <v/>
      </c>
      <c r="V1839">
        <f>V1838+0.25</f>
        <v/>
      </c>
      <c r="W1839">
        <f>W1838+0.5</f>
        <v/>
      </c>
    </row>
    <row r="1840">
      <c r="E1840">
        <f>O1840=ROUND(1829*0.1,10)</f>
        <v/>
      </c>
      <c r="F1840">
        <f>P1840=ROUND(1829*0.2,10)</f>
        <v/>
      </c>
      <c r="G1840">
        <f>Q1840=ROUND(1829*0.3,10)</f>
        <v/>
      </c>
      <c r="H1840">
        <f>R1840=ROUND(1829*0.05,10)</f>
        <v/>
      </c>
      <c r="I1840">
        <f>S1840=ROUND(1829*0.01,10)</f>
        <v/>
      </c>
      <c r="J1840">
        <f>T1840=ROUND(1829*0.7,10)</f>
        <v/>
      </c>
      <c r="K1840">
        <f>U1840=ROUND(1829*1.1,10)</f>
        <v/>
      </c>
      <c r="L1840">
        <f>V1840=ROUND(1829*0.25,10)</f>
        <v/>
      </c>
      <c r="M1840">
        <f>W1840=ROUND(1829*0.5,10)</f>
        <v/>
      </c>
      <c r="O1840">
        <f>O1839+0.1</f>
        <v/>
      </c>
      <c r="P1840">
        <f>P1839+0.2</f>
        <v/>
      </c>
      <c r="Q1840">
        <f>Q1839+0.3</f>
        <v/>
      </c>
      <c r="R1840">
        <f>R1839+0.05</f>
        <v/>
      </c>
      <c r="S1840">
        <f>S1839+0.01</f>
        <v/>
      </c>
      <c r="T1840">
        <f>T1839+0.7</f>
        <v/>
      </c>
      <c r="U1840">
        <f>U1839+1.1</f>
        <v/>
      </c>
      <c r="V1840">
        <f>V1839+0.25</f>
        <v/>
      </c>
      <c r="W1840">
        <f>W1839+0.5</f>
        <v/>
      </c>
    </row>
    <row r="1841">
      <c r="E1841">
        <f>O1841=ROUND(1830*0.1,10)</f>
        <v/>
      </c>
      <c r="F1841">
        <f>P1841=ROUND(1830*0.2,10)</f>
        <v/>
      </c>
      <c r="G1841">
        <f>Q1841=ROUND(1830*0.3,10)</f>
        <v/>
      </c>
      <c r="H1841">
        <f>R1841=ROUND(1830*0.05,10)</f>
        <v/>
      </c>
      <c r="I1841">
        <f>S1841=ROUND(1830*0.01,10)</f>
        <v/>
      </c>
      <c r="J1841">
        <f>T1841=ROUND(1830*0.7,10)</f>
        <v/>
      </c>
      <c r="K1841">
        <f>U1841=ROUND(1830*1.1,10)</f>
        <v/>
      </c>
      <c r="L1841">
        <f>V1841=ROUND(1830*0.25,10)</f>
        <v/>
      </c>
      <c r="M1841">
        <f>W1841=ROUND(1830*0.5,10)</f>
        <v/>
      </c>
      <c r="O1841">
        <f>O1840+0.1</f>
        <v/>
      </c>
      <c r="P1841">
        <f>P1840+0.2</f>
        <v/>
      </c>
      <c r="Q1841">
        <f>Q1840+0.3</f>
        <v/>
      </c>
      <c r="R1841">
        <f>R1840+0.05</f>
        <v/>
      </c>
      <c r="S1841">
        <f>S1840+0.01</f>
        <v/>
      </c>
      <c r="T1841">
        <f>T1840+0.7</f>
        <v/>
      </c>
      <c r="U1841">
        <f>U1840+1.1</f>
        <v/>
      </c>
      <c r="V1841">
        <f>V1840+0.25</f>
        <v/>
      </c>
      <c r="W1841">
        <f>W1840+0.5</f>
        <v/>
      </c>
    </row>
    <row r="1842">
      <c r="E1842">
        <f>O1842=ROUND(1831*0.1,10)</f>
        <v/>
      </c>
      <c r="F1842">
        <f>P1842=ROUND(1831*0.2,10)</f>
        <v/>
      </c>
      <c r="G1842">
        <f>Q1842=ROUND(1831*0.3,10)</f>
        <v/>
      </c>
      <c r="H1842">
        <f>R1842=ROUND(1831*0.05,10)</f>
        <v/>
      </c>
      <c r="I1842">
        <f>S1842=ROUND(1831*0.01,10)</f>
        <v/>
      </c>
      <c r="J1842">
        <f>T1842=ROUND(1831*0.7,10)</f>
        <v/>
      </c>
      <c r="K1842">
        <f>U1842=ROUND(1831*1.1,10)</f>
        <v/>
      </c>
      <c r="L1842">
        <f>V1842=ROUND(1831*0.25,10)</f>
        <v/>
      </c>
      <c r="M1842">
        <f>W1842=ROUND(1831*0.5,10)</f>
        <v/>
      </c>
      <c r="O1842">
        <f>O1841+0.1</f>
        <v/>
      </c>
      <c r="P1842">
        <f>P1841+0.2</f>
        <v/>
      </c>
      <c r="Q1842">
        <f>Q1841+0.3</f>
        <v/>
      </c>
      <c r="R1842">
        <f>R1841+0.05</f>
        <v/>
      </c>
      <c r="S1842">
        <f>S1841+0.01</f>
        <v/>
      </c>
      <c r="T1842">
        <f>T1841+0.7</f>
        <v/>
      </c>
      <c r="U1842">
        <f>U1841+1.1</f>
        <v/>
      </c>
      <c r="V1842">
        <f>V1841+0.25</f>
        <v/>
      </c>
      <c r="W1842">
        <f>W1841+0.5</f>
        <v/>
      </c>
    </row>
    <row r="1843">
      <c r="E1843">
        <f>O1843=ROUND(1832*0.1,10)</f>
        <v/>
      </c>
      <c r="F1843">
        <f>P1843=ROUND(1832*0.2,10)</f>
        <v/>
      </c>
      <c r="G1843">
        <f>Q1843=ROUND(1832*0.3,10)</f>
        <v/>
      </c>
      <c r="H1843">
        <f>R1843=ROUND(1832*0.05,10)</f>
        <v/>
      </c>
      <c r="I1843">
        <f>S1843=ROUND(1832*0.01,10)</f>
        <v/>
      </c>
      <c r="J1843">
        <f>T1843=ROUND(1832*0.7,10)</f>
        <v/>
      </c>
      <c r="K1843">
        <f>U1843=ROUND(1832*1.1,10)</f>
        <v/>
      </c>
      <c r="L1843">
        <f>V1843=ROUND(1832*0.25,10)</f>
        <v/>
      </c>
      <c r="M1843">
        <f>W1843=ROUND(1832*0.5,10)</f>
        <v/>
      </c>
      <c r="O1843">
        <f>O1842+0.1</f>
        <v/>
      </c>
      <c r="P1843">
        <f>P1842+0.2</f>
        <v/>
      </c>
      <c r="Q1843">
        <f>Q1842+0.3</f>
        <v/>
      </c>
      <c r="R1843">
        <f>R1842+0.05</f>
        <v/>
      </c>
      <c r="S1843">
        <f>S1842+0.01</f>
        <v/>
      </c>
      <c r="T1843">
        <f>T1842+0.7</f>
        <v/>
      </c>
      <c r="U1843">
        <f>U1842+1.1</f>
        <v/>
      </c>
      <c r="V1843">
        <f>V1842+0.25</f>
        <v/>
      </c>
      <c r="W1843">
        <f>W1842+0.5</f>
        <v/>
      </c>
    </row>
    <row r="1844">
      <c r="E1844">
        <f>O1844=ROUND(1833*0.1,10)</f>
        <v/>
      </c>
      <c r="F1844">
        <f>P1844=ROUND(1833*0.2,10)</f>
        <v/>
      </c>
      <c r="G1844">
        <f>Q1844=ROUND(1833*0.3,10)</f>
        <v/>
      </c>
      <c r="H1844">
        <f>R1844=ROUND(1833*0.05,10)</f>
        <v/>
      </c>
      <c r="I1844">
        <f>S1844=ROUND(1833*0.01,10)</f>
        <v/>
      </c>
      <c r="J1844">
        <f>T1844=ROUND(1833*0.7,10)</f>
        <v/>
      </c>
      <c r="K1844">
        <f>U1844=ROUND(1833*1.1,10)</f>
        <v/>
      </c>
      <c r="L1844">
        <f>V1844=ROUND(1833*0.25,10)</f>
        <v/>
      </c>
      <c r="M1844">
        <f>W1844=ROUND(1833*0.5,10)</f>
        <v/>
      </c>
      <c r="O1844">
        <f>O1843+0.1</f>
        <v/>
      </c>
      <c r="P1844">
        <f>P1843+0.2</f>
        <v/>
      </c>
      <c r="Q1844">
        <f>Q1843+0.3</f>
        <v/>
      </c>
      <c r="R1844">
        <f>R1843+0.05</f>
        <v/>
      </c>
      <c r="S1844">
        <f>S1843+0.01</f>
        <v/>
      </c>
      <c r="T1844">
        <f>T1843+0.7</f>
        <v/>
      </c>
      <c r="U1844">
        <f>U1843+1.1</f>
        <v/>
      </c>
      <c r="V1844">
        <f>V1843+0.25</f>
        <v/>
      </c>
      <c r="W1844">
        <f>W1843+0.5</f>
        <v/>
      </c>
    </row>
    <row r="1845">
      <c r="E1845">
        <f>O1845=ROUND(1834*0.1,10)</f>
        <v/>
      </c>
      <c r="F1845">
        <f>P1845=ROUND(1834*0.2,10)</f>
        <v/>
      </c>
      <c r="G1845">
        <f>Q1845=ROUND(1834*0.3,10)</f>
        <v/>
      </c>
      <c r="H1845">
        <f>R1845=ROUND(1834*0.05,10)</f>
        <v/>
      </c>
      <c r="I1845">
        <f>S1845=ROUND(1834*0.01,10)</f>
        <v/>
      </c>
      <c r="J1845">
        <f>T1845=ROUND(1834*0.7,10)</f>
        <v/>
      </c>
      <c r="K1845">
        <f>U1845=ROUND(1834*1.1,10)</f>
        <v/>
      </c>
      <c r="L1845">
        <f>V1845=ROUND(1834*0.25,10)</f>
        <v/>
      </c>
      <c r="M1845">
        <f>W1845=ROUND(1834*0.5,10)</f>
        <v/>
      </c>
      <c r="O1845">
        <f>O1844+0.1</f>
        <v/>
      </c>
      <c r="P1845">
        <f>P1844+0.2</f>
        <v/>
      </c>
      <c r="Q1845">
        <f>Q1844+0.3</f>
        <v/>
      </c>
      <c r="R1845">
        <f>R1844+0.05</f>
        <v/>
      </c>
      <c r="S1845">
        <f>S1844+0.01</f>
        <v/>
      </c>
      <c r="T1845">
        <f>T1844+0.7</f>
        <v/>
      </c>
      <c r="U1845">
        <f>U1844+1.1</f>
        <v/>
      </c>
      <c r="V1845">
        <f>V1844+0.25</f>
        <v/>
      </c>
      <c r="W1845">
        <f>W1844+0.5</f>
        <v/>
      </c>
    </row>
    <row r="1846">
      <c r="E1846">
        <f>O1846=ROUND(1835*0.1,10)</f>
        <v/>
      </c>
      <c r="F1846">
        <f>P1846=ROUND(1835*0.2,10)</f>
        <v/>
      </c>
      <c r="G1846">
        <f>Q1846=ROUND(1835*0.3,10)</f>
        <v/>
      </c>
      <c r="H1846">
        <f>R1846=ROUND(1835*0.05,10)</f>
        <v/>
      </c>
      <c r="I1846">
        <f>S1846=ROUND(1835*0.01,10)</f>
        <v/>
      </c>
      <c r="J1846">
        <f>T1846=ROUND(1835*0.7,10)</f>
        <v/>
      </c>
      <c r="K1846">
        <f>U1846=ROUND(1835*1.1,10)</f>
        <v/>
      </c>
      <c r="L1846">
        <f>V1846=ROUND(1835*0.25,10)</f>
        <v/>
      </c>
      <c r="M1846">
        <f>W1846=ROUND(1835*0.5,10)</f>
        <v/>
      </c>
      <c r="O1846">
        <f>O1845+0.1</f>
        <v/>
      </c>
      <c r="P1846">
        <f>P1845+0.2</f>
        <v/>
      </c>
      <c r="Q1846">
        <f>Q1845+0.3</f>
        <v/>
      </c>
      <c r="R1846">
        <f>R1845+0.05</f>
        <v/>
      </c>
      <c r="S1846">
        <f>S1845+0.01</f>
        <v/>
      </c>
      <c r="T1846">
        <f>T1845+0.7</f>
        <v/>
      </c>
      <c r="U1846">
        <f>U1845+1.1</f>
        <v/>
      </c>
      <c r="V1846">
        <f>V1845+0.25</f>
        <v/>
      </c>
      <c r="W1846">
        <f>W1845+0.5</f>
        <v/>
      </c>
    </row>
    <row r="1847">
      <c r="E1847">
        <f>O1847=ROUND(1836*0.1,10)</f>
        <v/>
      </c>
      <c r="F1847">
        <f>P1847=ROUND(1836*0.2,10)</f>
        <v/>
      </c>
      <c r="G1847">
        <f>Q1847=ROUND(1836*0.3,10)</f>
        <v/>
      </c>
      <c r="H1847">
        <f>R1847=ROUND(1836*0.05,10)</f>
        <v/>
      </c>
      <c r="I1847">
        <f>S1847=ROUND(1836*0.01,10)</f>
        <v/>
      </c>
      <c r="J1847">
        <f>T1847=ROUND(1836*0.7,10)</f>
        <v/>
      </c>
      <c r="K1847">
        <f>U1847=ROUND(1836*1.1,10)</f>
        <v/>
      </c>
      <c r="L1847">
        <f>V1847=ROUND(1836*0.25,10)</f>
        <v/>
      </c>
      <c r="M1847">
        <f>W1847=ROUND(1836*0.5,10)</f>
        <v/>
      </c>
      <c r="O1847">
        <f>O1846+0.1</f>
        <v/>
      </c>
      <c r="P1847">
        <f>P1846+0.2</f>
        <v/>
      </c>
      <c r="Q1847">
        <f>Q1846+0.3</f>
        <v/>
      </c>
      <c r="R1847">
        <f>R1846+0.05</f>
        <v/>
      </c>
      <c r="S1847">
        <f>S1846+0.01</f>
        <v/>
      </c>
      <c r="T1847">
        <f>T1846+0.7</f>
        <v/>
      </c>
      <c r="U1847">
        <f>U1846+1.1</f>
        <v/>
      </c>
      <c r="V1847">
        <f>V1846+0.25</f>
        <v/>
      </c>
      <c r="W1847">
        <f>W1846+0.5</f>
        <v/>
      </c>
    </row>
    <row r="1848">
      <c r="E1848">
        <f>O1848=ROUND(1837*0.1,10)</f>
        <v/>
      </c>
      <c r="F1848">
        <f>P1848=ROUND(1837*0.2,10)</f>
        <v/>
      </c>
      <c r="G1848">
        <f>Q1848=ROUND(1837*0.3,10)</f>
        <v/>
      </c>
      <c r="H1848">
        <f>R1848=ROUND(1837*0.05,10)</f>
        <v/>
      </c>
      <c r="I1848">
        <f>S1848=ROUND(1837*0.01,10)</f>
        <v/>
      </c>
      <c r="J1848">
        <f>T1848=ROUND(1837*0.7,10)</f>
        <v/>
      </c>
      <c r="K1848">
        <f>U1848=ROUND(1837*1.1,10)</f>
        <v/>
      </c>
      <c r="L1848">
        <f>V1848=ROUND(1837*0.25,10)</f>
        <v/>
      </c>
      <c r="M1848">
        <f>W1848=ROUND(1837*0.5,10)</f>
        <v/>
      </c>
      <c r="O1848">
        <f>O1847+0.1</f>
        <v/>
      </c>
      <c r="P1848">
        <f>P1847+0.2</f>
        <v/>
      </c>
      <c r="Q1848">
        <f>Q1847+0.3</f>
        <v/>
      </c>
      <c r="R1848">
        <f>R1847+0.05</f>
        <v/>
      </c>
      <c r="S1848">
        <f>S1847+0.01</f>
        <v/>
      </c>
      <c r="T1848">
        <f>T1847+0.7</f>
        <v/>
      </c>
      <c r="U1848">
        <f>U1847+1.1</f>
        <v/>
      </c>
      <c r="V1848">
        <f>V1847+0.25</f>
        <v/>
      </c>
      <c r="W1848">
        <f>W1847+0.5</f>
        <v/>
      </c>
    </row>
    <row r="1849">
      <c r="E1849">
        <f>O1849=ROUND(1838*0.1,10)</f>
        <v/>
      </c>
      <c r="F1849">
        <f>P1849=ROUND(1838*0.2,10)</f>
        <v/>
      </c>
      <c r="G1849">
        <f>Q1849=ROUND(1838*0.3,10)</f>
        <v/>
      </c>
      <c r="H1849">
        <f>R1849=ROUND(1838*0.05,10)</f>
        <v/>
      </c>
      <c r="I1849">
        <f>S1849=ROUND(1838*0.01,10)</f>
        <v/>
      </c>
      <c r="J1849">
        <f>T1849=ROUND(1838*0.7,10)</f>
        <v/>
      </c>
      <c r="K1849">
        <f>U1849=ROUND(1838*1.1,10)</f>
        <v/>
      </c>
      <c r="L1849">
        <f>V1849=ROUND(1838*0.25,10)</f>
        <v/>
      </c>
      <c r="M1849">
        <f>W1849=ROUND(1838*0.5,10)</f>
        <v/>
      </c>
      <c r="O1849">
        <f>O1848+0.1</f>
        <v/>
      </c>
      <c r="P1849">
        <f>P1848+0.2</f>
        <v/>
      </c>
      <c r="Q1849">
        <f>Q1848+0.3</f>
        <v/>
      </c>
      <c r="R1849">
        <f>R1848+0.05</f>
        <v/>
      </c>
      <c r="S1849">
        <f>S1848+0.01</f>
        <v/>
      </c>
      <c r="T1849">
        <f>T1848+0.7</f>
        <v/>
      </c>
      <c r="U1849">
        <f>U1848+1.1</f>
        <v/>
      </c>
      <c r="V1849">
        <f>V1848+0.25</f>
        <v/>
      </c>
      <c r="W1849">
        <f>W1848+0.5</f>
        <v/>
      </c>
    </row>
    <row r="1850">
      <c r="E1850">
        <f>O1850=ROUND(1839*0.1,10)</f>
        <v/>
      </c>
      <c r="F1850">
        <f>P1850=ROUND(1839*0.2,10)</f>
        <v/>
      </c>
      <c r="G1850">
        <f>Q1850=ROUND(1839*0.3,10)</f>
        <v/>
      </c>
      <c r="H1850">
        <f>R1850=ROUND(1839*0.05,10)</f>
        <v/>
      </c>
      <c r="I1850">
        <f>S1850=ROUND(1839*0.01,10)</f>
        <v/>
      </c>
      <c r="J1850">
        <f>T1850=ROUND(1839*0.7,10)</f>
        <v/>
      </c>
      <c r="K1850">
        <f>U1850=ROUND(1839*1.1,10)</f>
        <v/>
      </c>
      <c r="L1850">
        <f>V1850=ROUND(1839*0.25,10)</f>
        <v/>
      </c>
      <c r="M1850">
        <f>W1850=ROUND(1839*0.5,10)</f>
        <v/>
      </c>
      <c r="O1850">
        <f>O1849+0.1</f>
        <v/>
      </c>
      <c r="P1850">
        <f>P1849+0.2</f>
        <v/>
      </c>
      <c r="Q1850">
        <f>Q1849+0.3</f>
        <v/>
      </c>
      <c r="R1850">
        <f>R1849+0.05</f>
        <v/>
      </c>
      <c r="S1850">
        <f>S1849+0.01</f>
        <v/>
      </c>
      <c r="T1850">
        <f>T1849+0.7</f>
        <v/>
      </c>
      <c r="U1850">
        <f>U1849+1.1</f>
        <v/>
      </c>
      <c r="V1850">
        <f>V1849+0.25</f>
        <v/>
      </c>
      <c r="W1850">
        <f>W1849+0.5</f>
        <v/>
      </c>
    </row>
    <row r="1851">
      <c r="E1851">
        <f>O1851=ROUND(1840*0.1,10)</f>
        <v/>
      </c>
      <c r="F1851">
        <f>P1851=ROUND(1840*0.2,10)</f>
        <v/>
      </c>
      <c r="G1851">
        <f>Q1851=ROUND(1840*0.3,10)</f>
        <v/>
      </c>
      <c r="H1851">
        <f>R1851=ROUND(1840*0.05,10)</f>
        <v/>
      </c>
      <c r="I1851">
        <f>S1851=ROUND(1840*0.01,10)</f>
        <v/>
      </c>
      <c r="J1851">
        <f>T1851=ROUND(1840*0.7,10)</f>
        <v/>
      </c>
      <c r="K1851">
        <f>U1851=ROUND(1840*1.1,10)</f>
        <v/>
      </c>
      <c r="L1851">
        <f>V1851=ROUND(1840*0.25,10)</f>
        <v/>
      </c>
      <c r="M1851">
        <f>W1851=ROUND(1840*0.5,10)</f>
        <v/>
      </c>
      <c r="O1851">
        <f>O1850+0.1</f>
        <v/>
      </c>
      <c r="P1851">
        <f>P1850+0.2</f>
        <v/>
      </c>
      <c r="Q1851">
        <f>Q1850+0.3</f>
        <v/>
      </c>
      <c r="R1851">
        <f>R1850+0.05</f>
        <v/>
      </c>
      <c r="S1851">
        <f>S1850+0.01</f>
        <v/>
      </c>
      <c r="T1851">
        <f>T1850+0.7</f>
        <v/>
      </c>
      <c r="U1851">
        <f>U1850+1.1</f>
        <v/>
      </c>
      <c r="V1851">
        <f>V1850+0.25</f>
        <v/>
      </c>
      <c r="W1851">
        <f>W1850+0.5</f>
        <v/>
      </c>
    </row>
    <row r="1852">
      <c r="E1852">
        <f>O1852=ROUND(1841*0.1,10)</f>
        <v/>
      </c>
      <c r="F1852">
        <f>P1852=ROUND(1841*0.2,10)</f>
        <v/>
      </c>
      <c r="G1852">
        <f>Q1852=ROUND(1841*0.3,10)</f>
        <v/>
      </c>
      <c r="H1852">
        <f>R1852=ROUND(1841*0.05,10)</f>
        <v/>
      </c>
      <c r="I1852">
        <f>S1852=ROUND(1841*0.01,10)</f>
        <v/>
      </c>
      <c r="J1852">
        <f>T1852=ROUND(1841*0.7,10)</f>
        <v/>
      </c>
      <c r="K1852">
        <f>U1852=ROUND(1841*1.1,10)</f>
        <v/>
      </c>
      <c r="L1852">
        <f>V1852=ROUND(1841*0.25,10)</f>
        <v/>
      </c>
      <c r="M1852">
        <f>W1852=ROUND(1841*0.5,10)</f>
        <v/>
      </c>
      <c r="O1852">
        <f>O1851+0.1</f>
        <v/>
      </c>
      <c r="P1852">
        <f>P1851+0.2</f>
        <v/>
      </c>
      <c r="Q1852">
        <f>Q1851+0.3</f>
        <v/>
      </c>
      <c r="R1852">
        <f>R1851+0.05</f>
        <v/>
      </c>
      <c r="S1852">
        <f>S1851+0.01</f>
        <v/>
      </c>
      <c r="T1852">
        <f>T1851+0.7</f>
        <v/>
      </c>
      <c r="U1852">
        <f>U1851+1.1</f>
        <v/>
      </c>
      <c r="V1852">
        <f>V1851+0.25</f>
        <v/>
      </c>
      <c r="W1852">
        <f>W1851+0.5</f>
        <v/>
      </c>
    </row>
    <row r="1853">
      <c r="E1853">
        <f>O1853=ROUND(1842*0.1,10)</f>
        <v/>
      </c>
      <c r="F1853">
        <f>P1853=ROUND(1842*0.2,10)</f>
        <v/>
      </c>
      <c r="G1853">
        <f>Q1853=ROUND(1842*0.3,10)</f>
        <v/>
      </c>
      <c r="H1853">
        <f>R1853=ROUND(1842*0.05,10)</f>
        <v/>
      </c>
      <c r="I1853">
        <f>S1853=ROUND(1842*0.01,10)</f>
        <v/>
      </c>
      <c r="J1853">
        <f>T1853=ROUND(1842*0.7,10)</f>
        <v/>
      </c>
      <c r="K1853">
        <f>U1853=ROUND(1842*1.1,10)</f>
        <v/>
      </c>
      <c r="L1853">
        <f>V1853=ROUND(1842*0.25,10)</f>
        <v/>
      </c>
      <c r="M1853">
        <f>W1853=ROUND(1842*0.5,10)</f>
        <v/>
      </c>
      <c r="O1853">
        <f>O1852+0.1</f>
        <v/>
      </c>
      <c r="P1853">
        <f>P1852+0.2</f>
        <v/>
      </c>
      <c r="Q1853">
        <f>Q1852+0.3</f>
        <v/>
      </c>
      <c r="R1853">
        <f>R1852+0.05</f>
        <v/>
      </c>
      <c r="S1853">
        <f>S1852+0.01</f>
        <v/>
      </c>
      <c r="T1853">
        <f>T1852+0.7</f>
        <v/>
      </c>
      <c r="U1853">
        <f>U1852+1.1</f>
        <v/>
      </c>
      <c r="V1853">
        <f>V1852+0.25</f>
        <v/>
      </c>
      <c r="W1853">
        <f>W1852+0.5</f>
        <v/>
      </c>
    </row>
    <row r="1854">
      <c r="E1854">
        <f>O1854=ROUND(1843*0.1,10)</f>
        <v/>
      </c>
      <c r="F1854">
        <f>P1854=ROUND(1843*0.2,10)</f>
        <v/>
      </c>
      <c r="G1854">
        <f>Q1854=ROUND(1843*0.3,10)</f>
        <v/>
      </c>
      <c r="H1854">
        <f>R1854=ROUND(1843*0.05,10)</f>
        <v/>
      </c>
      <c r="I1854">
        <f>S1854=ROUND(1843*0.01,10)</f>
        <v/>
      </c>
      <c r="J1854">
        <f>T1854=ROUND(1843*0.7,10)</f>
        <v/>
      </c>
      <c r="K1854">
        <f>U1854=ROUND(1843*1.1,10)</f>
        <v/>
      </c>
      <c r="L1854">
        <f>V1854=ROUND(1843*0.25,10)</f>
        <v/>
      </c>
      <c r="M1854">
        <f>W1854=ROUND(1843*0.5,10)</f>
        <v/>
      </c>
      <c r="O1854">
        <f>O1853+0.1</f>
        <v/>
      </c>
      <c r="P1854">
        <f>P1853+0.2</f>
        <v/>
      </c>
      <c r="Q1854">
        <f>Q1853+0.3</f>
        <v/>
      </c>
      <c r="R1854">
        <f>R1853+0.05</f>
        <v/>
      </c>
      <c r="S1854">
        <f>S1853+0.01</f>
        <v/>
      </c>
      <c r="T1854">
        <f>T1853+0.7</f>
        <v/>
      </c>
      <c r="U1854">
        <f>U1853+1.1</f>
        <v/>
      </c>
      <c r="V1854">
        <f>V1853+0.25</f>
        <v/>
      </c>
      <c r="W1854">
        <f>W1853+0.5</f>
        <v/>
      </c>
    </row>
    <row r="1855">
      <c r="E1855">
        <f>O1855=ROUND(1844*0.1,10)</f>
        <v/>
      </c>
      <c r="F1855">
        <f>P1855=ROUND(1844*0.2,10)</f>
        <v/>
      </c>
      <c r="G1855">
        <f>Q1855=ROUND(1844*0.3,10)</f>
        <v/>
      </c>
      <c r="H1855">
        <f>R1855=ROUND(1844*0.05,10)</f>
        <v/>
      </c>
      <c r="I1855">
        <f>S1855=ROUND(1844*0.01,10)</f>
        <v/>
      </c>
      <c r="J1855">
        <f>T1855=ROUND(1844*0.7,10)</f>
        <v/>
      </c>
      <c r="K1855">
        <f>U1855=ROUND(1844*1.1,10)</f>
        <v/>
      </c>
      <c r="L1855">
        <f>V1855=ROUND(1844*0.25,10)</f>
        <v/>
      </c>
      <c r="M1855">
        <f>W1855=ROUND(1844*0.5,10)</f>
        <v/>
      </c>
      <c r="O1855">
        <f>O1854+0.1</f>
        <v/>
      </c>
      <c r="P1855">
        <f>P1854+0.2</f>
        <v/>
      </c>
      <c r="Q1855">
        <f>Q1854+0.3</f>
        <v/>
      </c>
      <c r="R1855">
        <f>R1854+0.05</f>
        <v/>
      </c>
      <c r="S1855">
        <f>S1854+0.01</f>
        <v/>
      </c>
      <c r="T1855">
        <f>T1854+0.7</f>
        <v/>
      </c>
      <c r="U1855">
        <f>U1854+1.1</f>
        <v/>
      </c>
      <c r="V1855">
        <f>V1854+0.25</f>
        <v/>
      </c>
      <c r="W1855">
        <f>W1854+0.5</f>
        <v/>
      </c>
    </row>
    <row r="1856">
      <c r="E1856">
        <f>O1856=ROUND(1845*0.1,10)</f>
        <v/>
      </c>
      <c r="F1856">
        <f>P1856=ROUND(1845*0.2,10)</f>
        <v/>
      </c>
      <c r="G1856">
        <f>Q1856=ROUND(1845*0.3,10)</f>
        <v/>
      </c>
      <c r="H1856">
        <f>R1856=ROUND(1845*0.05,10)</f>
        <v/>
      </c>
      <c r="I1856">
        <f>S1856=ROUND(1845*0.01,10)</f>
        <v/>
      </c>
      <c r="J1856">
        <f>T1856=ROUND(1845*0.7,10)</f>
        <v/>
      </c>
      <c r="K1856">
        <f>U1856=ROUND(1845*1.1,10)</f>
        <v/>
      </c>
      <c r="L1856">
        <f>V1856=ROUND(1845*0.25,10)</f>
        <v/>
      </c>
      <c r="M1856">
        <f>W1856=ROUND(1845*0.5,10)</f>
        <v/>
      </c>
      <c r="O1856">
        <f>O1855+0.1</f>
        <v/>
      </c>
      <c r="P1856">
        <f>P1855+0.2</f>
        <v/>
      </c>
      <c r="Q1856">
        <f>Q1855+0.3</f>
        <v/>
      </c>
      <c r="R1856">
        <f>R1855+0.05</f>
        <v/>
      </c>
      <c r="S1856">
        <f>S1855+0.01</f>
        <v/>
      </c>
      <c r="T1856">
        <f>T1855+0.7</f>
        <v/>
      </c>
      <c r="U1856">
        <f>U1855+1.1</f>
        <v/>
      </c>
      <c r="V1856">
        <f>V1855+0.25</f>
        <v/>
      </c>
      <c r="W1856">
        <f>W1855+0.5</f>
        <v/>
      </c>
    </row>
    <row r="1857">
      <c r="E1857">
        <f>O1857=ROUND(1846*0.1,10)</f>
        <v/>
      </c>
      <c r="F1857">
        <f>P1857=ROUND(1846*0.2,10)</f>
        <v/>
      </c>
      <c r="G1857">
        <f>Q1857=ROUND(1846*0.3,10)</f>
        <v/>
      </c>
      <c r="H1857">
        <f>R1857=ROUND(1846*0.05,10)</f>
        <v/>
      </c>
      <c r="I1857">
        <f>S1857=ROUND(1846*0.01,10)</f>
        <v/>
      </c>
      <c r="J1857">
        <f>T1857=ROUND(1846*0.7,10)</f>
        <v/>
      </c>
      <c r="K1857">
        <f>U1857=ROUND(1846*1.1,10)</f>
        <v/>
      </c>
      <c r="L1857">
        <f>V1857=ROUND(1846*0.25,10)</f>
        <v/>
      </c>
      <c r="M1857">
        <f>W1857=ROUND(1846*0.5,10)</f>
        <v/>
      </c>
      <c r="O1857">
        <f>O1856+0.1</f>
        <v/>
      </c>
      <c r="P1857">
        <f>P1856+0.2</f>
        <v/>
      </c>
      <c r="Q1857">
        <f>Q1856+0.3</f>
        <v/>
      </c>
      <c r="R1857">
        <f>R1856+0.05</f>
        <v/>
      </c>
      <c r="S1857">
        <f>S1856+0.01</f>
        <v/>
      </c>
      <c r="T1857">
        <f>T1856+0.7</f>
        <v/>
      </c>
      <c r="U1857">
        <f>U1856+1.1</f>
        <v/>
      </c>
      <c r="V1857">
        <f>V1856+0.25</f>
        <v/>
      </c>
      <c r="W1857">
        <f>W1856+0.5</f>
        <v/>
      </c>
    </row>
    <row r="1858">
      <c r="E1858">
        <f>O1858=ROUND(1847*0.1,10)</f>
        <v/>
      </c>
      <c r="F1858">
        <f>P1858=ROUND(1847*0.2,10)</f>
        <v/>
      </c>
      <c r="G1858">
        <f>Q1858=ROUND(1847*0.3,10)</f>
        <v/>
      </c>
      <c r="H1858">
        <f>R1858=ROUND(1847*0.05,10)</f>
        <v/>
      </c>
      <c r="I1858">
        <f>S1858=ROUND(1847*0.01,10)</f>
        <v/>
      </c>
      <c r="J1858">
        <f>T1858=ROUND(1847*0.7,10)</f>
        <v/>
      </c>
      <c r="K1858">
        <f>U1858=ROUND(1847*1.1,10)</f>
        <v/>
      </c>
      <c r="L1858">
        <f>V1858=ROUND(1847*0.25,10)</f>
        <v/>
      </c>
      <c r="M1858">
        <f>W1858=ROUND(1847*0.5,10)</f>
        <v/>
      </c>
      <c r="O1858">
        <f>O1857+0.1</f>
        <v/>
      </c>
      <c r="P1858">
        <f>P1857+0.2</f>
        <v/>
      </c>
      <c r="Q1858">
        <f>Q1857+0.3</f>
        <v/>
      </c>
      <c r="R1858">
        <f>R1857+0.05</f>
        <v/>
      </c>
      <c r="S1858">
        <f>S1857+0.01</f>
        <v/>
      </c>
      <c r="T1858">
        <f>T1857+0.7</f>
        <v/>
      </c>
      <c r="U1858">
        <f>U1857+1.1</f>
        <v/>
      </c>
      <c r="V1858">
        <f>V1857+0.25</f>
        <v/>
      </c>
      <c r="W1858">
        <f>W1857+0.5</f>
        <v/>
      </c>
    </row>
    <row r="1859">
      <c r="E1859">
        <f>O1859=ROUND(1848*0.1,10)</f>
        <v/>
      </c>
      <c r="F1859">
        <f>P1859=ROUND(1848*0.2,10)</f>
        <v/>
      </c>
      <c r="G1859">
        <f>Q1859=ROUND(1848*0.3,10)</f>
        <v/>
      </c>
      <c r="H1859">
        <f>R1859=ROUND(1848*0.05,10)</f>
        <v/>
      </c>
      <c r="I1859">
        <f>S1859=ROUND(1848*0.01,10)</f>
        <v/>
      </c>
      <c r="J1859">
        <f>T1859=ROUND(1848*0.7,10)</f>
        <v/>
      </c>
      <c r="K1859">
        <f>U1859=ROUND(1848*1.1,10)</f>
        <v/>
      </c>
      <c r="L1859">
        <f>V1859=ROUND(1848*0.25,10)</f>
        <v/>
      </c>
      <c r="M1859">
        <f>W1859=ROUND(1848*0.5,10)</f>
        <v/>
      </c>
      <c r="O1859">
        <f>O1858+0.1</f>
        <v/>
      </c>
      <c r="P1859">
        <f>P1858+0.2</f>
        <v/>
      </c>
      <c r="Q1859">
        <f>Q1858+0.3</f>
        <v/>
      </c>
      <c r="R1859">
        <f>R1858+0.05</f>
        <v/>
      </c>
      <c r="S1859">
        <f>S1858+0.01</f>
        <v/>
      </c>
      <c r="T1859">
        <f>T1858+0.7</f>
        <v/>
      </c>
      <c r="U1859">
        <f>U1858+1.1</f>
        <v/>
      </c>
      <c r="V1859">
        <f>V1858+0.25</f>
        <v/>
      </c>
      <c r="W1859">
        <f>W1858+0.5</f>
        <v/>
      </c>
    </row>
    <row r="1860">
      <c r="E1860">
        <f>O1860=ROUND(1849*0.1,10)</f>
        <v/>
      </c>
      <c r="F1860">
        <f>P1860=ROUND(1849*0.2,10)</f>
        <v/>
      </c>
      <c r="G1860">
        <f>Q1860=ROUND(1849*0.3,10)</f>
        <v/>
      </c>
      <c r="H1860">
        <f>R1860=ROUND(1849*0.05,10)</f>
        <v/>
      </c>
      <c r="I1860">
        <f>S1860=ROUND(1849*0.01,10)</f>
        <v/>
      </c>
      <c r="J1860">
        <f>T1860=ROUND(1849*0.7,10)</f>
        <v/>
      </c>
      <c r="K1860">
        <f>U1860=ROUND(1849*1.1,10)</f>
        <v/>
      </c>
      <c r="L1860">
        <f>V1860=ROUND(1849*0.25,10)</f>
        <v/>
      </c>
      <c r="M1860">
        <f>W1860=ROUND(1849*0.5,10)</f>
        <v/>
      </c>
      <c r="O1860">
        <f>O1859+0.1</f>
        <v/>
      </c>
      <c r="P1860">
        <f>P1859+0.2</f>
        <v/>
      </c>
      <c r="Q1860">
        <f>Q1859+0.3</f>
        <v/>
      </c>
      <c r="R1860">
        <f>R1859+0.05</f>
        <v/>
      </c>
      <c r="S1860">
        <f>S1859+0.01</f>
        <v/>
      </c>
      <c r="T1860">
        <f>T1859+0.7</f>
        <v/>
      </c>
      <c r="U1860">
        <f>U1859+1.1</f>
        <v/>
      </c>
      <c r="V1860">
        <f>V1859+0.25</f>
        <v/>
      </c>
      <c r="W1860">
        <f>W1859+0.5</f>
        <v/>
      </c>
    </row>
    <row r="1861">
      <c r="E1861">
        <f>O1861=ROUND(1850*0.1,10)</f>
        <v/>
      </c>
      <c r="F1861">
        <f>P1861=ROUND(1850*0.2,10)</f>
        <v/>
      </c>
      <c r="G1861">
        <f>Q1861=ROUND(1850*0.3,10)</f>
        <v/>
      </c>
      <c r="H1861">
        <f>R1861=ROUND(1850*0.05,10)</f>
        <v/>
      </c>
      <c r="I1861">
        <f>S1861=ROUND(1850*0.01,10)</f>
        <v/>
      </c>
      <c r="J1861">
        <f>T1861=ROUND(1850*0.7,10)</f>
        <v/>
      </c>
      <c r="K1861">
        <f>U1861=ROUND(1850*1.1,10)</f>
        <v/>
      </c>
      <c r="L1861">
        <f>V1861=ROUND(1850*0.25,10)</f>
        <v/>
      </c>
      <c r="M1861">
        <f>W1861=ROUND(1850*0.5,10)</f>
        <v/>
      </c>
      <c r="O1861">
        <f>O1860+0.1</f>
        <v/>
      </c>
      <c r="P1861">
        <f>P1860+0.2</f>
        <v/>
      </c>
      <c r="Q1861">
        <f>Q1860+0.3</f>
        <v/>
      </c>
      <c r="R1861">
        <f>R1860+0.05</f>
        <v/>
      </c>
      <c r="S1861">
        <f>S1860+0.01</f>
        <v/>
      </c>
      <c r="T1861">
        <f>T1860+0.7</f>
        <v/>
      </c>
      <c r="U1861">
        <f>U1860+1.1</f>
        <v/>
      </c>
      <c r="V1861">
        <f>V1860+0.25</f>
        <v/>
      </c>
      <c r="W1861">
        <f>W1860+0.5</f>
        <v/>
      </c>
    </row>
    <row r="1862">
      <c r="E1862">
        <f>O1862=ROUND(1851*0.1,10)</f>
        <v/>
      </c>
      <c r="F1862">
        <f>P1862=ROUND(1851*0.2,10)</f>
        <v/>
      </c>
      <c r="G1862">
        <f>Q1862=ROUND(1851*0.3,10)</f>
        <v/>
      </c>
      <c r="H1862">
        <f>R1862=ROUND(1851*0.05,10)</f>
        <v/>
      </c>
      <c r="I1862">
        <f>S1862=ROUND(1851*0.01,10)</f>
        <v/>
      </c>
      <c r="J1862">
        <f>T1862=ROUND(1851*0.7,10)</f>
        <v/>
      </c>
      <c r="K1862">
        <f>U1862=ROUND(1851*1.1,10)</f>
        <v/>
      </c>
      <c r="L1862">
        <f>V1862=ROUND(1851*0.25,10)</f>
        <v/>
      </c>
      <c r="M1862">
        <f>W1862=ROUND(1851*0.5,10)</f>
        <v/>
      </c>
      <c r="O1862">
        <f>O1861+0.1</f>
        <v/>
      </c>
      <c r="P1862">
        <f>P1861+0.2</f>
        <v/>
      </c>
      <c r="Q1862">
        <f>Q1861+0.3</f>
        <v/>
      </c>
      <c r="R1862">
        <f>R1861+0.05</f>
        <v/>
      </c>
      <c r="S1862">
        <f>S1861+0.01</f>
        <v/>
      </c>
      <c r="T1862">
        <f>T1861+0.7</f>
        <v/>
      </c>
      <c r="U1862">
        <f>U1861+1.1</f>
        <v/>
      </c>
      <c r="V1862">
        <f>V1861+0.25</f>
        <v/>
      </c>
      <c r="W1862">
        <f>W1861+0.5</f>
        <v/>
      </c>
    </row>
    <row r="1863">
      <c r="E1863">
        <f>O1863=ROUND(1852*0.1,10)</f>
        <v/>
      </c>
      <c r="F1863">
        <f>P1863=ROUND(1852*0.2,10)</f>
        <v/>
      </c>
      <c r="G1863">
        <f>Q1863=ROUND(1852*0.3,10)</f>
        <v/>
      </c>
      <c r="H1863">
        <f>R1863=ROUND(1852*0.05,10)</f>
        <v/>
      </c>
      <c r="I1863">
        <f>S1863=ROUND(1852*0.01,10)</f>
        <v/>
      </c>
      <c r="J1863">
        <f>T1863=ROUND(1852*0.7,10)</f>
        <v/>
      </c>
      <c r="K1863">
        <f>U1863=ROUND(1852*1.1,10)</f>
        <v/>
      </c>
      <c r="L1863">
        <f>V1863=ROUND(1852*0.25,10)</f>
        <v/>
      </c>
      <c r="M1863">
        <f>W1863=ROUND(1852*0.5,10)</f>
        <v/>
      </c>
      <c r="O1863">
        <f>O1862+0.1</f>
        <v/>
      </c>
      <c r="P1863">
        <f>P1862+0.2</f>
        <v/>
      </c>
      <c r="Q1863">
        <f>Q1862+0.3</f>
        <v/>
      </c>
      <c r="R1863">
        <f>R1862+0.05</f>
        <v/>
      </c>
      <c r="S1863">
        <f>S1862+0.01</f>
        <v/>
      </c>
      <c r="T1863">
        <f>T1862+0.7</f>
        <v/>
      </c>
      <c r="U1863">
        <f>U1862+1.1</f>
        <v/>
      </c>
      <c r="V1863">
        <f>V1862+0.25</f>
        <v/>
      </c>
      <c r="W1863">
        <f>W1862+0.5</f>
        <v/>
      </c>
    </row>
    <row r="1864">
      <c r="E1864">
        <f>O1864=ROUND(1853*0.1,10)</f>
        <v/>
      </c>
      <c r="F1864">
        <f>P1864=ROUND(1853*0.2,10)</f>
        <v/>
      </c>
      <c r="G1864">
        <f>Q1864=ROUND(1853*0.3,10)</f>
        <v/>
      </c>
      <c r="H1864">
        <f>R1864=ROUND(1853*0.05,10)</f>
        <v/>
      </c>
      <c r="I1864">
        <f>S1864=ROUND(1853*0.01,10)</f>
        <v/>
      </c>
      <c r="J1864">
        <f>T1864=ROUND(1853*0.7,10)</f>
        <v/>
      </c>
      <c r="K1864">
        <f>U1864=ROUND(1853*1.1,10)</f>
        <v/>
      </c>
      <c r="L1864">
        <f>V1864=ROUND(1853*0.25,10)</f>
        <v/>
      </c>
      <c r="M1864">
        <f>W1864=ROUND(1853*0.5,10)</f>
        <v/>
      </c>
      <c r="O1864">
        <f>O1863+0.1</f>
        <v/>
      </c>
      <c r="P1864">
        <f>P1863+0.2</f>
        <v/>
      </c>
      <c r="Q1864">
        <f>Q1863+0.3</f>
        <v/>
      </c>
      <c r="R1864">
        <f>R1863+0.05</f>
        <v/>
      </c>
      <c r="S1864">
        <f>S1863+0.01</f>
        <v/>
      </c>
      <c r="T1864">
        <f>T1863+0.7</f>
        <v/>
      </c>
      <c r="U1864">
        <f>U1863+1.1</f>
        <v/>
      </c>
      <c r="V1864">
        <f>V1863+0.25</f>
        <v/>
      </c>
      <c r="W1864">
        <f>W1863+0.5</f>
        <v/>
      </c>
    </row>
    <row r="1865">
      <c r="E1865">
        <f>O1865=ROUND(1854*0.1,10)</f>
        <v/>
      </c>
      <c r="F1865">
        <f>P1865=ROUND(1854*0.2,10)</f>
        <v/>
      </c>
      <c r="G1865">
        <f>Q1865=ROUND(1854*0.3,10)</f>
        <v/>
      </c>
      <c r="H1865">
        <f>R1865=ROUND(1854*0.05,10)</f>
        <v/>
      </c>
      <c r="I1865">
        <f>S1865=ROUND(1854*0.01,10)</f>
        <v/>
      </c>
      <c r="J1865">
        <f>T1865=ROUND(1854*0.7,10)</f>
        <v/>
      </c>
      <c r="K1865">
        <f>U1865=ROUND(1854*1.1,10)</f>
        <v/>
      </c>
      <c r="L1865">
        <f>V1865=ROUND(1854*0.25,10)</f>
        <v/>
      </c>
      <c r="M1865">
        <f>W1865=ROUND(1854*0.5,10)</f>
        <v/>
      </c>
      <c r="O1865">
        <f>O1864+0.1</f>
        <v/>
      </c>
      <c r="P1865">
        <f>P1864+0.2</f>
        <v/>
      </c>
      <c r="Q1865">
        <f>Q1864+0.3</f>
        <v/>
      </c>
      <c r="R1865">
        <f>R1864+0.05</f>
        <v/>
      </c>
      <c r="S1865">
        <f>S1864+0.01</f>
        <v/>
      </c>
      <c r="T1865">
        <f>T1864+0.7</f>
        <v/>
      </c>
      <c r="U1865">
        <f>U1864+1.1</f>
        <v/>
      </c>
      <c r="V1865">
        <f>V1864+0.25</f>
        <v/>
      </c>
      <c r="W1865">
        <f>W1864+0.5</f>
        <v/>
      </c>
    </row>
    <row r="1866">
      <c r="E1866">
        <f>O1866=ROUND(1855*0.1,10)</f>
        <v/>
      </c>
      <c r="F1866">
        <f>P1866=ROUND(1855*0.2,10)</f>
        <v/>
      </c>
      <c r="G1866">
        <f>Q1866=ROUND(1855*0.3,10)</f>
        <v/>
      </c>
      <c r="H1866">
        <f>R1866=ROUND(1855*0.05,10)</f>
        <v/>
      </c>
      <c r="I1866">
        <f>S1866=ROUND(1855*0.01,10)</f>
        <v/>
      </c>
      <c r="J1866">
        <f>T1866=ROUND(1855*0.7,10)</f>
        <v/>
      </c>
      <c r="K1866">
        <f>U1866=ROUND(1855*1.1,10)</f>
        <v/>
      </c>
      <c r="L1866">
        <f>V1866=ROUND(1855*0.25,10)</f>
        <v/>
      </c>
      <c r="M1866">
        <f>W1866=ROUND(1855*0.5,10)</f>
        <v/>
      </c>
      <c r="O1866">
        <f>O1865+0.1</f>
        <v/>
      </c>
      <c r="P1866">
        <f>P1865+0.2</f>
        <v/>
      </c>
      <c r="Q1866">
        <f>Q1865+0.3</f>
        <v/>
      </c>
      <c r="R1866">
        <f>R1865+0.05</f>
        <v/>
      </c>
      <c r="S1866">
        <f>S1865+0.01</f>
        <v/>
      </c>
      <c r="T1866">
        <f>T1865+0.7</f>
        <v/>
      </c>
      <c r="U1866">
        <f>U1865+1.1</f>
        <v/>
      </c>
      <c r="V1866">
        <f>V1865+0.25</f>
        <v/>
      </c>
      <c r="W1866">
        <f>W1865+0.5</f>
        <v/>
      </c>
    </row>
    <row r="1867">
      <c r="E1867">
        <f>O1867=ROUND(1856*0.1,10)</f>
        <v/>
      </c>
      <c r="F1867">
        <f>P1867=ROUND(1856*0.2,10)</f>
        <v/>
      </c>
      <c r="G1867">
        <f>Q1867=ROUND(1856*0.3,10)</f>
        <v/>
      </c>
      <c r="H1867">
        <f>R1867=ROUND(1856*0.05,10)</f>
        <v/>
      </c>
      <c r="I1867">
        <f>S1867=ROUND(1856*0.01,10)</f>
        <v/>
      </c>
      <c r="J1867">
        <f>T1867=ROUND(1856*0.7,10)</f>
        <v/>
      </c>
      <c r="K1867">
        <f>U1867=ROUND(1856*1.1,10)</f>
        <v/>
      </c>
      <c r="L1867">
        <f>V1867=ROUND(1856*0.25,10)</f>
        <v/>
      </c>
      <c r="M1867">
        <f>W1867=ROUND(1856*0.5,10)</f>
        <v/>
      </c>
      <c r="O1867">
        <f>O1866+0.1</f>
        <v/>
      </c>
      <c r="P1867">
        <f>P1866+0.2</f>
        <v/>
      </c>
      <c r="Q1867">
        <f>Q1866+0.3</f>
        <v/>
      </c>
      <c r="R1867">
        <f>R1866+0.05</f>
        <v/>
      </c>
      <c r="S1867">
        <f>S1866+0.01</f>
        <v/>
      </c>
      <c r="T1867">
        <f>T1866+0.7</f>
        <v/>
      </c>
      <c r="U1867">
        <f>U1866+1.1</f>
        <v/>
      </c>
      <c r="V1867">
        <f>V1866+0.25</f>
        <v/>
      </c>
      <c r="W1867">
        <f>W1866+0.5</f>
        <v/>
      </c>
    </row>
    <row r="1868">
      <c r="E1868">
        <f>O1868=ROUND(1857*0.1,10)</f>
        <v/>
      </c>
      <c r="F1868">
        <f>P1868=ROUND(1857*0.2,10)</f>
        <v/>
      </c>
      <c r="G1868">
        <f>Q1868=ROUND(1857*0.3,10)</f>
        <v/>
      </c>
      <c r="H1868">
        <f>R1868=ROUND(1857*0.05,10)</f>
        <v/>
      </c>
      <c r="I1868">
        <f>S1868=ROUND(1857*0.01,10)</f>
        <v/>
      </c>
      <c r="J1868">
        <f>T1868=ROUND(1857*0.7,10)</f>
        <v/>
      </c>
      <c r="K1868">
        <f>U1868=ROUND(1857*1.1,10)</f>
        <v/>
      </c>
      <c r="L1868">
        <f>V1868=ROUND(1857*0.25,10)</f>
        <v/>
      </c>
      <c r="M1868">
        <f>W1868=ROUND(1857*0.5,10)</f>
        <v/>
      </c>
      <c r="O1868">
        <f>O1867+0.1</f>
        <v/>
      </c>
      <c r="P1868">
        <f>P1867+0.2</f>
        <v/>
      </c>
      <c r="Q1868">
        <f>Q1867+0.3</f>
        <v/>
      </c>
      <c r="R1868">
        <f>R1867+0.05</f>
        <v/>
      </c>
      <c r="S1868">
        <f>S1867+0.01</f>
        <v/>
      </c>
      <c r="T1868">
        <f>T1867+0.7</f>
        <v/>
      </c>
      <c r="U1868">
        <f>U1867+1.1</f>
        <v/>
      </c>
      <c r="V1868">
        <f>V1867+0.25</f>
        <v/>
      </c>
      <c r="W1868">
        <f>W1867+0.5</f>
        <v/>
      </c>
    </row>
    <row r="1869">
      <c r="E1869">
        <f>O1869=ROUND(1858*0.1,10)</f>
        <v/>
      </c>
      <c r="F1869">
        <f>P1869=ROUND(1858*0.2,10)</f>
        <v/>
      </c>
      <c r="G1869">
        <f>Q1869=ROUND(1858*0.3,10)</f>
        <v/>
      </c>
      <c r="H1869">
        <f>R1869=ROUND(1858*0.05,10)</f>
        <v/>
      </c>
      <c r="I1869">
        <f>S1869=ROUND(1858*0.01,10)</f>
        <v/>
      </c>
      <c r="J1869">
        <f>T1869=ROUND(1858*0.7,10)</f>
        <v/>
      </c>
      <c r="K1869">
        <f>U1869=ROUND(1858*1.1,10)</f>
        <v/>
      </c>
      <c r="L1869">
        <f>V1869=ROUND(1858*0.25,10)</f>
        <v/>
      </c>
      <c r="M1869">
        <f>W1869=ROUND(1858*0.5,10)</f>
        <v/>
      </c>
      <c r="O1869">
        <f>O1868+0.1</f>
        <v/>
      </c>
      <c r="P1869">
        <f>P1868+0.2</f>
        <v/>
      </c>
      <c r="Q1869">
        <f>Q1868+0.3</f>
        <v/>
      </c>
      <c r="R1869">
        <f>R1868+0.05</f>
        <v/>
      </c>
      <c r="S1869">
        <f>S1868+0.01</f>
        <v/>
      </c>
      <c r="T1869">
        <f>T1868+0.7</f>
        <v/>
      </c>
      <c r="U1869">
        <f>U1868+1.1</f>
        <v/>
      </c>
      <c r="V1869">
        <f>V1868+0.25</f>
        <v/>
      </c>
      <c r="W1869">
        <f>W1868+0.5</f>
        <v/>
      </c>
    </row>
    <row r="1870">
      <c r="E1870">
        <f>O1870=ROUND(1859*0.1,10)</f>
        <v/>
      </c>
      <c r="F1870">
        <f>P1870=ROUND(1859*0.2,10)</f>
        <v/>
      </c>
      <c r="G1870">
        <f>Q1870=ROUND(1859*0.3,10)</f>
        <v/>
      </c>
      <c r="H1870">
        <f>R1870=ROUND(1859*0.05,10)</f>
        <v/>
      </c>
      <c r="I1870">
        <f>S1870=ROUND(1859*0.01,10)</f>
        <v/>
      </c>
      <c r="J1870">
        <f>T1870=ROUND(1859*0.7,10)</f>
        <v/>
      </c>
      <c r="K1870">
        <f>U1870=ROUND(1859*1.1,10)</f>
        <v/>
      </c>
      <c r="L1870">
        <f>V1870=ROUND(1859*0.25,10)</f>
        <v/>
      </c>
      <c r="M1870">
        <f>W1870=ROUND(1859*0.5,10)</f>
        <v/>
      </c>
      <c r="O1870">
        <f>O1869+0.1</f>
        <v/>
      </c>
      <c r="P1870">
        <f>P1869+0.2</f>
        <v/>
      </c>
      <c r="Q1870">
        <f>Q1869+0.3</f>
        <v/>
      </c>
      <c r="R1870">
        <f>R1869+0.05</f>
        <v/>
      </c>
      <c r="S1870">
        <f>S1869+0.01</f>
        <v/>
      </c>
      <c r="T1870">
        <f>T1869+0.7</f>
        <v/>
      </c>
      <c r="U1870">
        <f>U1869+1.1</f>
        <v/>
      </c>
      <c r="V1870">
        <f>V1869+0.25</f>
        <v/>
      </c>
      <c r="W1870">
        <f>W1869+0.5</f>
        <v/>
      </c>
    </row>
    <row r="1871">
      <c r="E1871">
        <f>O1871=ROUND(1860*0.1,10)</f>
        <v/>
      </c>
      <c r="F1871">
        <f>P1871=ROUND(1860*0.2,10)</f>
        <v/>
      </c>
      <c r="G1871">
        <f>Q1871=ROUND(1860*0.3,10)</f>
        <v/>
      </c>
      <c r="H1871">
        <f>R1871=ROUND(1860*0.05,10)</f>
        <v/>
      </c>
      <c r="I1871">
        <f>S1871=ROUND(1860*0.01,10)</f>
        <v/>
      </c>
      <c r="J1871">
        <f>T1871=ROUND(1860*0.7,10)</f>
        <v/>
      </c>
      <c r="K1871">
        <f>U1871=ROUND(1860*1.1,10)</f>
        <v/>
      </c>
      <c r="L1871">
        <f>V1871=ROUND(1860*0.25,10)</f>
        <v/>
      </c>
      <c r="M1871">
        <f>W1871=ROUND(1860*0.5,10)</f>
        <v/>
      </c>
      <c r="O1871">
        <f>O1870+0.1</f>
        <v/>
      </c>
      <c r="P1871">
        <f>P1870+0.2</f>
        <v/>
      </c>
      <c r="Q1871">
        <f>Q1870+0.3</f>
        <v/>
      </c>
      <c r="R1871">
        <f>R1870+0.05</f>
        <v/>
      </c>
      <c r="S1871">
        <f>S1870+0.01</f>
        <v/>
      </c>
      <c r="T1871">
        <f>T1870+0.7</f>
        <v/>
      </c>
      <c r="U1871">
        <f>U1870+1.1</f>
        <v/>
      </c>
      <c r="V1871">
        <f>V1870+0.25</f>
        <v/>
      </c>
      <c r="W1871">
        <f>W1870+0.5</f>
        <v/>
      </c>
    </row>
    <row r="1872">
      <c r="E1872">
        <f>O1872=ROUND(1861*0.1,10)</f>
        <v/>
      </c>
      <c r="F1872">
        <f>P1872=ROUND(1861*0.2,10)</f>
        <v/>
      </c>
      <c r="G1872">
        <f>Q1872=ROUND(1861*0.3,10)</f>
        <v/>
      </c>
      <c r="H1872">
        <f>R1872=ROUND(1861*0.05,10)</f>
        <v/>
      </c>
      <c r="I1872">
        <f>S1872=ROUND(1861*0.01,10)</f>
        <v/>
      </c>
      <c r="J1872">
        <f>T1872=ROUND(1861*0.7,10)</f>
        <v/>
      </c>
      <c r="K1872">
        <f>U1872=ROUND(1861*1.1,10)</f>
        <v/>
      </c>
      <c r="L1872">
        <f>V1872=ROUND(1861*0.25,10)</f>
        <v/>
      </c>
      <c r="M1872">
        <f>W1872=ROUND(1861*0.5,10)</f>
        <v/>
      </c>
      <c r="O1872">
        <f>O1871+0.1</f>
        <v/>
      </c>
      <c r="P1872">
        <f>P1871+0.2</f>
        <v/>
      </c>
      <c r="Q1872">
        <f>Q1871+0.3</f>
        <v/>
      </c>
      <c r="R1872">
        <f>R1871+0.05</f>
        <v/>
      </c>
      <c r="S1872">
        <f>S1871+0.01</f>
        <v/>
      </c>
      <c r="T1872">
        <f>T1871+0.7</f>
        <v/>
      </c>
      <c r="U1872">
        <f>U1871+1.1</f>
        <v/>
      </c>
      <c r="V1872">
        <f>V1871+0.25</f>
        <v/>
      </c>
      <c r="W1872">
        <f>W1871+0.5</f>
        <v/>
      </c>
    </row>
    <row r="1873">
      <c r="E1873">
        <f>O1873=ROUND(1862*0.1,10)</f>
        <v/>
      </c>
      <c r="F1873">
        <f>P1873=ROUND(1862*0.2,10)</f>
        <v/>
      </c>
      <c r="G1873">
        <f>Q1873=ROUND(1862*0.3,10)</f>
        <v/>
      </c>
      <c r="H1873">
        <f>R1873=ROUND(1862*0.05,10)</f>
        <v/>
      </c>
      <c r="I1873">
        <f>S1873=ROUND(1862*0.01,10)</f>
        <v/>
      </c>
      <c r="J1873">
        <f>T1873=ROUND(1862*0.7,10)</f>
        <v/>
      </c>
      <c r="K1873">
        <f>U1873=ROUND(1862*1.1,10)</f>
        <v/>
      </c>
      <c r="L1873">
        <f>V1873=ROUND(1862*0.25,10)</f>
        <v/>
      </c>
      <c r="M1873">
        <f>W1873=ROUND(1862*0.5,10)</f>
        <v/>
      </c>
      <c r="O1873">
        <f>O1872+0.1</f>
        <v/>
      </c>
      <c r="P1873">
        <f>P1872+0.2</f>
        <v/>
      </c>
      <c r="Q1873">
        <f>Q1872+0.3</f>
        <v/>
      </c>
      <c r="R1873">
        <f>R1872+0.05</f>
        <v/>
      </c>
      <c r="S1873">
        <f>S1872+0.01</f>
        <v/>
      </c>
      <c r="T1873">
        <f>T1872+0.7</f>
        <v/>
      </c>
      <c r="U1873">
        <f>U1872+1.1</f>
        <v/>
      </c>
      <c r="V1873">
        <f>V1872+0.25</f>
        <v/>
      </c>
      <c r="W1873">
        <f>W1872+0.5</f>
        <v/>
      </c>
    </row>
    <row r="1874">
      <c r="E1874">
        <f>O1874=ROUND(1863*0.1,10)</f>
        <v/>
      </c>
      <c r="F1874">
        <f>P1874=ROUND(1863*0.2,10)</f>
        <v/>
      </c>
      <c r="G1874">
        <f>Q1874=ROUND(1863*0.3,10)</f>
        <v/>
      </c>
      <c r="H1874">
        <f>R1874=ROUND(1863*0.05,10)</f>
        <v/>
      </c>
      <c r="I1874">
        <f>S1874=ROUND(1863*0.01,10)</f>
        <v/>
      </c>
      <c r="J1874">
        <f>T1874=ROUND(1863*0.7,10)</f>
        <v/>
      </c>
      <c r="K1874">
        <f>U1874=ROUND(1863*1.1,10)</f>
        <v/>
      </c>
      <c r="L1874">
        <f>V1874=ROUND(1863*0.25,10)</f>
        <v/>
      </c>
      <c r="M1874">
        <f>W1874=ROUND(1863*0.5,10)</f>
        <v/>
      </c>
      <c r="O1874">
        <f>O1873+0.1</f>
        <v/>
      </c>
      <c r="P1874">
        <f>P1873+0.2</f>
        <v/>
      </c>
      <c r="Q1874">
        <f>Q1873+0.3</f>
        <v/>
      </c>
      <c r="R1874">
        <f>R1873+0.05</f>
        <v/>
      </c>
      <c r="S1874">
        <f>S1873+0.01</f>
        <v/>
      </c>
      <c r="T1874">
        <f>T1873+0.7</f>
        <v/>
      </c>
      <c r="U1874">
        <f>U1873+1.1</f>
        <v/>
      </c>
      <c r="V1874">
        <f>V1873+0.25</f>
        <v/>
      </c>
      <c r="W1874">
        <f>W1873+0.5</f>
        <v/>
      </c>
    </row>
    <row r="1875">
      <c r="E1875">
        <f>O1875=ROUND(1864*0.1,10)</f>
        <v/>
      </c>
      <c r="F1875">
        <f>P1875=ROUND(1864*0.2,10)</f>
        <v/>
      </c>
      <c r="G1875">
        <f>Q1875=ROUND(1864*0.3,10)</f>
        <v/>
      </c>
      <c r="H1875">
        <f>R1875=ROUND(1864*0.05,10)</f>
        <v/>
      </c>
      <c r="I1875">
        <f>S1875=ROUND(1864*0.01,10)</f>
        <v/>
      </c>
      <c r="J1875">
        <f>T1875=ROUND(1864*0.7,10)</f>
        <v/>
      </c>
      <c r="K1875">
        <f>U1875=ROUND(1864*1.1,10)</f>
        <v/>
      </c>
      <c r="L1875">
        <f>V1875=ROUND(1864*0.25,10)</f>
        <v/>
      </c>
      <c r="M1875">
        <f>W1875=ROUND(1864*0.5,10)</f>
        <v/>
      </c>
      <c r="O1875">
        <f>O1874+0.1</f>
        <v/>
      </c>
      <c r="P1875">
        <f>P1874+0.2</f>
        <v/>
      </c>
      <c r="Q1875">
        <f>Q1874+0.3</f>
        <v/>
      </c>
      <c r="R1875">
        <f>R1874+0.05</f>
        <v/>
      </c>
      <c r="S1875">
        <f>S1874+0.01</f>
        <v/>
      </c>
      <c r="T1875">
        <f>T1874+0.7</f>
        <v/>
      </c>
      <c r="U1875">
        <f>U1874+1.1</f>
        <v/>
      </c>
      <c r="V1875">
        <f>V1874+0.25</f>
        <v/>
      </c>
      <c r="W1875">
        <f>W1874+0.5</f>
        <v/>
      </c>
    </row>
    <row r="1876">
      <c r="E1876">
        <f>O1876=ROUND(1865*0.1,10)</f>
        <v/>
      </c>
      <c r="F1876">
        <f>P1876=ROUND(1865*0.2,10)</f>
        <v/>
      </c>
      <c r="G1876">
        <f>Q1876=ROUND(1865*0.3,10)</f>
        <v/>
      </c>
      <c r="H1876">
        <f>R1876=ROUND(1865*0.05,10)</f>
        <v/>
      </c>
      <c r="I1876">
        <f>S1876=ROUND(1865*0.01,10)</f>
        <v/>
      </c>
      <c r="J1876">
        <f>T1876=ROUND(1865*0.7,10)</f>
        <v/>
      </c>
      <c r="K1876">
        <f>U1876=ROUND(1865*1.1,10)</f>
        <v/>
      </c>
      <c r="L1876">
        <f>V1876=ROUND(1865*0.25,10)</f>
        <v/>
      </c>
      <c r="M1876">
        <f>W1876=ROUND(1865*0.5,10)</f>
        <v/>
      </c>
      <c r="O1876">
        <f>O1875+0.1</f>
        <v/>
      </c>
      <c r="P1876">
        <f>P1875+0.2</f>
        <v/>
      </c>
      <c r="Q1876">
        <f>Q1875+0.3</f>
        <v/>
      </c>
      <c r="R1876">
        <f>R1875+0.05</f>
        <v/>
      </c>
      <c r="S1876">
        <f>S1875+0.01</f>
        <v/>
      </c>
      <c r="T1876">
        <f>T1875+0.7</f>
        <v/>
      </c>
      <c r="U1876">
        <f>U1875+1.1</f>
        <v/>
      </c>
      <c r="V1876">
        <f>V1875+0.25</f>
        <v/>
      </c>
      <c r="W1876">
        <f>W1875+0.5</f>
        <v/>
      </c>
    </row>
    <row r="1877">
      <c r="E1877">
        <f>O1877=ROUND(1866*0.1,10)</f>
        <v/>
      </c>
      <c r="F1877">
        <f>P1877=ROUND(1866*0.2,10)</f>
        <v/>
      </c>
      <c r="G1877">
        <f>Q1877=ROUND(1866*0.3,10)</f>
        <v/>
      </c>
      <c r="H1877">
        <f>R1877=ROUND(1866*0.05,10)</f>
        <v/>
      </c>
      <c r="I1877">
        <f>S1877=ROUND(1866*0.01,10)</f>
        <v/>
      </c>
      <c r="J1877">
        <f>T1877=ROUND(1866*0.7,10)</f>
        <v/>
      </c>
      <c r="K1877">
        <f>U1877=ROUND(1866*1.1,10)</f>
        <v/>
      </c>
      <c r="L1877">
        <f>V1877=ROUND(1866*0.25,10)</f>
        <v/>
      </c>
      <c r="M1877">
        <f>W1877=ROUND(1866*0.5,10)</f>
        <v/>
      </c>
      <c r="O1877">
        <f>O1876+0.1</f>
        <v/>
      </c>
      <c r="P1877">
        <f>P1876+0.2</f>
        <v/>
      </c>
      <c r="Q1877">
        <f>Q1876+0.3</f>
        <v/>
      </c>
      <c r="R1877">
        <f>R1876+0.05</f>
        <v/>
      </c>
      <c r="S1877">
        <f>S1876+0.01</f>
        <v/>
      </c>
      <c r="T1877">
        <f>T1876+0.7</f>
        <v/>
      </c>
      <c r="U1877">
        <f>U1876+1.1</f>
        <v/>
      </c>
      <c r="V1877">
        <f>V1876+0.25</f>
        <v/>
      </c>
      <c r="W1877">
        <f>W1876+0.5</f>
        <v/>
      </c>
    </row>
    <row r="1878">
      <c r="E1878">
        <f>O1878=ROUND(1867*0.1,10)</f>
        <v/>
      </c>
      <c r="F1878">
        <f>P1878=ROUND(1867*0.2,10)</f>
        <v/>
      </c>
      <c r="G1878">
        <f>Q1878=ROUND(1867*0.3,10)</f>
        <v/>
      </c>
      <c r="H1878">
        <f>R1878=ROUND(1867*0.05,10)</f>
        <v/>
      </c>
      <c r="I1878">
        <f>S1878=ROUND(1867*0.01,10)</f>
        <v/>
      </c>
      <c r="J1878">
        <f>T1878=ROUND(1867*0.7,10)</f>
        <v/>
      </c>
      <c r="K1878">
        <f>U1878=ROUND(1867*1.1,10)</f>
        <v/>
      </c>
      <c r="L1878">
        <f>V1878=ROUND(1867*0.25,10)</f>
        <v/>
      </c>
      <c r="M1878">
        <f>W1878=ROUND(1867*0.5,10)</f>
        <v/>
      </c>
      <c r="O1878">
        <f>O1877+0.1</f>
        <v/>
      </c>
      <c r="P1878">
        <f>P1877+0.2</f>
        <v/>
      </c>
      <c r="Q1878">
        <f>Q1877+0.3</f>
        <v/>
      </c>
      <c r="R1878">
        <f>R1877+0.05</f>
        <v/>
      </c>
      <c r="S1878">
        <f>S1877+0.01</f>
        <v/>
      </c>
      <c r="T1878">
        <f>T1877+0.7</f>
        <v/>
      </c>
      <c r="U1878">
        <f>U1877+1.1</f>
        <v/>
      </c>
      <c r="V1878">
        <f>V1877+0.25</f>
        <v/>
      </c>
      <c r="W1878">
        <f>W1877+0.5</f>
        <v/>
      </c>
    </row>
    <row r="1879">
      <c r="E1879">
        <f>O1879=ROUND(1868*0.1,10)</f>
        <v/>
      </c>
      <c r="F1879">
        <f>P1879=ROUND(1868*0.2,10)</f>
        <v/>
      </c>
      <c r="G1879">
        <f>Q1879=ROUND(1868*0.3,10)</f>
        <v/>
      </c>
      <c r="H1879">
        <f>R1879=ROUND(1868*0.05,10)</f>
        <v/>
      </c>
      <c r="I1879">
        <f>S1879=ROUND(1868*0.01,10)</f>
        <v/>
      </c>
      <c r="J1879">
        <f>T1879=ROUND(1868*0.7,10)</f>
        <v/>
      </c>
      <c r="K1879">
        <f>U1879=ROUND(1868*1.1,10)</f>
        <v/>
      </c>
      <c r="L1879">
        <f>V1879=ROUND(1868*0.25,10)</f>
        <v/>
      </c>
      <c r="M1879">
        <f>W1879=ROUND(1868*0.5,10)</f>
        <v/>
      </c>
      <c r="O1879">
        <f>O1878+0.1</f>
        <v/>
      </c>
      <c r="P1879">
        <f>P1878+0.2</f>
        <v/>
      </c>
      <c r="Q1879">
        <f>Q1878+0.3</f>
        <v/>
      </c>
      <c r="R1879">
        <f>R1878+0.05</f>
        <v/>
      </c>
      <c r="S1879">
        <f>S1878+0.01</f>
        <v/>
      </c>
      <c r="T1879">
        <f>T1878+0.7</f>
        <v/>
      </c>
      <c r="U1879">
        <f>U1878+1.1</f>
        <v/>
      </c>
      <c r="V1879">
        <f>V1878+0.25</f>
        <v/>
      </c>
      <c r="W1879">
        <f>W1878+0.5</f>
        <v/>
      </c>
    </row>
    <row r="1880">
      <c r="E1880">
        <f>O1880=ROUND(1869*0.1,10)</f>
        <v/>
      </c>
      <c r="F1880">
        <f>P1880=ROUND(1869*0.2,10)</f>
        <v/>
      </c>
      <c r="G1880">
        <f>Q1880=ROUND(1869*0.3,10)</f>
        <v/>
      </c>
      <c r="H1880">
        <f>R1880=ROUND(1869*0.05,10)</f>
        <v/>
      </c>
      <c r="I1880">
        <f>S1880=ROUND(1869*0.01,10)</f>
        <v/>
      </c>
      <c r="J1880">
        <f>T1880=ROUND(1869*0.7,10)</f>
        <v/>
      </c>
      <c r="K1880">
        <f>U1880=ROUND(1869*1.1,10)</f>
        <v/>
      </c>
      <c r="L1880">
        <f>V1880=ROUND(1869*0.25,10)</f>
        <v/>
      </c>
      <c r="M1880">
        <f>W1880=ROUND(1869*0.5,10)</f>
        <v/>
      </c>
      <c r="O1880">
        <f>O1879+0.1</f>
        <v/>
      </c>
      <c r="P1880">
        <f>P1879+0.2</f>
        <v/>
      </c>
      <c r="Q1880">
        <f>Q1879+0.3</f>
        <v/>
      </c>
      <c r="R1880">
        <f>R1879+0.05</f>
        <v/>
      </c>
      <c r="S1880">
        <f>S1879+0.01</f>
        <v/>
      </c>
      <c r="T1880">
        <f>T1879+0.7</f>
        <v/>
      </c>
      <c r="U1880">
        <f>U1879+1.1</f>
        <v/>
      </c>
      <c r="V1880">
        <f>V1879+0.25</f>
        <v/>
      </c>
      <c r="W1880">
        <f>W1879+0.5</f>
        <v/>
      </c>
    </row>
    <row r="1881">
      <c r="E1881">
        <f>O1881=ROUND(1870*0.1,10)</f>
        <v/>
      </c>
      <c r="F1881">
        <f>P1881=ROUND(1870*0.2,10)</f>
        <v/>
      </c>
      <c r="G1881">
        <f>Q1881=ROUND(1870*0.3,10)</f>
        <v/>
      </c>
      <c r="H1881">
        <f>R1881=ROUND(1870*0.05,10)</f>
        <v/>
      </c>
      <c r="I1881">
        <f>S1881=ROUND(1870*0.01,10)</f>
        <v/>
      </c>
      <c r="J1881">
        <f>T1881=ROUND(1870*0.7,10)</f>
        <v/>
      </c>
      <c r="K1881">
        <f>U1881=ROUND(1870*1.1,10)</f>
        <v/>
      </c>
      <c r="L1881">
        <f>V1881=ROUND(1870*0.25,10)</f>
        <v/>
      </c>
      <c r="M1881">
        <f>W1881=ROUND(1870*0.5,10)</f>
        <v/>
      </c>
      <c r="O1881">
        <f>O1880+0.1</f>
        <v/>
      </c>
      <c r="P1881">
        <f>P1880+0.2</f>
        <v/>
      </c>
      <c r="Q1881">
        <f>Q1880+0.3</f>
        <v/>
      </c>
      <c r="R1881">
        <f>R1880+0.05</f>
        <v/>
      </c>
      <c r="S1881">
        <f>S1880+0.01</f>
        <v/>
      </c>
      <c r="T1881">
        <f>T1880+0.7</f>
        <v/>
      </c>
      <c r="U1881">
        <f>U1880+1.1</f>
        <v/>
      </c>
      <c r="V1881">
        <f>V1880+0.25</f>
        <v/>
      </c>
      <c r="W1881">
        <f>W1880+0.5</f>
        <v/>
      </c>
    </row>
    <row r="1882">
      <c r="E1882">
        <f>O1882=ROUND(1871*0.1,10)</f>
        <v/>
      </c>
      <c r="F1882">
        <f>P1882=ROUND(1871*0.2,10)</f>
        <v/>
      </c>
      <c r="G1882">
        <f>Q1882=ROUND(1871*0.3,10)</f>
        <v/>
      </c>
      <c r="H1882">
        <f>R1882=ROUND(1871*0.05,10)</f>
        <v/>
      </c>
      <c r="I1882">
        <f>S1882=ROUND(1871*0.01,10)</f>
        <v/>
      </c>
      <c r="J1882">
        <f>T1882=ROUND(1871*0.7,10)</f>
        <v/>
      </c>
      <c r="K1882">
        <f>U1882=ROUND(1871*1.1,10)</f>
        <v/>
      </c>
      <c r="L1882">
        <f>V1882=ROUND(1871*0.25,10)</f>
        <v/>
      </c>
      <c r="M1882">
        <f>W1882=ROUND(1871*0.5,10)</f>
        <v/>
      </c>
      <c r="O1882">
        <f>O1881+0.1</f>
        <v/>
      </c>
      <c r="P1882">
        <f>P1881+0.2</f>
        <v/>
      </c>
      <c r="Q1882">
        <f>Q1881+0.3</f>
        <v/>
      </c>
      <c r="R1882">
        <f>R1881+0.05</f>
        <v/>
      </c>
      <c r="S1882">
        <f>S1881+0.01</f>
        <v/>
      </c>
      <c r="T1882">
        <f>T1881+0.7</f>
        <v/>
      </c>
      <c r="U1882">
        <f>U1881+1.1</f>
        <v/>
      </c>
      <c r="V1882">
        <f>V1881+0.25</f>
        <v/>
      </c>
      <c r="W1882">
        <f>W1881+0.5</f>
        <v/>
      </c>
    </row>
    <row r="1883">
      <c r="E1883">
        <f>O1883=ROUND(1872*0.1,10)</f>
        <v/>
      </c>
      <c r="F1883">
        <f>P1883=ROUND(1872*0.2,10)</f>
        <v/>
      </c>
      <c r="G1883">
        <f>Q1883=ROUND(1872*0.3,10)</f>
        <v/>
      </c>
      <c r="H1883">
        <f>R1883=ROUND(1872*0.05,10)</f>
        <v/>
      </c>
      <c r="I1883">
        <f>S1883=ROUND(1872*0.01,10)</f>
        <v/>
      </c>
      <c r="J1883">
        <f>T1883=ROUND(1872*0.7,10)</f>
        <v/>
      </c>
      <c r="K1883">
        <f>U1883=ROUND(1872*1.1,10)</f>
        <v/>
      </c>
      <c r="L1883">
        <f>V1883=ROUND(1872*0.25,10)</f>
        <v/>
      </c>
      <c r="M1883">
        <f>W1883=ROUND(1872*0.5,10)</f>
        <v/>
      </c>
      <c r="O1883">
        <f>O1882+0.1</f>
        <v/>
      </c>
      <c r="P1883">
        <f>P1882+0.2</f>
        <v/>
      </c>
      <c r="Q1883">
        <f>Q1882+0.3</f>
        <v/>
      </c>
      <c r="R1883">
        <f>R1882+0.05</f>
        <v/>
      </c>
      <c r="S1883">
        <f>S1882+0.01</f>
        <v/>
      </c>
      <c r="T1883">
        <f>T1882+0.7</f>
        <v/>
      </c>
      <c r="U1883">
        <f>U1882+1.1</f>
        <v/>
      </c>
      <c r="V1883">
        <f>V1882+0.25</f>
        <v/>
      </c>
      <c r="W1883">
        <f>W1882+0.5</f>
        <v/>
      </c>
    </row>
    <row r="1884">
      <c r="E1884">
        <f>O1884=ROUND(1873*0.1,10)</f>
        <v/>
      </c>
      <c r="F1884">
        <f>P1884=ROUND(1873*0.2,10)</f>
        <v/>
      </c>
      <c r="G1884">
        <f>Q1884=ROUND(1873*0.3,10)</f>
        <v/>
      </c>
      <c r="H1884">
        <f>R1884=ROUND(1873*0.05,10)</f>
        <v/>
      </c>
      <c r="I1884">
        <f>S1884=ROUND(1873*0.01,10)</f>
        <v/>
      </c>
      <c r="J1884">
        <f>T1884=ROUND(1873*0.7,10)</f>
        <v/>
      </c>
      <c r="K1884">
        <f>U1884=ROUND(1873*1.1,10)</f>
        <v/>
      </c>
      <c r="L1884">
        <f>V1884=ROUND(1873*0.25,10)</f>
        <v/>
      </c>
      <c r="M1884">
        <f>W1884=ROUND(1873*0.5,10)</f>
        <v/>
      </c>
      <c r="O1884">
        <f>O1883+0.1</f>
        <v/>
      </c>
      <c r="P1884">
        <f>P1883+0.2</f>
        <v/>
      </c>
      <c r="Q1884">
        <f>Q1883+0.3</f>
        <v/>
      </c>
      <c r="R1884">
        <f>R1883+0.05</f>
        <v/>
      </c>
      <c r="S1884">
        <f>S1883+0.01</f>
        <v/>
      </c>
      <c r="T1884">
        <f>T1883+0.7</f>
        <v/>
      </c>
      <c r="U1884">
        <f>U1883+1.1</f>
        <v/>
      </c>
      <c r="V1884">
        <f>V1883+0.25</f>
        <v/>
      </c>
      <c r="W1884">
        <f>W1883+0.5</f>
        <v/>
      </c>
    </row>
    <row r="1885">
      <c r="E1885">
        <f>O1885=ROUND(1874*0.1,10)</f>
        <v/>
      </c>
      <c r="F1885">
        <f>P1885=ROUND(1874*0.2,10)</f>
        <v/>
      </c>
      <c r="G1885">
        <f>Q1885=ROUND(1874*0.3,10)</f>
        <v/>
      </c>
      <c r="H1885">
        <f>R1885=ROUND(1874*0.05,10)</f>
        <v/>
      </c>
      <c r="I1885">
        <f>S1885=ROUND(1874*0.01,10)</f>
        <v/>
      </c>
      <c r="J1885">
        <f>T1885=ROUND(1874*0.7,10)</f>
        <v/>
      </c>
      <c r="K1885">
        <f>U1885=ROUND(1874*1.1,10)</f>
        <v/>
      </c>
      <c r="L1885">
        <f>V1885=ROUND(1874*0.25,10)</f>
        <v/>
      </c>
      <c r="M1885">
        <f>W1885=ROUND(1874*0.5,10)</f>
        <v/>
      </c>
      <c r="O1885">
        <f>O1884+0.1</f>
        <v/>
      </c>
      <c r="P1885">
        <f>P1884+0.2</f>
        <v/>
      </c>
      <c r="Q1885">
        <f>Q1884+0.3</f>
        <v/>
      </c>
      <c r="R1885">
        <f>R1884+0.05</f>
        <v/>
      </c>
      <c r="S1885">
        <f>S1884+0.01</f>
        <v/>
      </c>
      <c r="T1885">
        <f>T1884+0.7</f>
        <v/>
      </c>
      <c r="U1885">
        <f>U1884+1.1</f>
        <v/>
      </c>
      <c r="V1885">
        <f>V1884+0.25</f>
        <v/>
      </c>
      <c r="W1885">
        <f>W1884+0.5</f>
        <v/>
      </c>
    </row>
    <row r="1886">
      <c r="E1886">
        <f>O1886=ROUND(1875*0.1,10)</f>
        <v/>
      </c>
      <c r="F1886">
        <f>P1886=ROUND(1875*0.2,10)</f>
        <v/>
      </c>
      <c r="G1886">
        <f>Q1886=ROUND(1875*0.3,10)</f>
        <v/>
      </c>
      <c r="H1886">
        <f>R1886=ROUND(1875*0.05,10)</f>
        <v/>
      </c>
      <c r="I1886">
        <f>S1886=ROUND(1875*0.01,10)</f>
        <v/>
      </c>
      <c r="J1886">
        <f>T1886=ROUND(1875*0.7,10)</f>
        <v/>
      </c>
      <c r="K1886">
        <f>U1886=ROUND(1875*1.1,10)</f>
        <v/>
      </c>
      <c r="L1886">
        <f>V1886=ROUND(1875*0.25,10)</f>
        <v/>
      </c>
      <c r="M1886">
        <f>W1886=ROUND(1875*0.5,10)</f>
        <v/>
      </c>
      <c r="O1886">
        <f>O1885+0.1</f>
        <v/>
      </c>
      <c r="P1886">
        <f>P1885+0.2</f>
        <v/>
      </c>
      <c r="Q1886">
        <f>Q1885+0.3</f>
        <v/>
      </c>
      <c r="R1886">
        <f>R1885+0.05</f>
        <v/>
      </c>
      <c r="S1886">
        <f>S1885+0.01</f>
        <v/>
      </c>
      <c r="T1886">
        <f>T1885+0.7</f>
        <v/>
      </c>
      <c r="U1886">
        <f>U1885+1.1</f>
        <v/>
      </c>
      <c r="V1886">
        <f>V1885+0.25</f>
        <v/>
      </c>
      <c r="W1886">
        <f>W1885+0.5</f>
        <v/>
      </c>
    </row>
    <row r="1887">
      <c r="E1887">
        <f>O1887=ROUND(1876*0.1,10)</f>
        <v/>
      </c>
      <c r="F1887">
        <f>P1887=ROUND(1876*0.2,10)</f>
        <v/>
      </c>
      <c r="G1887">
        <f>Q1887=ROUND(1876*0.3,10)</f>
        <v/>
      </c>
      <c r="H1887">
        <f>R1887=ROUND(1876*0.05,10)</f>
        <v/>
      </c>
      <c r="I1887">
        <f>S1887=ROUND(1876*0.01,10)</f>
        <v/>
      </c>
      <c r="J1887">
        <f>T1887=ROUND(1876*0.7,10)</f>
        <v/>
      </c>
      <c r="K1887">
        <f>U1887=ROUND(1876*1.1,10)</f>
        <v/>
      </c>
      <c r="L1887">
        <f>V1887=ROUND(1876*0.25,10)</f>
        <v/>
      </c>
      <c r="M1887">
        <f>W1887=ROUND(1876*0.5,10)</f>
        <v/>
      </c>
      <c r="O1887">
        <f>O1886+0.1</f>
        <v/>
      </c>
      <c r="P1887">
        <f>P1886+0.2</f>
        <v/>
      </c>
      <c r="Q1887">
        <f>Q1886+0.3</f>
        <v/>
      </c>
      <c r="R1887">
        <f>R1886+0.05</f>
        <v/>
      </c>
      <c r="S1887">
        <f>S1886+0.01</f>
        <v/>
      </c>
      <c r="T1887">
        <f>T1886+0.7</f>
        <v/>
      </c>
      <c r="U1887">
        <f>U1886+1.1</f>
        <v/>
      </c>
      <c r="V1887">
        <f>V1886+0.25</f>
        <v/>
      </c>
      <c r="W1887">
        <f>W1886+0.5</f>
        <v/>
      </c>
    </row>
    <row r="1888">
      <c r="E1888">
        <f>O1888=ROUND(1877*0.1,10)</f>
        <v/>
      </c>
      <c r="F1888">
        <f>P1888=ROUND(1877*0.2,10)</f>
        <v/>
      </c>
      <c r="G1888">
        <f>Q1888=ROUND(1877*0.3,10)</f>
        <v/>
      </c>
      <c r="H1888">
        <f>R1888=ROUND(1877*0.05,10)</f>
        <v/>
      </c>
      <c r="I1888">
        <f>S1888=ROUND(1877*0.01,10)</f>
        <v/>
      </c>
      <c r="J1888">
        <f>T1888=ROUND(1877*0.7,10)</f>
        <v/>
      </c>
      <c r="K1888">
        <f>U1888=ROUND(1877*1.1,10)</f>
        <v/>
      </c>
      <c r="L1888">
        <f>V1888=ROUND(1877*0.25,10)</f>
        <v/>
      </c>
      <c r="M1888">
        <f>W1888=ROUND(1877*0.5,10)</f>
        <v/>
      </c>
      <c r="O1888">
        <f>O1887+0.1</f>
        <v/>
      </c>
      <c r="P1888">
        <f>P1887+0.2</f>
        <v/>
      </c>
      <c r="Q1888">
        <f>Q1887+0.3</f>
        <v/>
      </c>
      <c r="R1888">
        <f>R1887+0.05</f>
        <v/>
      </c>
      <c r="S1888">
        <f>S1887+0.01</f>
        <v/>
      </c>
      <c r="T1888">
        <f>T1887+0.7</f>
        <v/>
      </c>
      <c r="U1888">
        <f>U1887+1.1</f>
        <v/>
      </c>
      <c r="V1888">
        <f>V1887+0.25</f>
        <v/>
      </c>
      <c r="W1888">
        <f>W1887+0.5</f>
        <v/>
      </c>
    </row>
    <row r="1889">
      <c r="E1889">
        <f>O1889=ROUND(1878*0.1,10)</f>
        <v/>
      </c>
      <c r="F1889">
        <f>P1889=ROUND(1878*0.2,10)</f>
        <v/>
      </c>
      <c r="G1889">
        <f>Q1889=ROUND(1878*0.3,10)</f>
        <v/>
      </c>
      <c r="H1889">
        <f>R1889=ROUND(1878*0.05,10)</f>
        <v/>
      </c>
      <c r="I1889">
        <f>S1889=ROUND(1878*0.01,10)</f>
        <v/>
      </c>
      <c r="J1889">
        <f>T1889=ROUND(1878*0.7,10)</f>
        <v/>
      </c>
      <c r="K1889">
        <f>U1889=ROUND(1878*1.1,10)</f>
        <v/>
      </c>
      <c r="L1889">
        <f>V1889=ROUND(1878*0.25,10)</f>
        <v/>
      </c>
      <c r="M1889">
        <f>W1889=ROUND(1878*0.5,10)</f>
        <v/>
      </c>
      <c r="O1889">
        <f>O1888+0.1</f>
        <v/>
      </c>
      <c r="P1889">
        <f>P1888+0.2</f>
        <v/>
      </c>
      <c r="Q1889">
        <f>Q1888+0.3</f>
        <v/>
      </c>
      <c r="R1889">
        <f>R1888+0.05</f>
        <v/>
      </c>
      <c r="S1889">
        <f>S1888+0.01</f>
        <v/>
      </c>
      <c r="T1889">
        <f>T1888+0.7</f>
        <v/>
      </c>
      <c r="U1889">
        <f>U1888+1.1</f>
        <v/>
      </c>
      <c r="V1889">
        <f>V1888+0.25</f>
        <v/>
      </c>
      <c r="W1889">
        <f>W1888+0.5</f>
        <v/>
      </c>
    </row>
    <row r="1890">
      <c r="E1890">
        <f>O1890=ROUND(1879*0.1,10)</f>
        <v/>
      </c>
      <c r="F1890">
        <f>P1890=ROUND(1879*0.2,10)</f>
        <v/>
      </c>
      <c r="G1890">
        <f>Q1890=ROUND(1879*0.3,10)</f>
        <v/>
      </c>
      <c r="H1890">
        <f>R1890=ROUND(1879*0.05,10)</f>
        <v/>
      </c>
      <c r="I1890">
        <f>S1890=ROUND(1879*0.01,10)</f>
        <v/>
      </c>
      <c r="J1890">
        <f>T1890=ROUND(1879*0.7,10)</f>
        <v/>
      </c>
      <c r="K1890">
        <f>U1890=ROUND(1879*1.1,10)</f>
        <v/>
      </c>
      <c r="L1890">
        <f>V1890=ROUND(1879*0.25,10)</f>
        <v/>
      </c>
      <c r="M1890">
        <f>W1890=ROUND(1879*0.5,10)</f>
        <v/>
      </c>
      <c r="O1890">
        <f>O1889+0.1</f>
        <v/>
      </c>
      <c r="P1890">
        <f>P1889+0.2</f>
        <v/>
      </c>
      <c r="Q1890">
        <f>Q1889+0.3</f>
        <v/>
      </c>
      <c r="R1890">
        <f>R1889+0.05</f>
        <v/>
      </c>
      <c r="S1890">
        <f>S1889+0.01</f>
        <v/>
      </c>
      <c r="T1890">
        <f>T1889+0.7</f>
        <v/>
      </c>
      <c r="U1890">
        <f>U1889+1.1</f>
        <v/>
      </c>
      <c r="V1890">
        <f>V1889+0.25</f>
        <v/>
      </c>
      <c r="W1890">
        <f>W1889+0.5</f>
        <v/>
      </c>
    </row>
    <row r="1891">
      <c r="E1891">
        <f>O1891=ROUND(1880*0.1,10)</f>
        <v/>
      </c>
      <c r="F1891">
        <f>P1891=ROUND(1880*0.2,10)</f>
        <v/>
      </c>
      <c r="G1891">
        <f>Q1891=ROUND(1880*0.3,10)</f>
        <v/>
      </c>
      <c r="H1891">
        <f>R1891=ROUND(1880*0.05,10)</f>
        <v/>
      </c>
      <c r="I1891">
        <f>S1891=ROUND(1880*0.01,10)</f>
        <v/>
      </c>
      <c r="J1891">
        <f>T1891=ROUND(1880*0.7,10)</f>
        <v/>
      </c>
      <c r="K1891">
        <f>U1891=ROUND(1880*1.1,10)</f>
        <v/>
      </c>
      <c r="L1891">
        <f>V1891=ROUND(1880*0.25,10)</f>
        <v/>
      </c>
      <c r="M1891">
        <f>W1891=ROUND(1880*0.5,10)</f>
        <v/>
      </c>
      <c r="O1891">
        <f>O1890+0.1</f>
        <v/>
      </c>
      <c r="P1891">
        <f>P1890+0.2</f>
        <v/>
      </c>
      <c r="Q1891">
        <f>Q1890+0.3</f>
        <v/>
      </c>
      <c r="R1891">
        <f>R1890+0.05</f>
        <v/>
      </c>
      <c r="S1891">
        <f>S1890+0.01</f>
        <v/>
      </c>
      <c r="T1891">
        <f>T1890+0.7</f>
        <v/>
      </c>
      <c r="U1891">
        <f>U1890+1.1</f>
        <v/>
      </c>
      <c r="V1891">
        <f>V1890+0.25</f>
        <v/>
      </c>
      <c r="W1891">
        <f>W1890+0.5</f>
        <v/>
      </c>
    </row>
    <row r="1892">
      <c r="E1892">
        <f>O1892=ROUND(1881*0.1,10)</f>
        <v/>
      </c>
      <c r="F1892">
        <f>P1892=ROUND(1881*0.2,10)</f>
        <v/>
      </c>
      <c r="G1892">
        <f>Q1892=ROUND(1881*0.3,10)</f>
        <v/>
      </c>
      <c r="H1892">
        <f>R1892=ROUND(1881*0.05,10)</f>
        <v/>
      </c>
      <c r="I1892">
        <f>S1892=ROUND(1881*0.01,10)</f>
        <v/>
      </c>
      <c r="J1892">
        <f>T1892=ROUND(1881*0.7,10)</f>
        <v/>
      </c>
      <c r="K1892">
        <f>U1892=ROUND(1881*1.1,10)</f>
        <v/>
      </c>
      <c r="L1892">
        <f>V1892=ROUND(1881*0.25,10)</f>
        <v/>
      </c>
      <c r="M1892">
        <f>W1892=ROUND(1881*0.5,10)</f>
        <v/>
      </c>
      <c r="O1892">
        <f>O1891+0.1</f>
        <v/>
      </c>
      <c r="P1892">
        <f>P1891+0.2</f>
        <v/>
      </c>
      <c r="Q1892">
        <f>Q1891+0.3</f>
        <v/>
      </c>
      <c r="R1892">
        <f>R1891+0.05</f>
        <v/>
      </c>
      <c r="S1892">
        <f>S1891+0.01</f>
        <v/>
      </c>
      <c r="T1892">
        <f>T1891+0.7</f>
        <v/>
      </c>
      <c r="U1892">
        <f>U1891+1.1</f>
        <v/>
      </c>
      <c r="V1892">
        <f>V1891+0.25</f>
        <v/>
      </c>
      <c r="W1892">
        <f>W1891+0.5</f>
        <v/>
      </c>
    </row>
    <row r="1893">
      <c r="E1893">
        <f>O1893=ROUND(1882*0.1,10)</f>
        <v/>
      </c>
      <c r="F1893">
        <f>P1893=ROUND(1882*0.2,10)</f>
        <v/>
      </c>
      <c r="G1893">
        <f>Q1893=ROUND(1882*0.3,10)</f>
        <v/>
      </c>
      <c r="H1893">
        <f>R1893=ROUND(1882*0.05,10)</f>
        <v/>
      </c>
      <c r="I1893">
        <f>S1893=ROUND(1882*0.01,10)</f>
        <v/>
      </c>
      <c r="J1893">
        <f>T1893=ROUND(1882*0.7,10)</f>
        <v/>
      </c>
      <c r="K1893">
        <f>U1893=ROUND(1882*1.1,10)</f>
        <v/>
      </c>
      <c r="L1893">
        <f>V1893=ROUND(1882*0.25,10)</f>
        <v/>
      </c>
      <c r="M1893">
        <f>W1893=ROUND(1882*0.5,10)</f>
        <v/>
      </c>
      <c r="O1893">
        <f>O1892+0.1</f>
        <v/>
      </c>
      <c r="P1893">
        <f>P1892+0.2</f>
        <v/>
      </c>
      <c r="Q1893">
        <f>Q1892+0.3</f>
        <v/>
      </c>
      <c r="R1893">
        <f>R1892+0.05</f>
        <v/>
      </c>
      <c r="S1893">
        <f>S1892+0.01</f>
        <v/>
      </c>
      <c r="T1893">
        <f>T1892+0.7</f>
        <v/>
      </c>
      <c r="U1893">
        <f>U1892+1.1</f>
        <v/>
      </c>
      <c r="V1893">
        <f>V1892+0.25</f>
        <v/>
      </c>
      <c r="W1893">
        <f>W1892+0.5</f>
        <v/>
      </c>
    </row>
    <row r="1894">
      <c r="E1894">
        <f>O1894=ROUND(1883*0.1,10)</f>
        <v/>
      </c>
      <c r="F1894">
        <f>P1894=ROUND(1883*0.2,10)</f>
        <v/>
      </c>
      <c r="G1894">
        <f>Q1894=ROUND(1883*0.3,10)</f>
        <v/>
      </c>
      <c r="H1894">
        <f>R1894=ROUND(1883*0.05,10)</f>
        <v/>
      </c>
      <c r="I1894">
        <f>S1894=ROUND(1883*0.01,10)</f>
        <v/>
      </c>
      <c r="J1894">
        <f>T1894=ROUND(1883*0.7,10)</f>
        <v/>
      </c>
      <c r="K1894">
        <f>U1894=ROUND(1883*1.1,10)</f>
        <v/>
      </c>
      <c r="L1894">
        <f>V1894=ROUND(1883*0.25,10)</f>
        <v/>
      </c>
      <c r="M1894">
        <f>W1894=ROUND(1883*0.5,10)</f>
        <v/>
      </c>
      <c r="O1894">
        <f>O1893+0.1</f>
        <v/>
      </c>
      <c r="P1894">
        <f>P1893+0.2</f>
        <v/>
      </c>
      <c r="Q1894">
        <f>Q1893+0.3</f>
        <v/>
      </c>
      <c r="R1894">
        <f>R1893+0.05</f>
        <v/>
      </c>
      <c r="S1894">
        <f>S1893+0.01</f>
        <v/>
      </c>
      <c r="T1894">
        <f>T1893+0.7</f>
        <v/>
      </c>
      <c r="U1894">
        <f>U1893+1.1</f>
        <v/>
      </c>
      <c r="V1894">
        <f>V1893+0.25</f>
        <v/>
      </c>
      <c r="W1894">
        <f>W1893+0.5</f>
        <v/>
      </c>
    </row>
    <row r="1895">
      <c r="E1895">
        <f>O1895=ROUND(1884*0.1,10)</f>
        <v/>
      </c>
      <c r="F1895">
        <f>P1895=ROUND(1884*0.2,10)</f>
        <v/>
      </c>
      <c r="G1895">
        <f>Q1895=ROUND(1884*0.3,10)</f>
        <v/>
      </c>
      <c r="H1895">
        <f>R1895=ROUND(1884*0.05,10)</f>
        <v/>
      </c>
      <c r="I1895">
        <f>S1895=ROUND(1884*0.01,10)</f>
        <v/>
      </c>
      <c r="J1895">
        <f>T1895=ROUND(1884*0.7,10)</f>
        <v/>
      </c>
      <c r="K1895">
        <f>U1895=ROUND(1884*1.1,10)</f>
        <v/>
      </c>
      <c r="L1895">
        <f>V1895=ROUND(1884*0.25,10)</f>
        <v/>
      </c>
      <c r="M1895">
        <f>W1895=ROUND(1884*0.5,10)</f>
        <v/>
      </c>
      <c r="O1895">
        <f>O1894+0.1</f>
        <v/>
      </c>
      <c r="P1895">
        <f>P1894+0.2</f>
        <v/>
      </c>
      <c r="Q1895">
        <f>Q1894+0.3</f>
        <v/>
      </c>
      <c r="R1895">
        <f>R1894+0.05</f>
        <v/>
      </c>
      <c r="S1895">
        <f>S1894+0.01</f>
        <v/>
      </c>
      <c r="T1895">
        <f>T1894+0.7</f>
        <v/>
      </c>
      <c r="U1895">
        <f>U1894+1.1</f>
        <v/>
      </c>
      <c r="V1895">
        <f>V1894+0.25</f>
        <v/>
      </c>
      <c r="W1895">
        <f>W1894+0.5</f>
        <v/>
      </c>
    </row>
    <row r="1896">
      <c r="E1896">
        <f>O1896=ROUND(1885*0.1,10)</f>
        <v/>
      </c>
      <c r="F1896">
        <f>P1896=ROUND(1885*0.2,10)</f>
        <v/>
      </c>
      <c r="G1896">
        <f>Q1896=ROUND(1885*0.3,10)</f>
        <v/>
      </c>
      <c r="H1896">
        <f>R1896=ROUND(1885*0.05,10)</f>
        <v/>
      </c>
      <c r="I1896">
        <f>S1896=ROUND(1885*0.01,10)</f>
        <v/>
      </c>
      <c r="J1896">
        <f>T1896=ROUND(1885*0.7,10)</f>
        <v/>
      </c>
      <c r="K1896">
        <f>U1896=ROUND(1885*1.1,10)</f>
        <v/>
      </c>
      <c r="L1896">
        <f>V1896=ROUND(1885*0.25,10)</f>
        <v/>
      </c>
      <c r="M1896">
        <f>W1896=ROUND(1885*0.5,10)</f>
        <v/>
      </c>
      <c r="O1896">
        <f>O1895+0.1</f>
        <v/>
      </c>
      <c r="P1896">
        <f>P1895+0.2</f>
        <v/>
      </c>
      <c r="Q1896">
        <f>Q1895+0.3</f>
        <v/>
      </c>
      <c r="R1896">
        <f>R1895+0.05</f>
        <v/>
      </c>
      <c r="S1896">
        <f>S1895+0.01</f>
        <v/>
      </c>
      <c r="T1896">
        <f>T1895+0.7</f>
        <v/>
      </c>
      <c r="U1896">
        <f>U1895+1.1</f>
        <v/>
      </c>
      <c r="V1896">
        <f>V1895+0.25</f>
        <v/>
      </c>
      <c r="W1896">
        <f>W1895+0.5</f>
        <v/>
      </c>
    </row>
    <row r="1897">
      <c r="E1897">
        <f>O1897=ROUND(1886*0.1,10)</f>
        <v/>
      </c>
      <c r="F1897">
        <f>P1897=ROUND(1886*0.2,10)</f>
        <v/>
      </c>
      <c r="G1897">
        <f>Q1897=ROUND(1886*0.3,10)</f>
        <v/>
      </c>
      <c r="H1897">
        <f>R1897=ROUND(1886*0.05,10)</f>
        <v/>
      </c>
      <c r="I1897">
        <f>S1897=ROUND(1886*0.01,10)</f>
        <v/>
      </c>
      <c r="J1897">
        <f>T1897=ROUND(1886*0.7,10)</f>
        <v/>
      </c>
      <c r="K1897">
        <f>U1897=ROUND(1886*1.1,10)</f>
        <v/>
      </c>
      <c r="L1897">
        <f>V1897=ROUND(1886*0.25,10)</f>
        <v/>
      </c>
      <c r="M1897">
        <f>W1897=ROUND(1886*0.5,10)</f>
        <v/>
      </c>
      <c r="O1897">
        <f>O1896+0.1</f>
        <v/>
      </c>
      <c r="P1897">
        <f>P1896+0.2</f>
        <v/>
      </c>
      <c r="Q1897">
        <f>Q1896+0.3</f>
        <v/>
      </c>
      <c r="R1897">
        <f>R1896+0.05</f>
        <v/>
      </c>
      <c r="S1897">
        <f>S1896+0.01</f>
        <v/>
      </c>
      <c r="T1897">
        <f>T1896+0.7</f>
        <v/>
      </c>
      <c r="U1897">
        <f>U1896+1.1</f>
        <v/>
      </c>
      <c r="V1897">
        <f>V1896+0.25</f>
        <v/>
      </c>
      <c r="W1897">
        <f>W1896+0.5</f>
        <v/>
      </c>
    </row>
    <row r="1898">
      <c r="E1898">
        <f>O1898=ROUND(1887*0.1,10)</f>
        <v/>
      </c>
      <c r="F1898">
        <f>P1898=ROUND(1887*0.2,10)</f>
        <v/>
      </c>
      <c r="G1898">
        <f>Q1898=ROUND(1887*0.3,10)</f>
        <v/>
      </c>
      <c r="H1898">
        <f>R1898=ROUND(1887*0.05,10)</f>
        <v/>
      </c>
      <c r="I1898">
        <f>S1898=ROUND(1887*0.01,10)</f>
        <v/>
      </c>
      <c r="J1898">
        <f>T1898=ROUND(1887*0.7,10)</f>
        <v/>
      </c>
      <c r="K1898">
        <f>U1898=ROUND(1887*1.1,10)</f>
        <v/>
      </c>
      <c r="L1898">
        <f>V1898=ROUND(1887*0.25,10)</f>
        <v/>
      </c>
      <c r="M1898">
        <f>W1898=ROUND(1887*0.5,10)</f>
        <v/>
      </c>
      <c r="O1898">
        <f>O1897+0.1</f>
        <v/>
      </c>
      <c r="P1898">
        <f>P1897+0.2</f>
        <v/>
      </c>
      <c r="Q1898">
        <f>Q1897+0.3</f>
        <v/>
      </c>
      <c r="R1898">
        <f>R1897+0.05</f>
        <v/>
      </c>
      <c r="S1898">
        <f>S1897+0.01</f>
        <v/>
      </c>
      <c r="T1898">
        <f>T1897+0.7</f>
        <v/>
      </c>
      <c r="U1898">
        <f>U1897+1.1</f>
        <v/>
      </c>
      <c r="V1898">
        <f>V1897+0.25</f>
        <v/>
      </c>
      <c r="W1898">
        <f>W1897+0.5</f>
        <v/>
      </c>
    </row>
    <row r="1899">
      <c r="E1899">
        <f>O1899=ROUND(1888*0.1,10)</f>
        <v/>
      </c>
      <c r="F1899">
        <f>P1899=ROUND(1888*0.2,10)</f>
        <v/>
      </c>
      <c r="G1899">
        <f>Q1899=ROUND(1888*0.3,10)</f>
        <v/>
      </c>
      <c r="H1899">
        <f>R1899=ROUND(1888*0.05,10)</f>
        <v/>
      </c>
      <c r="I1899">
        <f>S1899=ROUND(1888*0.01,10)</f>
        <v/>
      </c>
      <c r="J1899">
        <f>T1899=ROUND(1888*0.7,10)</f>
        <v/>
      </c>
      <c r="K1899">
        <f>U1899=ROUND(1888*1.1,10)</f>
        <v/>
      </c>
      <c r="L1899">
        <f>V1899=ROUND(1888*0.25,10)</f>
        <v/>
      </c>
      <c r="M1899">
        <f>W1899=ROUND(1888*0.5,10)</f>
        <v/>
      </c>
      <c r="O1899">
        <f>O1898+0.1</f>
        <v/>
      </c>
      <c r="P1899">
        <f>P1898+0.2</f>
        <v/>
      </c>
      <c r="Q1899">
        <f>Q1898+0.3</f>
        <v/>
      </c>
      <c r="R1899">
        <f>R1898+0.05</f>
        <v/>
      </c>
      <c r="S1899">
        <f>S1898+0.01</f>
        <v/>
      </c>
      <c r="T1899">
        <f>T1898+0.7</f>
        <v/>
      </c>
      <c r="U1899">
        <f>U1898+1.1</f>
        <v/>
      </c>
      <c r="V1899">
        <f>V1898+0.25</f>
        <v/>
      </c>
      <c r="W1899">
        <f>W1898+0.5</f>
        <v/>
      </c>
    </row>
    <row r="1900">
      <c r="E1900">
        <f>O1900=ROUND(1889*0.1,10)</f>
        <v/>
      </c>
      <c r="F1900">
        <f>P1900=ROUND(1889*0.2,10)</f>
        <v/>
      </c>
      <c r="G1900">
        <f>Q1900=ROUND(1889*0.3,10)</f>
        <v/>
      </c>
      <c r="H1900">
        <f>R1900=ROUND(1889*0.05,10)</f>
        <v/>
      </c>
      <c r="I1900">
        <f>S1900=ROUND(1889*0.01,10)</f>
        <v/>
      </c>
      <c r="J1900">
        <f>T1900=ROUND(1889*0.7,10)</f>
        <v/>
      </c>
      <c r="K1900">
        <f>U1900=ROUND(1889*1.1,10)</f>
        <v/>
      </c>
      <c r="L1900">
        <f>V1900=ROUND(1889*0.25,10)</f>
        <v/>
      </c>
      <c r="M1900">
        <f>W1900=ROUND(1889*0.5,10)</f>
        <v/>
      </c>
      <c r="O1900">
        <f>O1899+0.1</f>
        <v/>
      </c>
      <c r="P1900">
        <f>P1899+0.2</f>
        <v/>
      </c>
      <c r="Q1900">
        <f>Q1899+0.3</f>
        <v/>
      </c>
      <c r="R1900">
        <f>R1899+0.05</f>
        <v/>
      </c>
      <c r="S1900">
        <f>S1899+0.01</f>
        <v/>
      </c>
      <c r="T1900">
        <f>T1899+0.7</f>
        <v/>
      </c>
      <c r="U1900">
        <f>U1899+1.1</f>
        <v/>
      </c>
      <c r="V1900">
        <f>V1899+0.25</f>
        <v/>
      </c>
      <c r="W1900">
        <f>W1899+0.5</f>
        <v/>
      </c>
    </row>
    <row r="1901">
      <c r="E1901">
        <f>O1901=ROUND(1890*0.1,10)</f>
        <v/>
      </c>
      <c r="F1901">
        <f>P1901=ROUND(1890*0.2,10)</f>
        <v/>
      </c>
      <c r="G1901">
        <f>Q1901=ROUND(1890*0.3,10)</f>
        <v/>
      </c>
      <c r="H1901">
        <f>R1901=ROUND(1890*0.05,10)</f>
        <v/>
      </c>
      <c r="I1901">
        <f>S1901=ROUND(1890*0.01,10)</f>
        <v/>
      </c>
      <c r="J1901">
        <f>T1901=ROUND(1890*0.7,10)</f>
        <v/>
      </c>
      <c r="K1901">
        <f>U1901=ROUND(1890*1.1,10)</f>
        <v/>
      </c>
      <c r="L1901">
        <f>V1901=ROUND(1890*0.25,10)</f>
        <v/>
      </c>
      <c r="M1901">
        <f>W1901=ROUND(1890*0.5,10)</f>
        <v/>
      </c>
      <c r="O1901">
        <f>O1900+0.1</f>
        <v/>
      </c>
      <c r="P1901">
        <f>P1900+0.2</f>
        <v/>
      </c>
      <c r="Q1901">
        <f>Q1900+0.3</f>
        <v/>
      </c>
      <c r="R1901">
        <f>R1900+0.05</f>
        <v/>
      </c>
      <c r="S1901">
        <f>S1900+0.01</f>
        <v/>
      </c>
      <c r="T1901">
        <f>T1900+0.7</f>
        <v/>
      </c>
      <c r="U1901">
        <f>U1900+1.1</f>
        <v/>
      </c>
      <c r="V1901">
        <f>V1900+0.25</f>
        <v/>
      </c>
      <c r="W1901">
        <f>W1900+0.5</f>
        <v/>
      </c>
    </row>
    <row r="1902">
      <c r="E1902">
        <f>O1902=ROUND(1891*0.1,10)</f>
        <v/>
      </c>
      <c r="F1902">
        <f>P1902=ROUND(1891*0.2,10)</f>
        <v/>
      </c>
      <c r="G1902">
        <f>Q1902=ROUND(1891*0.3,10)</f>
        <v/>
      </c>
      <c r="H1902">
        <f>R1902=ROUND(1891*0.05,10)</f>
        <v/>
      </c>
      <c r="I1902">
        <f>S1902=ROUND(1891*0.01,10)</f>
        <v/>
      </c>
      <c r="J1902">
        <f>T1902=ROUND(1891*0.7,10)</f>
        <v/>
      </c>
      <c r="K1902">
        <f>U1902=ROUND(1891*1.1,10)</f>
        <v/>
      </c>
      <c r="L1902">
        <f>V1902=ROUND(1891*0.25,10)</f>
        <v/>
      </c>
      <c r="M1902">
        <f>W1902=ROUND(1891*0.5,10)</f>
        <v/>
      </c>
      <c r="O1902">
        <f>O1901+0.1</f>
        <v/>
      </c>
      <c r="P1902">
        <f>P1901+0.2</f>
        <v/>
      </c>
      <c r="Q1902">
        <f>Q1901+0.3</f>
        <v/>
      </c>
      <c r="R1902">
        <f>R1901+0.05</f>
        <v/>
      </c>
      <c r="S1902">
        <f>S1901+0.01</f>
        <v/>
      </c>
      <c r="T1902">
        <f>T1901+0.7</f>
        <v/>
      </c>
      <c r="U1902">
        <f>U1901+1.1</f>
        <v/>
      </c>
      <c r="V1902">
        <f>V1901+0.25</f>
        <v/>
      </c>
      <c r="W1902">
        <f>W1901+0.5</f>
        <v/>
      </c>
    </row>
    <row r="1903">
      <c r="E1903">
        <f>O1903=ROUND(1892*0.1,10)</f>
        <v/>
      </c>
      <c r="F1903">
        <f>P1903=ROUND(1892*0.2,10)</f>
        <v/>
      </c>
      <c r="G1903">
        <f>Q1903=ROUND(1892*0.3,10)</f>
        <v/>
      </c>
      <c r="H1903">
        <f>R1903=ROUND(1892*0.05,10)</f>
        <v/>
      </c>
      <c r="I1903">
        <f>S1903=ROUND(1892*0.01,10)</f>
        <v/>
      </c>
      <c r="J1903">
        <f>T1903=ROUND(1892*0.7,10)</f>
        <v/>
      </c>
      <c r="K1903">
        <f>U1903=ROUND(1892*1.1,10)</f>
        <v/>
      </c>
      <c r="L1903">
        <f>V1903=ROUND(1892*0.25,10)</f>
        <v/>
      </c>
      <c r="M1903">
        <f>W1903=ROUND(1892*0.5,10)</f>
        <v/>
      </c>
      <c r="O1903">
        <f>O1902+0.1</f>
        <v/>
      </c>
      <c r="P1903">
        <f>P1902+0.2</f>
        <v/>
      </c>
      <c r="Q1903">
        <f>Q1902+0.3</f>
        <v/>
      </c>
      <c r="R1903">
        <f>R1902+0.05</f>
        <v/>
      </c>
      <c r="S1903">
        <f>S1902+0.01</f>
        <v/>
      </c>
      <c r="T1903">
        <f>T1902+0.7</f>
        <v/>
      </c>
      <c r="U1903">
        <f>U1902+1.1</f>
        <v/>
      </c>
      <c r="V1903">
        <f>V1902+0.25</f>
        <v/>
      </c>
      <c r="W1903">
        <f>W1902+0.5</f>
        <v/>
      </c>
    </row>
    <row r="1904">
      <c r="E1904">
        <f>O1904=ROUND(1893*0.1,10)</f>
        <v/>
      </c>
      <c r="F1904">
        <f>P1904=ROUND(1893*0.2,10)</f>
        <v/>
      </c>
      <c r="G1904">
        <f>Q1904=ROUND(1893*0.3,10)</f>
        <v/>
      </c>
      <c r="H1904">
        <f>R1904=ROUND(1893*0.05,10)</f>
        <v/>
      </c>
      <c r="I1904">
        <f>S1904=ROUND(1893*0.01,10)</f>
        <v/>
      </c>
      <c r="J1904">
        <f>T1904=ROUND(1893*0.7,10)</f>
        <v/>
      </c>
      <c r="K1904">
        <f>U1904=ROUND(1893*1.1,10)</f>
        <v/>
      </c>
      <c r="L1904">
        <f>V1904=ROUND(1893*0.25,10)</f>
        <v/>
      </c>
      <c r="M1904">
        <f>W1904=ROUND(1893*0.5,10)</f>
        <v/>
      </c>
      <c r="O1904">
        <f>O1903+0.1</f>
        <v/>
      </c>
      <c r="P1904">
        <f>P1903+0.2</f>
        <v/>
      </c>
      <c r="Q1904">
        <f>Q1903+0.3</f>
        <v/>
      </c>
      <c r="R1904">
        <f>R1903+0.05</f>
        <v/>
      </c>
      <c r="S1904">
        <f>S1903+0.01</f>
        <v/>
      </c>
      <c r="T1904">
        <f>T1903+0.7</f>
        <v/>
      </c>
      <c r="U1904">
        <f>U1903+1.1</f>
        <v/>
      </c>
      <c r="V1904">
        <f>V1903+0.25</f>
        <v/>
      </c>
      <c r="W1904">
        <f>W1903+0.5</f>
        <v/>
      </c>
    </row>
    <row r="1905">
      <c r="E1905">
        <f>O1905=ROUND(1894*0.1,10)</f>
        <v/>
      </c>
      <c r="F1905">
        <f>P1905=ROUND(1894*0.2,10)</f>
        <v/>
      </c>
      <c r="G1905">
        <f>Q1905=ROUND(1894*0.3,10)</f>
        <v/>
      </c>
      <c r="H1905">
        <f>R1905=ROUND(1894*0.05,10)</f>
        <v/>
      </c>
      <c r="I1905">
        <f>S1905=ROUND(1894*0.01,10)</f>
        <v/>
      </c>
      <c r="J1905">
        <f>T1905=ROUND(1894*0.7,10)</f>
        <v/>
      </c>
      <c r="K1905">
        <f>U1905=ROUND(1894*1.1,10)</f>
        <v/>
      </c>
      <c r="L1905">
        <f>V1905=ROUND(1894*0.25,10)</f>
        <v/>
      </c>
      <c r="M1905">
        <f>W1905=ROUND(1894*0.5,10)</f>
        <v/>
      </c>
      <c r="O1905">
        <f>O1904+0.1</f>
        <v/>
      </c>
      <c r="P1905">
        <f>P1904+0.2</f>
        <v/>
      </c>
      <c r="Q1905">
        <f>Q1904+0.3</f>
        <v/>
      </c>
      <c r="R1905">
        <f>R1904+0.05</f>
        <v/>
      </c>
      <c r="S1905">
        <f>S1904+0.01</f>
        <v/>
      </c>
      <c r="T1905">
        <f>T1904+0.7</f>
        <v/>
      </c>
      <c r="U1905">
        <f>U1904+1.1</f>
        <v/>
      </c>
      <c r="V1905">
        <f>V1904+0.25</f>
        <v/>
      </c>
      <c r="W1905">
        <f>W1904+0.5</f>
        <v/>
      </c>
    </row>
    <row r="1906">
      <c r="E1906">
        <f>O1906=ROUND(1895*0.1,10)</f>
        <v/>
      </c>
      <c r="F1906">
        <f>P1906=ROUND(1895*0.2,10)</f>
        <v/>
      </c>
      <c r="G1906">
        <f>Q1906=ROUND(1895*0.3,10)</f>
        <v/>
      </c>
      <c r="H1906">
        <f>R1906=ROUND(1895*0.05,10)</f>
        <v/>
      </c>
      <c r="I1906">
        <f>S1906=ROUND(1895*0.01,10)</f>
        <v/>
      </c>
      <c r="J1906">
        <f>T1906=ROUND(1895*0.7,10)</f>
        <v/>
      </c>
      <c r="K1906">
        <f>U1906=ROUND(1895*1.1,10)</f>
        <v/>
      </c>
      <c r="L1906">
        <f>V1906=ROUND(1895*0.25,10)</f>
        <v/>
      </c>
      <c r="M1906">
        <f>W1906=ROUND(1895*0.5,10)</f>
        <v/>
      </c>
      <c r="O1906">
        <f>O1905+0.1</f>
        <v/>
      </c>
      <c r="P1906">
        <f>P1905+0.2</f>
        <v/>
      </c>
      <c r="Q1906">
        <f>Q1905+0.3</f>
        <v/>
      </c>
      <c r="R1906">
        <f>R1905+0.05</f>
        <v/>
      </c>
      <c r="S1906">
        <f>S1905+0.01</f>
        <v/>
      </c>
      <c r="T1906">
        <f>T1905+0.7</f>
        <v/>
      </c>
      <c r="U1906">
        <f>U1905+1.1</f>
        <v/>
      </c>
      <c r="V1906">
        <f>V1905+0.25</f>
        <v/>
      </c>
      <c r="W1906">
        <f>W1905+0.5</f>
        <v/>
      </c>
    </row>
    <row r="1907">
      <c r="E1907">
        <f>O1907=ROUND(1896*0.1,10)</f>
        <v/>
      </c>
      <c r="F1907">
        <f>P1907=ROUND(1896*0.2,10)</f>
        <v/>
      </c>
      <c r="G1907">
        <f>Q1907=ROUND(1896*0.3,10)</f>
        <v/>
      </c>
      <c r="H1907">
        <f>R1907=ROUND(1896*0.05,10)</f>
        <v/>
      </c>
      <c r="I1907">
        <f>S1907=ROUND(1896*0.01,10)</f>
        <v/>
      </c>
      <c r="J1907">
        <f>T1907=ROUND(1896*0.7,10)</f>
        <v/>
      </c>
      <c r="K1907">
        <f>U1907=ROUND(1896*1.1,10)</f>
        <v/>
      </c>
      <c r="L1907">
        <f>V1907=ROUND(1896*0.25,10)</f>
        <v/>
      </c>
      <c r="M1907">
        <f>W1907=ROUND(1896*0.5,10)</f>
        <v/>
      </c>
      <c r="O1907">
        <f>O1906+0.1</f>
        <v/>
      </c>
      <c r="P1907">
        <f>P1906+0.2</f>
        <v/>
      </c>
      <c r="Q1907">
        <f>Q1906+0.3</f>
        <v/>
      </c>
      <c r="R1907">
        <f>R1906+0.05</f>
        <v/>
      </c>
      <c r="S1907">
        <f>S1906+0.01</f>
        <v/>
      </c>
      <c r="T1907">
        <f>T1906+0.7</f>
        <v/>
      </c>
      <c r="U1907">
        <f>U1906+1.1</f>
        <v/>
      </c>
      <c r="V1907">
        <f>V1906+0.25</f>
        <v/>
      </c>
      <c r="W1907">
        <f>W1906+0.5</f>
        <v/>
      </c>
    </row>
    <row r="1908">
      <c r="E1908">
        <f>O1908=ROUND(1897*0.1,10)</f>
        <v/>
      </c>
      <c r="F1908">
        <f>P1908=ROUND(1897*0.2,10)</f>
        <v/>
      </c>
      <c r="G1908">
        <f>Q1908=ROUND(1897*0.3,10)</f>
        <v/>
      </c>
      <c r="H1908">
        <f>R1908=ROUND(1897*0.05,10)</f>
        <v/>
      </c>
      <c r="I1908">
        <f>S1908=ROUND(1897*0.01,10)</f>
        <v/>
      </c>
      <c r="J1908">
        <f>T1908=ROUND(1897*0.7,10)</f>
        <v/>
      </c>
      <c r="K1908">
        <f>U1908=ROUND(1897*1.1,10)</f>
        <v/>
      </c>
      <c r="L1908">
        <f>V1908=ROUND(1897*0.25,10)</f>
        <v/>
      </c>
      <c r="M1908">
        <f>W1908=ROUND(1897*0.5,10)</f>
        <v/>
      </c>
      <c r="O1908">
        <f>O1907+0.1</f>
        <v/>
      </c>
      <c r="P1908">
        <f>P1907+0.2</f>
        <v/>
      </c>
      <c r="Q1908">
        <f>Q1907+0.3</f>
        <v/>
      </c>
      <c r="R1908">
        <f>R1907+0.05</f>
        <v/>
      </c>
      <c r="S1908">
        <f>S1907+0.01</f>
        <v/>
      </c>
      <c r="T1908">
        <f>T1907+0.7</f>
        <v/>
      </c>
      <c r="U1908">
        <f>U1907+1.1</f>
        <v/>
      </c>
      <c r="V1908">
        <f>V1907+0.25</f>
        <v/>
      </c>
      <c r="W1908">
        <f>W1907+0.5</f>
        <v/>
      </c>
    </row>
    <row r="1909">
      <c r="E1909">
        <f>O1909=ROUND(1898*0.1,10)</f>
        <v/>
      </c>
      <c r="F1909">
        <f>P1909=ROUND(1898*0.2,10)</f>
        <v/>
      </c>
      <c r="G1909">
        <f>Q1909=ROUND(1898*0.3,10)</f>
        <v/>
      </c>
      <c r="H1909">
        <f>R1909=ROUND(1898*0.05,10)</f>
        <v/>
      </c>
      <c r="I1909">
        <f>S1909=ROUND(1898*0.01,10)</f>
        <v/>
      </c>
      <c r="J1909">
        <f>T1909=ROUND(1898*0.7,10)</f>
        <v/>
      </c>
      <c r="K1909">
        <f>U1909=ROUND(1898*1.1,10)</f>
        <v/>
      </c>
      <c r="L1909">
        <f>V1909=ROUND(1898*0.25,10)</f>
        <v/>
      </c>
      <c r="M1909">
        <f>W1909=ROUND(1898*0.5,10)</f>
        <v/>
      </c>
      <c r="O1909">
        <f>O1908+0.1</f>
        <v/>
      </c>
      <c r="P1909">
        <f>P1908+0.2</f>
        <v/>
      </c>
      <c r="Q1909">
        <f>Q1908+0.3</f>
        <v/>
      </c>
      <c r="R1909">
        <f>R1908+0.05</f>
        <v/>
      </c>
      <c r="S1909">
        <f>S1908+0.01</f>
        <v/>
      </c>
      <c r="T1909">
        <f>T1908+0.7</f>
        <v/>
      </c>
      <c r="U1909">
        <f>U1908+1.1</f>
        <v/>
      </c>
      <c r="V1909">
        <f>V1908+0.25</f>
        <v/>
      </c>
      <c r="W1909">
        <f>W1908+0.5</f>
        <v/>
      </c>
    </row>
    <row r="1910">
      <c r="E1910">
        <f>O1910=ROUND(1899*0.1,10)</f>
        <v/>
      </c>
      <c r="F1910">
        <f>P1910=ROUND(1899*0.2,10)</f>
        <v/>
      </c>
      <c r="G1910">
        <f>Q1910=ROUND(1899*0.3,10)</f>
        <v/>
      </c>
      <c r="H1910">
        <f>R1910=ROUND(1899*0.05,10)</f>
        <v/>
      </c>
      <c r="I1910">
        <f>S1910=ROUND(1899*0.01,10)</f>
        <v/>
      </c>
      <c r="J1910">
        <f>T1910=ROUND(1899*0.7,10)</f>
        <v/>
      </c>
      <c r="K1910">
        <f>U1910=ROUND(1899*1.1,10)</f>
        <v/>
      </c>
      <c r="L1910">
        <f>V1910=ROUND(1899*0.25,10)</f>
        <v/>
      </c>
      <c r="M1910">
        <f>W1910=ROUND(1899*0.5,10)</f>
        <v/>
      </c>
      <c r="O1910">
        <f>O1909+0.1</f>
        <v/>
      </c>
      <c r="P1910">
        <f>P1909+0.2</f>
        <v/>
      </c>
      <c r="Q1910">
        <f>Q1909+0.3</f>
        <v/>
      </c>
      <c r="R1910">
        <f>R1909+0.05</f>
        <v/>
      </c>
      <c r="S1910">
        <f>S1909+0.01</f>
        <v/>
      </c>
      <c r="T1910">
        <f>T1909+0.7</f>
        <v/>
      </c>
      <c r="U1910">
        <f>U1909+1.1</f>
        <v/>
      </c>
      <c r="V1910">
        <f>V1909+0.25</f>
        <v/>
      </c>
      <c r="W1910">
        <f>W1909+0.5</f>
        <v/>
      </c>
    </row>
    <row r="1911">
      <c r="E1911">
        <f>O1911=ROUND(1900*0.1,10)</f>
        <v/>
      </c>
      <c r="F1911">
        <f>P1911=ROUND(1900*0.2,10)</f>
        <v/>
      </c>
      <c r="G1911">
        <f>Q1911=ROUND(1900*0.3,10)</f>
        <v/>
      </c>
      <c r="H1911">
        <f>R1911=ROUND(1900*0.05,10)</f>
        <v/>
      </c>
      <c r="I1911">
        <f>S1911=ROUND(1900*0.01,10)</f>
        <v/>
      </c>
      <c r="J1911">
        <f>T1911=ROUND(1900*0.7,10)</f>
        <v/>
      </c>
      <c r="K1911">
        <f>U1911=ROUND(1900*1.1,10)</f>
        <v/>
      </c>
      <c r="L1911">
        <f>V1911=ROUND(1900*0.25,10)</f>
        <v/>
      </c>
      <c r="M1911">
        <f>W1911=ROUND(1900*0.5,10)</f>
        <v/>
      </c>
      <c r="O1911">
        <f>O1910+0.1</f>
        <v/>
      </c>
      <c r="P1911">
        <f>P1910+0.2</f>
        <v/>
      </c>
      <c r="Q1911">
        <f>Q1910+0.3</f>
        <v/>
      </c>
      <c r="R1911">
        <f>R1910+0.05</f>
        <v/>
      </c>
      <c r="S1911">
        <f>S1910+0.01</f>
        <v/>
      </c>
      <c r="T1911">
        <f>T1910+0.7</f>
        <v/>
      </c>
      <c r="U1911">
        <f>U1910+1.1</f>
        <v/>
      </c>
      <c r="V1911">
        <f>V1910+0.25</f>
        <v/>
      </c>
      <c r="W1911">
        <f>W1910+0.5</f>
        <v/>
      </c>
    </row>
    <row r="1912">
      <c r="E1912">
        <f>O1912=ROUND(1901*0.1,10)</f>
        <v/>
      </c>
      <c r="F1912">
        <f>P1912=ROUND(1901*0.2,10)</f>
        <v/>
      </c>
      <c r="G1912">
        <f>Q1912=ROUND(1901*0.3,10)</f>
        <v/>
      </c>
      <c r="H1912">
        <f>R1912=ROUND(1901*0.05,10)</f>
        <v/>
      </c>
      <c r="I1912">
        <f>S1912=ROUND(1901*0.01,10)</f>
        <v/>
      </c>
      <c r="J1912">
        <f>T1912=ROUND(1901*0.7,10)</f>
        <v/>
      </c>
      <c r="K1912">
        <f>U1912=ROUND(1901*1.1,10)</f>
        <v/>
      </c>
      <c r="L1912">
        <f>V1912=ROUND(1901*0.25,10)</f>
        <v/>
      </c>
      <c r="M1912">
        <f>W1912=ROUND(1901*0.5,10)</f>
        <v/>
      </c>
      <c r="O1912">
        <f>O1911+0.1</f>
        <v/>
      </c>
      <c r="P1912">
        <f>P1911+0.2</f>
        <v/>
      </c>
      <c r="Q1912">
        <f>Q1911+0.3</f>
        <v/>
      </c>
      <c r="R1912">
        <f>R1911+0.05</f>
        <v/>
      </c>
      <c r="S1912">
        <f>S1911+0.01</f>
        <v/>
      </c>
      <c r="T1912">
        <f>T1911+0.7</f>
        <v/>
      </c>
      <c r="U1912">
        <f>U1911+1.1</f>
        <v/>
      </c>
      <c r="V1912">
        <f>V1911+0.25</f>
        <v/>
      </c>
      <c r="W1912">
        <f>W1911+0.5</f>
        <v/>
      </c>
    </row>
    <row r="1913">
      <c r="E1913">
        <f>O1913=ROUND(1902*0.1,10)</f>
        <v/>
      </c>
      <c r="F1913">
        <f>P1913=ROUND(1902*0.2,10)</f>
        <v/>
      </c>
      <c r="G1913">
        <f>Q1913=ROUND(1902*0.3,10)</f>
        <v/>
      </c>
      <c r="H1913">
        <f>R1913=ROUND(1902*0.05,10)</f>
        <v/>
      </c>
      <c r="I1913">
        <f>S1913=ROUND(1902*0.01,10)</f>
        <v/>
      </c>
      <c r="J1913">
        <f>T1913=ROUND(1902*0.7,10)</f>
        <v/>
      </c>
      <c r="K1913">
        <f>U1913=ROUND(1902*1.1,10)</f>
        <v/>
      </c>
      <c r="L1913">
        <f>V1913=ROUND(1902*0.25,10)</f>
        <v/>
      </c>
      <c r="M1913">
        <f>W1913=ROUND(1902*0.5,10)</f>
        <v/>
      </c>
      <c r="O1913">
        <f>O1912+0.1</f>
        <v/>
      </c>
      <c r="P1913">
        <f>P1912+0.2</f>
        <v/>
      </c>
      <c r="Q1913">
        <f>Q1912+0.3</f>
        <v/>
      </c>
      <c r="R1913">
        <f>R1912+0.05</f>
        <v/>
      </c>
      <c r="S1913">
        <f>S1912+0.01</f>
        <v/>
      </c>
      <c r="T1913">
        <f>T1912+0.7</f>
        <v/>
      </c>
      <c r="U1913">
        <f>U1912+1.1</f>
        <v/>
      </c>
      <c r="V1913">
        <f>V1912+0.25</f>
        <v/>
      </c>
      <c r="W1913">
        <f>W1912+0.5</f>
        <v/>
      </c>
    </row>
    <row r="1914">
      <c r="E1914">
        <f>O1914=ROUND(1903*0.1,10)</f>
        <v/>
      </c>
      <c r="F1914">
        <f>P1914=ROUND(1903*0.2,10)</f>
        <v/>
      </c>
      <c r="G1914">
        <f>Q1914=ROUND(1903*0.3,10)</f>
        <v/>
      </c>
      <c r="H1914">
        <f>R1914=ROUND(1903*0.05,10)</f>
        <v/>
      </c>
      <c r="I1914">
        <f>S1914=ROUND(1903*0.01,10)</f>
        <v/>
      </c>
      <c r="J1914">
        <f>T1914=ROUND(1903*0.7,10)</f>
        <v/>
      </c>
      <c r="K1914">
        <f>U1914=ROUND(1903*1.1,10)</f>
        <v/>
      </c>
      <c r="L1914">
        <f>V1914=ROUND(1903*0.25,10)</f>
        <v/>
      </c>
      <c r="M1914">
        <f>W1914=ROUND(1903*0.5,10)</f>
        <v/>
      </c>
      <c r="O1914">
        <f>O1913+0.1</f>
        <v/>
      </c>
      <c r="P1914">
        <f>P1913+0.2</f>
        <v/>
      </c>
      <c r="Q1914">
        <f>Q1913+0.3</f>
        <v/>
      </c>
      <c r="R1914">
        <f>R1913+0.05</f>
        <v/>
      </c>
      <c r="S1914">
        <f>S1913+0.01</f>
        <v/>
      </c>
      <c r="T1914">
        <f>T1913+0.7</f>
        <v/>
      </c>
      <c r="U1914">
        <f>U1913+1.1</f>
        <v/>
      </c>
      <c r="V1914">
        <f>V1913+0.25</f>
        <v/>
      </c>
      <c r="W1914">
        <f>W1913+0.5</f>
        <v/>
      </c>
    </row>
    <row r="1915">
      <c r="E1915">
        <f>O1915=ROUND(1904*0.1,10)</f>
        <v/>
      </c>
      <c r="F1915">
        <f>P1915=ROUND(1904*0.2,10)</f>
        <v/>
      </c>
      <c r="G1915">
        <f>Q1915=ROUND(1904*0.3,10)</f>
        <v/>
      </c>
      <c r="H1915">
        <f>R1915=ROUND(1904*0.05,10)</f>
        <v/>
      </c>
      <c r="I1915">
        <f>S1915=ROUND(1904*0.01,10)</f>
        <v/>
      </c>
      <c r="J1915">
        <f>T1915=ROUND(1904*0.7,10)</f>
        <v/>
      </c>
      <c r="K1915">
        <f>U1915=ROUND(1904*1.1,10)</f>
        <v/>
      </c>
      <c r="L1915">
        <f>V1915=ROUND(1904*0.25,10)</f>
        <v/>
      </c>
      <c r="M1915">
        <f>W1915=ROUND(1904*0.5,10)</f>
        <v/>
      </c>
      <c r="O1915">
        <f>O1914+0.1</f>
        <v/>
      </c>
      <c r="P1915">
        <f>P1914+0.2</f>
        <v/>
      </c>
      <c r="Q1915">
        <f>Q1914+0.3</f>
        <v/>
      </c>
      <c r="R1915">
        <f>R1914+0.05</f>
        <v/>
      </c>
      <c r="S1915">
        <f>S1914+0.01</f>
        <v/>
      </c>
      <c r="T1915">
        <f>T1914+0.7</f>
        <v/>
      </c>
      <c r="U1915">
        <f>U1914+1.1</f>
        <v/>
      </c>
      <c r="V1915">
        <f>V1914+0.25</f>
        <v/>
      </c>
      <c r="W1915">
        <f>W1914+0.5</f>
        <v/>
      </c>
    </row>
    <row r="1916">
      <c r="E1916">
        <f>O1916=ROUND(1905*0.1,10)</f>
        <v/>
      </c>
      <c r="F1916">
        <f>P1916=ROUND(1905*0.2,10)</f>
        <v/>
      </c>
      <c r="G1916">
        <f>Q1916=ROUND(1905*0.3,10)</f>
        <v/>
      </c>
      <c r="H1916">
        <f>R1916=ROUND(1905*0.05,10)</f>
        <v/>
      </c>
      <c r="I1916">
        <f>S1916=ROUND(1905*0.01,10)</f>
        <v/>
      </c>
      <c r="J1916">
        <f>T1916=ROUND(1905*0.7,10)</f>
        <v/>
      </c>
      <c r="K1916">
        <f>U1916=ROUND(1905*1.1,10)</f>
        <v/>
      </c>
      <c r="L1916">
        <f>V1916=ROUND(1905*0.25,10)</f>
        <v/>
      </c>
      <c r="M1916">
        <f>W1916=ROUND(1905*0.5,10)</f>
        <v/>
      </c>
      <c r="O1916">
        <f>O1915+0.1</f>
        <v/>
      </c>
      <c r="P1916">
        <f>P1915+0.2</f>
        <v/>
      </c>
      <c r="Q1916">
        <f>Q1915+0.3</f>
        <v/>
      </c>
      <c r="R1916">
        <f>R1915+0.05</f>
        <v/>
      </c>
      <c r="S1916">
        <f>S1915+0.01</f>
        <v/>
      </c>
      <c r="T1916">
        <f>T1915+0.7</f>
        <v/>
      </c>
      <c r="U1916">
        <f>U1915+1.1</f>
        <v/>
      </c>
      <c r="V1916">
        <f>V1915+0.25</f>
        <v/>
      </c>
      <c r="W1916">
        <f>W1915+0.5</f>
        <v/>
      </c>
    </row>
    <row r="1917">
      <c r="E1917">
        <f>O1917=ROUND(1906*0.1,10)</f>
        <v/>
      </c>
      <c r="F1917">
        <f>P1917=ROUND(1906*0.2,10)</f>
        <v/>
      </c>
      <c r="G1917">
        <f>Q1917=ROUND(1906*0.3,10)</f>
        <v/>
      </c>
      <c r="H1917">
        <f>R1917=ROUND(1906*0.05,10)</f>
        <v/>
      </c>
      <c r="I1917">
        <f>S1917=ROUND(1906*0.01,10)</f>
        <v/>
      </c>
      <c r="J1917">
        <f>T1917=ROUND(1906*0.7,10)</f>
        <v/>
      </c>
      <c r="K1917">
        <f>U1917=ROUND(1906*1.1,10)</f>
        <v/>
      </c>
      <c r="L1917">
        <f>V1917=ROUND(1906*0.25,10)</f>
        <v/>
      </c>
      <c r="M1917">
        <f>W1917=ROUND(1906*0.5,10)</f>
        <v/>
      </c>
      <c r="O1917">
        <f>O1916+0.1</f>
        <v/>
      </c>
      <c r="P1917">
        <f>P1916+0.2</f>
        <v/>
      </c>
      <c r="Q1917">
        <f>Q1916+0.3</f>
        <v/>
      </c>
      <c r="R1917">
        <f>R1916+0.05</f>
        <v/>
      </c>
      <c r="S1917">
        <f>S1916+0.01</f>
        <v/>
      </c>
      <c r="T1917">
        <f>T1916+0.7</f>
        <v/>
      </c>
      <c r="U1917">
        <f>U1916+1.1</f>
        <v/>
      </c>
      <c r="V1917">
        <f>V1916+0.25</f>
        <v/>
      </c>
      <c r="W1917">
        <f>W1916+0.5</f>
        <v/>
      </c>
    </row>
    <row r="1918">
      <c r="E1918">
        <f>O1918=ROUND(1907*0.1,10)</f>
        <v/>
      </c>
      <c r="F1918">
        <f>P1918=ROUND(1907*0.2,10)</f>
        <v/>
      </c>
      <c r="G1918">
        <f>Q1918=ROUND(1907*0.3,10)</f>
        <v/>
      </c>
      <c r="H1918">
        <f>R1918=ROUND(1907*0.05,10)</f>
        <v/>
      </c>
      <c r="I1918">
        <f>S1918=ROUND(1907*0.01,10)</f>
        <v/>
      </c>
      <c r="J1918">
        <f>T1918=ROUND(1907*0.7,10)</f>
        <v/>
      </c>
      <c r="K1918">
        <f>U1918=ROUND(1907*1.1,10)</f>
        <v/>
      </c>
      <c r="L1918">
        <f>V1918=ROUND(1907*0.25,10)</f>
        <v/>
      </c>
      <c r="M1918">
        <f>W1918=ROUND(1907*0.5,10)</f>
        <v/>
      </c>
      <c r="O1918">
        <f>O1917+0.1</f>
        <v/>
      </c>
      <c r="P1918">
        <f>P1917+0.2</f>
        <v/>
      </c>
      <c r="Q1918">
        <f>Q1917+0.3</f>
        <v/>
      </c>
      <c r="R1918">
        <f>R1917+0.05</f>
        <v/>
      </c>
      <c r="S1918">
        <f>S1917+0.01</f>
        <v/>
      </c>
      <c r="T1918">
        <f>T1917+0.7</f>
        <v/>
      </c>
      <c r="U1918">
        <f>U1917+1.1</f>
        <v/>
      </c>
      <c r="V1918">
        <f>V1917+0.25</f>
        <v/>
      </c>
      <c r="W1918">
        <f>W1917+0.5</f>
        <v/>
      </c>
    </row>
    <row r="1919">
      <c r="E1919">
        <f>O1919=ROUND(1908*0.1,10)</f>
        <v/>
      </c>
      <c r="F1919">
        <f>P1919=ROUND(1908*0.2,10)</f>
        <v/>
      </c>
      <c r="G1919">
        <f>Q1919=ROUND(1908*0.3,10)</f>
        <v/>
      </c>
      <c r="H1919">
        <f>R1919=ROUND(1908*0.05,10)</f>
        <v/>
      </c>
      <c r="I1919">
        <f>S1919=ROUND(1908*0.01,10)</f>
        <v/>
      </c>
      <c r="J1919">
        <f>T1919=ROUND(1908*0.7,10)</f>
        <v/>
      </c>
      <c r="K1919">
        <f>U1919=ROUND(1908*1.1,10)</f>
        <v/>
      </c>
      <c r="L1919">
        <f>V1919=ROUND(1908*0.25,10)</f>
        <v/>
      </c>
      <c r="M1919">
        <f>W1919=ROUND(1908*0.5,10)</f>
        <v/>
      </c>
      <c r="O1919">
        <f>O1918+0.1</f>
        <v/>
      </c>
      <c r="P1919">
        <f>P1918+0.2</f>
        <v/>
      </c>
      <c r="Q1919">
        <f>Q1918+0.3</f>
        <v/>
      </c>
      <c r="R1919">
        <f>R1918+0.05</f>
        <v/>
      </c>
      <c r="S1919">
        <f>S1918+0.01</f>
        <v/>
      </c>
      <c r="T1919">
        <f>T1918+0.7</f>
        <v/>
      </c>
      <c r="U1919">
        <f>U1918+1.1</f>
        <v/>
      </c>
      <c r="V1919">
        <f>V1918+0.25</f>
        <v/>
      </c>
      <c r="W1919">
        <f>W1918+0.5</f>
        <v/>
      </c>
    </row>
    <row r="1920">
      <c r="E1920">
        <f>O1920=ROUND(1909*0.1,10)</f>
        <v/>
      </c>
      <c r="F1920">
        <f>P1920=ROUND(1909*0.2,10)</f>
        <v/>
      </c>
      <c r="G1920">
        <f>Q1920=ROUND(1909*0.3,10)</f>
        <v/>
      </c>
      <c r="H1920">
        <f>R1920=ROUND(1909*0.05,10)</f>
        <v/>
      </c>
      <c r="I1920">
        <f>S1920=ROUND(1909*0.01,10)</f>
        <v/>
      </c>
      <c r="J1920">
        <f>T1920=ROUND(1909*0.7,10)</f>
        <v/>
      </c>
      <c r="K1920">
        <f>U1920=ROUND(1909*1.1,10)</f>
        <v/>
      </c>
      <c r="L1920">
        <f>V1920=ROUND(1909*0.25,10)</f>
        <v/>
      </c>
      <c r="M1920">
        <f>W1920=ROUND(1909*0.5,10)</f>
        <v/>
      </c>
      <c r="O1920">
        <f>O1919+0.1</f>
        <v/>
      </c>
      <c r="P1920">
        <f>P1919+0.2</f>
        <v/>
      </c>
      <c r="Q1920">
        <f>Q1919+0.3</f>
        <v/>
      </c>
      <c r="R1920">
        <f>R1919+0.05</f>
        <v/>
      </c>
      <c r="S1920">
        <f>S1919+0.01</f>
        <v/>
      </c>
      <c r="T1920">
        <f>T1919+0.7</f>
        <v/>
      </c>
      <c r="U1920">
        <f>U1919+1.1</f>
        <v/>
      </c>
      <c r="V1920">
        <f>V1919+0.25</f>
        <v/>
      </c>
      <c r="W1920">
        <f>W1919+0.5</f>
        <v/>
      </c>
    </row>
    <row r="1921">
      <c r="E1921">
        <f>O1921=ROUND(1910*0.1,10)</f>
        <v/>
      </c>
      <c r="F1921">
        <f>P1921=ROUND(1910*0.2,10)</f>
        <v/>
      </c>
      <c r="G1921">
        <f>Q1921=ROUND(1910*0.3,10)</f>
        <v/>
      </c>
      <c r="H1921">
        <f>R1921=ROUND(1910*0.05,10)</f>
        <v/>
      </c>
      <c r="I1921">
        <f>S1921=ROUND(1910*0.01,10)</f>
        <v/>
      </c>
      <c r="J1921">
        <f>T1921=ROUND(1910*0.7,10)</f>
        <v/>
      </c>
      <c r="K1921">
        <f>U1921=ROUND(1910*1.1,10)</f>
        <v/>
      </c>
      <c r="L1921">
        <f>V1921=ROUND(1910*0.25,10)</f>
        <v/>
      </c>
      <c r="M1921">
        <f>W1921=ROUND(1910*0.5,10)</f>
        <v/>
      </c>
      <c r="O1921">
        <f>O1920+0.1</f>
        <v/>
      </c>
      <c r="P1921">
        <f>P1920+0.2</f>
        <v/>
      </c>
      <c r="Q1921">
        <f>Q1920+0.3</f>
        <v/>
      </c>
      <c r="R1921">
        <f>R1920+0.05</f>
        <v/>
      </c>
      <c r="S1921">
        <f>S1920+0.01</f>
        <v/>
      </c>
      <c r="T1921">
        <f>T1920+0.7</f>
        <v/>
      </c>
      <c r="U1921">
        <f>U1920+1.1</f>
        <v/>
      </c>
      <c r="V1921">
        <f>V1920+0.25</f>
        <v/>
      </c>
      <c r="W1921">
        <f>W1920+0.5</f>
        <v/>
      </c>
    </row>
    <row r="1922">
      <c r="E1922">
        <f>O1922=ROUND(1911*0.1,10)</f>
        <v/>
      </c>
      <c r="F1922">
        <f>P1922=ROUND(1911*0.2,10)</f>
        <v/>
      </c>
      <c r="G1922">
        <f>Q1922=ROUND(1911*0.3,10)</f>
        <v/>
      </c>
      <c r="H1922">
        <f>R1922=ROUND(1911*0.05,10)</f>
        <v/>
      </c>
      <c r="I1922">
        <f>S1922=ROUND(1911*0.01,10)</f>
        <v/>
      </c>
      <c r="J1922">
        <f>T1922=ROUND(1911*0.7,10)</f>
        <v/>
      </c>
      <c r="K1922">
        <f>U1922=ROUND(1911*1.1,10)</f>
        <v/>
      </c>
      <c r="L1922">
        <f>V1922=ROUND(1911*0.25,10)</f>
        <v/>
      </c>
      <c r="M1922">
        <f>W1922=ROUND(1911*0.5,10)</f>
        <v/>
      </c>
      <c r="O1922">
        <f>O1921+0.1</f>
        <v/>
      </c>
      <c r="P1922">
        <f>P1921+0.2</f>
        <v/>
      </c>
      <c r="Q1922">
        <f>Q1921+0.3</f>
        <v/>
      </c>
      <c r="R1922">
        <f>R1921+0.05</f>
        <v/>
      </c>
      <c r="S1922">
        <f>S1921+0.01</f>
        <v/>
      </c>
      <c r="T1922">
        <f>T1921+0.7</f>
        <v/>
      </c>
      <c r="U1922">
        <f>U1921+1.1</f>
        <v/>
      </c>
      <c r="V1922">
        <f>V1921+0.25</f>
        <v/>
      </c>
      <c r="W1922">
        <f>W1921+0.5</f>
        <v/>
      </c>
    </row>
    <row r="1923">
      <c r="E1923">
        <f>O1923=ROUND(1912*0.1,10)</f>
        <v/>
      </c>
      <c r="F1923">
        <f>P1923=ROUND(1912*0.2,10)</f>
        <v/>
      </c>
      <c r="G1923">
        <f>Q1923=ROUND(1912*0.3,10)</f>
        <v/>
      </c>
      <c r="H1923">
        <f>R1923=ROUND(1912*0.05,10)</f>
        <v/>
      </c>
      <c r="I1923">
        <f>S1923=ROUND(1912*0.01,10)</f>
        <v/>
      </c>
      <c r="J1923">
        <f>T1923=ROUND(1912*0.7,10)</f>
        <v/>
      </c>
      <c r="K1923">
        <f>U1923=ROUND(1912*1.1,10)</f>
        <v/>
      </c>
      <c r="L1923">
        <f>V1923=ROUND(1912*0.25,10)</f>
        <v/>
      </c>
      <c r="M1923">
        <f>W1923=ROUND(1912*0.5,10)</f>
        <v/>
      </c>
      <c r="O1923">
        <f>O1922+0.1</f>
        <v/>
      </c>
      <c r="P1923">
        <f>P1922+0.2</f>
        <v/>
      </c>
      <c r="Q1923">
        <f>Q1922+0.3</f>
        <v/>
      </c>
      <c r="R1923">
        <f>R1922+0.05</f>
        <v/>
      </c>
      <c r="S1923">
        <f>S1922+0.01</f>
        <v/>
      </c>
      <c r="T1923">
        <f>T1922+0.7</f>
        <v/>
      </c>
      <c r="U1923">
        <f>U1922+1.1</f>
        <v/>
      </c>
      <c r="V1923">
        <f>V1922+0.25</f>
        <v/>
      </c>
      <c r="W1923">
        <f>W1922+0.5</f>
        <v/>
      </c>
    </row>
    <row r="1924">
      <c r="E1924">
        <f>O1924=ROUND(1913*0.1,10)</f>
        <v/>
      </c>
      <c r="F1924">
        <f>P1924=ROUND(1913*0.2,10)</f>
        <v/>
      </c>
      <c r="G1924">
        <f>Q1924=ROUND(1913*0.3,10)</f>
        <v/>
      </c>
      <c r="H1924">
        <f>R1924=ROUND(1913*0.05,10)</f>
        <v/>
      </c>
      <c r="I1924">
        <f>S1924=ROUND(1913*0.01,10)</f>
        <v/>
      </c>
      <c r="J1924">
        <f>T1924=ROUND(1913*0.7,10)</f>
        <v/>
      </c>
      <c r="K1924">
        <f>U1924=ROUND(1913*1.1,10)</f>
        <v/>
      </c>
      <c r="L1924">
        <f>V1924=ROUND(1913*0.25,10)</f>
        <v/>
      </c>
      <c r="M1924">
        <f>W1924=ROUND(1913*0.5,10)</f>
        <v/>
      </c>
      <c r="O1924">
        <f>O1923+0.1</f>
        <v/>
      </c>
      <c r="P1924">
        <f>P1923+0.2</f>
        <v/>
      </c>
      <c r="Q1924">
        <f>Q1923+0.3</f>
        <v/>
      </c>
      <c r="R1924">
        <f>R1923+0.05</f>
        <v/>
      </c>
      <c r="S1924">
        <f>S1923+0.01</f>
        <v/>
      </c>
      <c r="T1924">
        <f>T1923+0.7</f>
        <v/>
      </c>
      <c r="U1924">
        <f>U1923+1.1</f>
        <v/>
      </c>
      <c r="V1924">
        <f>V1923+0.25</f>
        <v/>
      </c>
      <c r="W1924">
        <f>W1923+0.5</f>
        <v/>
      </c>
    </row>
    <row r="1925">
      <c r="E1925">
        <f>O1925=ROUND(1914*0.1,10)</f>
        <v/>
      </c>
      <c r="F1925">
        <f>P1925=ROUND(1914*0.2,10)</f>
        <v/>
      </c>
      <c r="G1925">
        <f>Q1925=ROUND(1914*0.3,10)</f>
        <v/>
      </c>
      <c r="H1925">
        <f>R1925=ROUND(1914*0.05,10)</f>
        <v/>
      </c>
      <c r="I1925">
        <f>S1925=ROUND(1914*0.01,10)</f>
        <v/>
      </c>
      <c r="J1925">
        <f>T1925=ROUND(1914*0.7,10)</f>
        <v/>
      </c>
      <c r="K1925">
        <f>U1925=ROUND(1914*1.1,10)</f>
        <v/>
      </c>
      <c r="L1925">
        <f>V1925=ROUND(1914*0.25,10)</f>
        <v/>
      </c>
      <c r="M1925">
        <f>W1925=ROUND(1914*0.5,10)</f>
        <v/>
      </c>
      <c r="O1925">
        <f>O1924+0.1</f>
        <v/>
      </c>
      <c r="P1925">
        <f>P1924+0.2</f>
        <v/>
      </c>
      <c r="Q1925">
        <f>Q1924+0.3</f>
        <v/>
      </c>
      <c r="R1925">
        <f>R1924+0.05</f>
        <v/>
      </c>
      <c r="S1925">
        <f>S1924+0.01</f>
        <v/>
      </c>
      <c r="T1925">
        <f>T1924+0.7</f>
        <v/>
      </c>
      <c r="U1925">
        <f>U1924+1.1</f>
        <v/>
      </c>
      <c r="V1925">
        <f>V1924+0.25</f>
        <v/>
      </c>
      <c r="W1925">
        <f>W1924+0.5</f>
        <v/>
      </c>
    </row>
    <row r="1926">
      <c r="E1926">
        <f>O1926=ROUND(1915*0.1,10)</f>
        <v/>
      </c>
      <c r="F1926">
        <f>P1926=ROUND(1915*0.2,10)</f>
        <v/>
      </c>
      <c r="G1926">
        <f>Q1926=ROUND(1915*0.3,10)</f>
        <v/>
      </c>
      <c r="H1926">
        <f>R1926=ROUND(1915*0.05,10)</f>
        <v/>
      </c>
      <c r="I1926">
        <f>S1926=ROUND(1915*0.01,10)</f>
        <v/>
      </c>
      <c r="J1926">
        <f>T1926=ROUND(1915*0.7,10)</f>
        <v/>
      </c>
      <c r="K1926">
        <f>U1926=ROUND(1915*1.1,10)</f>
        <v/>
      </c>
      <c r="L1926">
        <f>V1926=ROUND(1915*0.25,10)</f>
        <v/>
      </c>
      <c r="M1926">
        <f>W1926=ROUND(1915*0.5,10)</f>
        <v/>
      </c>
      <c r="O1926">
        <f>O1925+0.1</f>
        <v/>
      </c>
      <c r="P1926">
        <f>P1925+0.2</f>
        <v/>
      </c>
      <c r="Q1926">
        <f>Q1925+0.3</f>
        <v/>
      </c>
      <c r="R1926">
        <f>R1925+0.05</f>
        <v/>
      </c>
      <c r="S1926">
        <f>S1925+0.01</f>
        <v/>
      </c>
      <c r="T1926">
        <f>T1925+0.7</f>
        <v/>
      </c>
      <c r="U1926">
        <f>U1925+1.1</f>
        <v/>
      </c>
      <c r="V1926">
        <f>V1925+0.25</f>
        <v/>
      </c>
      <c r="W1926">
        <f>W1925+0.5</f>
        <v/>
      </c>
    </row>
    <row r="1927">
      <c r="E1927">
        <f>O1927=ROUND(1916*0.1,10)</f>
        <v/>
      </c>
      <c r="F1927">
        <f>P1927=ROUND(1916*0.2,10)</f>
        <v/>
      </c>
      <c r="G1927">
        <f>Q1927=ROUND(1916*0.3,10)</f>
        <v/>
      </c>
      <c r="H1927">
        <f>R1927=ROUND(1916*0.05,10)</f>
        <v/>
      </c>
      <c r="I1927">
        <f>S1927=ROUND(1916*0.01,10)</f>
        <v/>
      </c>
      <c r="J1927">
        <f>T1927=ROUND(1916*0.7,10)</f>
        <v/>
      </c>
      <c r="K1927">
        <f>U1927=ROUND(1916*1.1,10)</f>
        <v/>
      </c>
      <c r="L1927">
        <f>V1927=ROUND(1916*0.25,10)</f>
        <v/>
      </c>
      <c r="M1927">
        <f>W1927=ROUND(1916*0.5,10)</f>
        <v/>
      </c>
      <c r="O1927">
        <f>O1926+0.1</f>
        <v/>
      </c>
      <c r="P1927">
        <f>P1926+0.2</f>
        <v/>
      </c>
      <c r="Q1927">
        <f>Q1926+0.3</f>
        <v/>
      </c>
      <c r="R1927">
        <f>R1926+0.05</f>
        <v/>
      </c>
      <c r="S1927">
        <f>S1926+0.01</f>
        <v/>
      </c>
      <c r="T1927">
        <f>T1926+0.7</f>
        <v/>
      </c>
      <c r="U1927">
        <f>U1926+1.1</f>
        <v/>
      </c>
      <c r="V1927">
        <f>V1926+0.25</f>
        <v/>
      </c>
      <c r="W1927">
        <f>W1926+0.5</f>
        <v/>
      </c>
    </row>
    <row r="1928">
      <c r="E1928">
        <f>O1928=ROUND(1917*0.1,10)</f>
        <v/>
      </c>
      <c r="F1928">
        <f>P1928=ROUND(1917*0.2,10)</f>
        <v/>
      </c>
      <c r="G1928">
        <f>Q1928=ROUND(1917*0.3,10)</f>
        <v/>
      </c>
      <c r="H1928">
        <f>R1928=ROUND(1917*0.05,10)</f>
        <v/>
      </c>
      <c r="I1928">
        <f>S1928=ROUND(1917*0.01,10)</f>
        <v/>
      </c>
      <c r="J1928">
        <f>T1928=ROUND(1917*0.7,10)</f>
        <v/>
      </c>
      <c r="K1928">
        <f>U1928=ROUND(1917*1.1,10)</f>
        <v/>
      </c>
      <c r="L1928">
        <f>V1928=ROUND(1917*0.25,10)</f>
        <v/>
      </c>
      <c r="M1928">
        <f>W1928=ROUND(1917*0.5,10)</f>
        <v/>
      </c>
      <c r="O1928">
        <f>O1927+0.1</f>
        <v/>
      </c>
      <c r="P1928">
        <f>P1927+0.2</f>
        <v/>
      </c>
      <c r="Q1928">
        <f>Q1927+0.3</f>
        <v/>
      </c>
      <c r="R1928">
        <f>R1927+0.05</f>
        <v/>
      </c>
      <c r="S1928">
        <f>S1927+0.01</f>
        <v/>
      </c>
      <c r="T1928">
        <f>T1927+0.7</f>
        <v/>
      </c>
      <c r="U1928">
        <f>U1927+1.1</f>
        <v/>
      </c>
      <c r="V1928">
        <f>V1927+0.25</f>
        <v/>
      </c>
      <c r="W1928">
        <f>W1927+0.5</f>
        <v/>
      </c>
    </row>
    <row r="1929">
      <c r="E1929">
        <f>O1929=ROUND(1918*0.1,10)</f>
        <v/>
      </c>
      <c r="F1929">
        <f>P1929=ROUND(1918*0.2,10)</f>
        <v/>
      </c>
      <c r="G1929">
        <f>Q1929=ROUND(1918*0.3,10)</f>
        <v/>
      </c>
      <c r="H1929">
        <f>R1929=ROUND(1918*0.05,10)</f>
        <v/>
      </c>
      <c r="I1929">
        <f>S1929=ROUND(1918*0.01,10)</f>
        <v/>
      </c>
      <c r="J1929">
        <f>T1929=ROUND(1918*0.7,10)</f>
        <v/>
      </c>
      <c r="K1929">
        <f>U1929=ROUND(1918*1.1,10)</f>
        <v/>
      </c>
      <c r="L1929">
        <f>V1929=ROUND(1918*0.25,10)</f>
        <v/>
      </c>
      <c r="M1929">
        <f>W1929=ROUND(1918*0.5,10)</f>
        <v/>
      </c>
      <c r="O1929">
        <f>O1928+0.1</f>
        <v/>
      </c>
      <c r="P1929">
        <f>P1928+0.2</f>
        <v/>
      </c>
      <c r="Q1929">
        <f>Q1928+0.3</f>
        <v/>
      </c>
      <c r="R1929">
        <f>R1928+0.05</f>
        <v/>
      </c>
      <c r="S1929">
        <f>S1928+0.01</f>
        <v/>
      </c>
      <c r="T1929">
        <f>T1928+0.7</f>
        <v/>
      </c>
      <c r="U1929">
        <f>U1928+1.1</f>
        <v/>
      </c>
      <c r="V1929">
        <f>V1928+0.25</f>
        <v/>
      </c>
      <c r="W1929">
        <f>W1928+0.5</f>
        <v/>
      </c>
    </row>
    <row r="1930">
      <c r="E1930">
        <f>O1930=ROUND(1919*0.1,10)</f>
        <v/>
      </c>
      <c r="F1930">
        <f>P1930=ROUND(1919*0.2,10)</f>
        <v/>
      </c>
      <c r="G1930">
        <f>Q1930=ROUND(1919*0.3,10)</f>
        <v/>
      </c>
      <c r="H1930">
        <f>R1930=ROUND(1919*0.05,10)</f>
        <v/>
      </c>
      <c r="I1930">
        <f>S1930=ROUND(1919*0.01,10)</f>
        <v/>
      </c>
      <c r="J1930">
        <f>T1930=ROUND(1919*0.7,10)</f>
        <v/>
      </c>
      <c r="K1930">
        <f>U1930=ROUND(1919*1.1,10)</f>
        <v/>
      </c>
      <c r="L1930">
        <f>V1930=ROUND(1919*0.25,10)</f>
        <v/>
      </c>
      <c r="M1930">
        <f>W1930=ROUND(1919*0.5,10)</f>
        <v/>
      </c>
      <c r="O1930">
        <f>O1929+0.1</f>
        <v/>
      </c>
      <c r="P1930">
        <f>P1929+0.2</f>
        <v/>
      </c>
      <c r="Q1930">
        <f>Q1929+0.3</f>
        <v/>
      </c>
      <c r="R1930">
        <f>R1929+0.05</f>
        <v/>
      </c>
      <c r="S1930">
        <f>S1929+0.01</f>
        <v/>
      </c>
      <c r="T1930">
        <f>T1929+0.7</f>
        <v/>
      </c>
      <c r="U1930">
        <f>U1929+1.1</f>
        <v/>
      </c>
      <c r="V1930">
        <f>V1929+0.25</f>
        <v/>
      </c>
      <c r="W1930">
        <f>W1929+0.5</f>
        <v/>
      </c>
    </row>
    <row r="1931">
      <c r="E1931">
        <f>O1931=ROUND(1920*0.1,10)</f>
        <v/>
      </c>
      <c r="F1931">
        <f>P1931=ROUND(1920*0.2,10)</f>
        <v/>
      </c>
      <c r="G1931">
        <f>Q1931=ROUND(1920*0.3,10)</f>
        <v/>
      </c>
      <c r="H1931">
        <f>R1931=ROUND(1920*0.05,10)</f>
        <v/>
      </c>
      <c r="I1931">
        <f>S1931=ROUND(1920*0.01,10)</f>
        <v/>
      </c>
      <c r="J1931">
        <f>T1931=ROUND(1920*0.7,10)</f>
        <v/>
      </c>
      <c r="K1931">
        <f>U1931=ROUND(1920*1.1,10)</f>
        <v/>
      </c>
      <c r="L1931">
        <f>V1931=ROUND(1920*0.25,10)</f>
        <v/>
      </c>
      <c r="M1931">
        <f>W1931=ROUND(1920*0.5,10)</f>
        <v/>
      </c>
      <c r="O1931">
        <f>O1930+0.1</f>
        <v/>
      </c>
      <c r="P1931">
        <f>P1930+0.2</f>
        <v/>
      </c>
      <c r="Q1931">
        <f>Q1930+0.3</f>
        <v/>
      </c>
      <c r="R1931">
        <f>R1930+0.05</f>
        <v/>
      </c>
      <c r="S1931">
        <f>S1930+0.01</f>
        <v/>
      </c>
      <c r="T1931">
        <f>T1930+0.7</f>
        <v/>
      </c>
      <c r="U1931">
        <f>U1930+1.1</f>
        <v/>
      </c>
      <c r="V1931">
        <f>V1930+0.25</f>
        <v/>
      </c>
      <c r="W1931">
        <f>W1930+0.5</f>
        <v/>
      </c>
    </row>
    <row r="1932">
      <c r="E1932">
        <f>O1932=ROUND(1921*0.1,10)</f>
        <v/>
      </c>
      <c r="F1932">
        <f>P1932=ROUND(1921*0.2,10)</f>
        <v/>
      </c>
      <c r="G1932">
        <f>Q1932=ROUND(1921*0.3,10)</f>
        <v/>
      </c>
      <c r="H1932">
        <f>R1932=ROUND(1921*0.05,10)</f>
        <v/>
      </c>
      <c r="I1932">
        <f>S1932=ROUND(1921*0.01,10)</f>
        <v/>
      </c>
      <c r="J1932">
        <f>T1932=ROUND(1921*0.7,10)</f>
        <v/>
      </c>
      <c r="K1932">
        <f>U1932=ROUND(1921*1.1,10)</f>
        <v/>
      </c>
      <c r="L1932">
        <f>V1932=ROUND(1921*0.25,10)</f>
        <v/>
      </c>
      <c r="M1932">
        <f>W1932=ROUND(1921*0.5,10)</f>
        <v/>
      </c>
      <c r="O1932">
        <f>O1931+0.1</f>
        <v/>
      </c>
      <c r="P1932">
        <f>P1931+0.2</f>
        <v/>
      </c>
      <c r="Q1932">
        <f>Q1931+0.3</f>
        <v/>
      </c>
      <c r="R1932">
        <f>R1931+0.05</f>
        <v/>
      </c>
      <c r="S1932">
        <f>S1931+0.01</f>
        <v/>
      </c>
      <c r="T1932">
        <f>T1931+0.7</f>
        <v/>
      </c>
      <c r="U1932">
        <f>U1931+1.1</f>
        <v/>
      </c>
      <c r="V1932">
        <f>V1931+0.25</f>
        <v/>
      </c>
      <c r="W1932">
        <f>W1931+0.5</f>
        <v/>
      </c>
    </row>
    <row r="1933">
      <c r="E1933">
        <f>O1933=ROUND(1922*0.1,10)</f>
        <v/>
      </c>
      <c r="F1933">
        <f>P1933=ROUND(1922*0.2,10)</f>
        <v/>
      </c>
      <c r="G1933">
        <f>Q1933=ROUND(1922*0.3,10)</f>
        <v/>
      </c>
      <c r="H1933">
        <f>R1933=ROUND(1922*0.05,10)</f>
        <v/>
      </c>
      <c r="I1933">
        <f>S1933=ROUND(1922*0.01,10)</f>
        <v/>
      </c>
      <c r="J1933">
        <f>T1933=ROUND(1922*0.7,10)</f>
        <v/>
      </c>
      <c r="K1933">
        <f>U1933=ROUND(1922*1.1,10)</f>
        <v/>
      </c>
      <c r="L1933">
        <f>V1933=ROUND(1922*0.25,10)</f>
        <v/>
      </c>
      <c r="M1933">
        <f>W1933=ROUND(1922*0.5,10)</f>
        <v/>
      </c>
      <c r="O1933">
        <f>O1932+0.1</f>
        <v/>
      </c>
      <c r="P1933">
        <f>P1932+0.2</f>
        <v/>
      </c>
      <c r="Q1933">
        <f>Q1932+0.3</f>
        <v/>
      </c>
      <c r="R1933">
        <f>R1932+0.05</f>
        <v/>
      </c>
      <c r="S1933">
        <f>S1932+0.01</f>
        <v/>
      </c>
      <c r="T1933">
        <f>T1932+0.7</f>
        <v/>
      </c>
      <c r="U1933">
        <f>U1932+1.1</f>
        <v/>
      </c>
      <c r="V1933">
        <f>V1932+0.25</f>
        <v/>
      </c>
      <c r="W1933">
        <f>W1932+0.5</f>
        <v/>
      </c>
    </row>
    <row r="1934">
      <c r="E1934">
        <f>O1934=ROUND(1923*0.1,10)</f>
        <v/>
      </c>
      <c r="F1934">
        <f>P1934=ROUND(1923*0.2,10)</f>
        <v/>
      </c>
      <c r="G1934">
        <f>Q1934=ROUND(1923*0.3,10)</f>
        <v/>
      </c>
      <c r="H1934">
        <f>R1934=ROUND(1923*0.05,10)</f>
        <v/>
      </c>
      <c r="I1934">
        <f>S1934=ROUND(1923*0.01,10)</f>
        <v/>
      </c>
      <c r="J1934">
        <f>T1934=ROUND(1923*0.7,10)</f>
        <v/>
      </c>
      <c r="K1934">
        <f>U1934=ROUND(1923*1.1,10)</f>
        <v/>
      </c>
      <c r="L1934">
        <f>V1934=ROUND(1923*0.25,10)</f>
        <v/>
      </c>
      <c r="M1934">
        <f>W1934=ROUND(1923*0.5,10)</f>
        <v/>
      </c>
      <c r="O1934">
        <f>O1933+0.1</f>
        <v/>
      </c>
      <c r="P1934">
        <f>P1933+0.2</f>
        <v/>
      </c>
      <c r="Q1934">
        <f>Q1933+0.3</f>
        <v/>
      </c>
      <c r="R1934">
        <f>R1933+0.05</f>
        <v/>
      </c>
      <c r="S1934">
        <f>S1933+0.01</f>
        <v/>
      </c>
      <c r="T1934">
        <f>T1933+0.7</f>
        <v/>
      </c>
      <c r="U1934">
        <f>U1933+1.1</f>
        <v/>
      </c>
      <c r="V1934">
        <f>V1933+0.25</f>
        <v/>
      </c>
      <c r="W1934">
        <f>W1933+0.5</f>
        <v/>
      </c>
    </row>
    <row r="1935">
      <c r="E1935">
        <f>O1935=ROUND(1924*0.1,10)</f>
        <v/>
      </c>
      <c r="F1935">
        <f>P1935=ROUND(1924*0.2,10)</f>
        <v/>
      </c>
      <c r="G1935">
        <f>Q1935=ROUND(1924*0.3,10)</f>
        <v/>
      </c>
      <c r="H1935">
        <f>R1935=ROUND(1924*0.05,10)</f>
        <v/>
      </c>
      <c r="I1935">
        <f>S1935=ROUND(1924*0.01,10)</f>
        <v/>
      </c>
      <c r="J1935">
        <f>T1935=ROUND(1924*0.7,10)</f>
        <v/>
      </c>
      <c r="K1935">
        <f>U1935=ROUND(1924*1.1,10)</f>
        <v/>
      </c>
      <c r="L1935">
        <f>V1935=ROUND(1924*0.25,10)</f>
        <v/>
      </c>
      <c r="M1935">
        <f>W1935=ROUND(1924*0.5,10)</f>
        <v/>
      </c>
      <c r="O1935">
        <f>O1934+0.1</f>
        <v/>
      </c>
      <c r="P1935">
        <f>P1934+0.2</f>
        <v/>
      </c>
      <c r="Q1935">
        <f>Q1934+0.3</f>
        <v/>
      </c>
      <c r="R1935">
        <f>R1934+0.05</f>
        <v/>
      </c>
      <c r="S1935">
        <f>S1934+0.01</f>
        <v/>
      </c>
      <c r="T1935">
        <f>T1934+0.7</f>
        <v/>
      </c>
      <c r="U1935">
        <f>U1934+1.1</f>
        <v/>
      </c>
      <c r="V1935">
        <f>V1934+0.25</f>
        <v/>
      </c>
      <c r="W1935">
        <f>W1934+0.5</f>
        <v/>
      </c>
    </row>
    <row r="1936">
      <c r="E1936">
        <f>O1936=ROUND(1925*0.1,10)</f>
        <v/>
      </c>
      <c r="F1936">
        <f>P1936=ROUND(1925*0.2,10)</f>
        <v/>
      </c>
      <c r="G1936">
        <f>Q1936=ROUND(1925*0.3,10)</f>
        <v/>
      </c>
      <c r="H1936">
        <f>R1936=ROUND(1925*0.05,10)</f>
        <v/>
      </c>
      <c r="I1936">
        <f>S1936=ROUND(1925*0.01,10)</f>
        <v/>
      </c>
      <c r="J1936">
        <f>T1936=ROUND(1925*0.7,10)</f>
        <v/>
      </c>
      <c r="K1936">
        <f>U1936=ROUND(1925*1.1,10)</f>
        <v/>
      </c>
      <c r="L1936">
        <f>V1936=ROUND(1925*0.25,10)</f>
        <v/>
      </c>
      <c r="M1936">
        <f>W1936=ROUND(1925*0.5,10)</f>
        <v/>
      </c>
      <c r="O1936">
        <f>O1935+0.1</f>
        <v/>
      </c>
      <c r="P1936">
        <f>P1935+0.2</f>
        <v/>
      </c>
      <c r="Q1936">
        <f>Q1935+0.3</f>
        <v/>
      </c>
      <c r="R1936">
        <f>R1935+0.05</f>
        <v/>
      </c>
      <c r="S1936">
        <f>S1935+0.01</f>
        <v/>
      </c>
      <c r="T1936">
        <f>T1935+0.7</f>
        <v/>
      </c>
      <c r="U1936">
        <f>U1935+1.1</f>
        <v/>
      </c>
      <c r="V1936">
        <f>V1935+0.25</f>
        <v/>
      </c>
      <c r="W1936">
        <f>W1935+0.5</f>
        <v/>
      </c>
    </row>
    <row r="1937">
      <c r="E1937">
        <f>O1937=ROUND(1926*0.1,10)</f>
        <v/>
      </c>
      <c r="F1937">
        <f>P1937=ROUND(1926*0.2,10)</f>
        <v/>
      </c>
      <c r="G1937">
        <f>Q1937=ROUND(1926*0.3,10)</f>
        <v/>
      </c>
      <c r="H1937">
        <f>R1937=ROUND(1926*0.05,10)</f>
        <v/>
      </c>
      <c r="I1937">
        <f>S1937=ROUND(1926*0.01,10)</f>
        <v/>
      </c>
      <c r="J1937">
        <f>T1937=ROUND(1926*0.7,10)</f>
        <v/>
      </c>
      <c r="K1937">
        <f>U1937=ROUND(1926*1.1,10)</f>
        <v/>
      </c>
      <c r="L1937">
        <f>V1937=ROUND(1926*0.25,10)</f>
        <v/>
      </c>
      <c r="M1937">
        <f>W1937=ROUND(1926*0.5,10)</f>
        <v/>
      </c>
      <c r="O1937">
        <f>O1936+0.1</f>
        <v/>
      </c>
      <c r="P1937">
        <f>P1936+0.2</f>
        <v/>
      </c>
      <c r="Q1937">
        <f>Q1936+0.3</f>
        <v/>
      </c>
      <c r="R1937">
        <f>R1936+0.05</f>
        <v/>
      </c>
      <c r="S1937">
        <f>S1936+0.01</f>
        <v/>
      </c>
      <c r="T1937">
        <f>T1936+0.7</f>
        <v/>
      </c>
      <c r="U1937">
        <f>U1936+1.1</f>
        <v/>
      </c>
      <c r="V1937">
        <f>V1936+0.25</f>
        <v/>
      </c>
      <c r="W1937">
        <f>W1936+0.5</f>
        <v/>
      </c>
    </row>
    <row r="1938">
      <c r="E1938">
        <f>O1938=ROUND(1927*0.1,10)</f>
        <v/>
      </c>
      <c r="F1938">
        <f>P1938=ROUND(1927*0.2,10)</f>
        <v/>
      </c>
      <c r="G1938">
        <f>Q1938=ROUND(1927*0.3,10)</f>
        <v/>
      </c>
      <c r="H1938">
        <f>R1938=ROUND(1927*0.05,10)</f>
        <v/>
      </c>
      <c r="I1938">
        <f>S1938=ROUND(1927*0.01,10)</f>
        <v/>
      </c>
      <c r="J1938">
        <f>T1938=ROUND(1927*0.7,10)</f>
        <v/>
      </c>
      <c r="K1938">
        <f>U1938=ROUND(1927*1.1,10)</f>
        <v/>
      </c>
      <c r="L1938">
        <f>V1938=ROUND(1927*0.25,10)</f>
        <v/>
      </c>
      <c r="M1938">
        <f>W1938=ROUND(1927*0.5,10)</f>
        <v/>
      </c>
      <c r="O1938">
        <f>O1937+0.1</f>
        <v/>
      </c>
      <c r="P1938">
        <f>P1937+0.2</f>
        <v/>
      </c>
      <c r="Q1938">
        <f>Q1937+0.3</f>
        <v/>
      </c>
      <c r="R1938">
        <f>R1937+0.05</f>
        <v/>
      </c>
      <c r="S1938">
        <f>S1937+0.01</f>
        <v/>
      </c>
      <c r="T1938">
        <f>T1937+0.7</f>
        <v/>
      </c>
      <c r="U1938">
        <f>U1937+1.1</f>
        <v/>
      </c>
      <c r="V1938">
        <f>V1937+0.25</f>
        <v/>
      </c>
      <c r="W1938">
        <f>W1937+0.5</f>
        <v/>
      </c>
    </row>
    <row r="1939">
      <c r="E1939">
        <f>O1939=ROUND(1928*0.1,10)</f>
        <v/>
      </c>
      <c r="F1939">
        <f>P1939=ROUND(1928*0.2,10)</f>
        <v/>
      </c>
      <c r="G1939">
        <f>Q1939=ROUND(1928*0.3,10)</f>
        <v/>
      </c>
      <c r="H1939">
        <f>R1939=ROUND(1928*0.05,10)</f>
        <v/>
      </c>
      <c r="I1939">
        <f>S1939=ROUND(1928*0.01,10)</f>
        <v/>
      </c>
      <c r="J1939">
        <f>T1939=ROUND(1928*0.7,10)</f>
        <v/>
      </c>
      <c r="K1939">
        <f>U1939=ROUND(1928*1.1,10)</f>
        <v/>
      </c>
      <c r="L1939">
        <f>V1939=ROUND(1928*0.25,10)</f>
        <v/>
      </c>
      <c r="M1939">
        <f>W1939=ROUND(1928*0.5,10)</f>
        <v/>
      </c>
      <c r="O1939">
        <f>O1938+0.1</f>
        <v/>
      </c>
      <c r="P1939">
        <f>P1938+0.2</f>
        <v/>
      </c>
      <c r="Q1939">
        <f>Q1938+0.3</f>
        <v/>
      </c>
      <c r="R1939">
        <f>R1938+0.05</f>
        <v/>
      </c>
      <c r="S1939">
        <f>S1938+0.01</f>
        <v/>
      </c>
      <c r="T1939">
        <f>T1938+0.7</f>
        <v/>
      </c>
      <c r="U1939">
        <f>U1938+1.1</f>
        <v/>
      </c>
      <c r="V1939">
        <f>V1938+0.25</f>
        <v/>
      </c>
      <c r="W1939">
        <f>W1938+0.5</f>
        <v/>
      </c>
    </row>
    <row r="1940">
      <c r="E1940">
        <f>O1940=ROUND(1929*0.1,10)</f>
        <v/>
      </c>
      <c r="F1940">
        <f>P1940=ROUND(1929*0.2,10)</f>
        <v/>
      </c>
      <c r="G1940">
        <f>Q1940=ROUND(1929*0.3,10)</f>
        <v/>
      </c>
      <c r="H1940">
        <f>R1940=ROUND(1929*0.05,10)</f>
        <v/>
      </c>
      <c r="I1940">
        <f>S1940=ROUND(1929*0.01,10)</f>
        <v/>
      </c>
      <c r="J1940">
        <f>T1940=ROUND(1929*0.7,10)</f>
        <v/>
      </c>
      <c r="K1940">
        <f>U1940=ROUND(1929*1.1,10)</f>
        <v/>
      </c>
      <c r="L1940">
        <f>V1940=ROUND(1929*0.25,10)</f>
        <v/>
      </c>
      <c r="M1940">
        <f>W1940=ROUND(1929*0.5,10)</f>
        <v/>
      </c>
      <c r="O1940">
        <f>O1939+0.1</f>
        <v/>
      </c>
      <c r="P1940">
        <f>P1939+0.2</f>
        <v/>
      </c>
      <c r="Q1940">
        <f>Q1939+0.3</f>
        <v/>
      </c>
      <c r="R1940">
        <f>R1939+0.05</f>
        <v/>
      </c>
      <c r="S1940">
        <f>S1939+0.01</f>
        <v/>
      </c>
      <c r="T1940">
        <f>T1939+0.7</f>
        <v/>
      </c>
      <c r="U1940">
        <f>U1939+1.1</f>
        <v/>
      </c>
      <c r="V1940">
        <f>V1939+0.25</f>
        <v/>
      </c>
      <c r="W1940">
        <f>W1939+0.5</f>
        <v/>
      </c>
    </row>
    <row r="1941">
      <c r="E1941">
        <f>O1941=ROUND(1930*0.1,10)</f>
        <v/>
      </c>
      <c r="F1941">
        <f>P1941=ROUND(1930*0.2,10)</f>
        <v/>
      </c>
      <c r="G1941">
        <f>Q1941=ROUND(1930*0.3,10)</f>
        <v/>
      </c>
      <c r="H1941">
        <f>R1941=ROUND(1930*0.05,10)</f>
        <v/>
      </c>
      <c r="I1941">
        <f>S1941=ROUND(1930*0.01,10)</f>
        <v/>
      </c>
      <c r="J1941">
        <f>T1941=ROUND(1930*0.7,10)</f>
        <v/>
      </c>
      <c r="K1941">
        <f>U1941=ROUND(1930*1.1,10)</f>
        <v/>
      </c>
      <c r="L1941">
        <f>V1941=ROUND(1930*0.25,10)</f>
        <v/>
      </c>
      <c r="M1941">
        <f>W1941=ROUND(1930*0.5,10)</f>
        <v/>
      </c>
      <c r="O1941">
        <f>O1940+0.1</f>
        <v/>
      </c>
      <c r="P1941">
        <f>P1940+0.2</f>
        <v/>
      </c>
      <c r="Q1941">
        <f>Q1940+0.3</f>
        <v/>
      </c>
      <c r="R1941">
        <f>R1940+0.05</f>
        <v/>
      </c>
      <c r="S1941">
        <f>S1940+0.01</f>
        <v/>
      </c>
      <c r="T1941">
        <f>T1940+0.7</f>
        <v/>
      </c>
      <c r="U1941">
        <f>U1940+1.1</f>
        <v/>
      </c>
      <c r="V1941">
        <f>V1940+0.25</f>
        <v/>
      </c>
      <c r="W1941">
        <f>W1940+0.5</f>
        <v/>
      </c>
    </row>
    <row r="1942">
      <c r="E1942">
        <f>O1942=ROUND(1931*0.1,10)</f>
        <v/>
      </c>
      <c r="F1942">
        <f>P1942=ROUND(1931*0.2,10)</f>
        <v/>
      </c>
      <c r="G1942">
        <f>Q1942=ROUND(1931*0.3,10)</f>
        <v/>
      </c>
      <c r="H1942">
        <f>R1942=ROUND(1931*0.05,10)</f>
        <v/>
      </c>
      <c r="I1942">
        <f>S1942=ROUND(1931*0.01,10)</f>
        <v/>
      </c>
      <c r="J1942">
        <f>T1942=ROUND(1931*0.7,10)</f>
        <v/>
      </c>
      <c r="K1942">
        <f>U1942=ROUND(1931*1.1,10)</f>
        <v/>
      </c>
      <c r="L1942">
        <f>V1942=ROUND(1931*0.25,10)</f>
        <v/>
      </c>
      <c r="M1942">
        <f>W1942=ROUND(1931*0.5,10)</f>
        <v/>
      </c>
      <c r="O1942">
        <f>O1941+0.1</f>
        <v/>
      </c>
      <c r="P1942">
        <f>P1941+0.2</f>
        <v/>
      </c>
      <c r="Q1942">
        <f>Q1941+0.3</f>
        <v/>
      </c>
      <c r="R1942">
        <f>R1941+0.05</f>
        <v/>
      </c>
      <c r="S1942">
        <f>S1941+0.01</f>
        <v/>
      </c>
      <c r="T1942">
        <f>T1941+0.7</f>
        <v/>
      </c>
      <c r="U1942">
        <f>U1941+1.1</f>
        <v/>
      </c>
      <c r="V1942">
        <f>V1941+0.25</f>
        <v/>
      </c>
      <c r="W1942">
        <f>W1941+0.5</f>
        <v/>
      </c>
    </row>
    <row r="1943">
      <c r="E1943">
        <f>O1943=ROUND(1932*0.1,10)</f>
        <v/>
      </c>
      <c r="F1943">
        <f>P1943=ROUND(1932*0.2,10)</f>
        <v/>
      </c>
      <c r="G1943">
        <f>Q1943=ROUND(1932*0.3,10)</f>
        <v/>
      </c>
      <c r="H1943">
        <f>R1943=ROUND(1932*0.05,10)</f>
        <v/>
      </c>
      <c r="I1943">
        <f>S1943=ROUND(1932*0.01,10)</f>
        <v/>
      </c>
      <c r="J1943">
        <f>T1943=ROUND(1932*0.7,10)</f>
        <v/>
      </c>
      <c r="K1943">
        <f>U1943=ROUND(1932*1.1,10)</f>
        <v/>
      </c>
      <c r="L1943">
        <f>V1943=ROUND(1932*0.25,10)</f>
        <v/>
      </c>
      <c r="M1943">
        <f>W1943=ROUND(1932*0.5,10)</f>
        <v/>
      </c>
      <c r="O1943">
        <f>O1942+0.1</f>
        <v/>
      </c>
      <c r="P1943">
        <f>P1942+0.2</f>
        <v/>
      </c>
      <c r="Q1943">
        <f>Q1942+0.3</f>
        <v/>
      </c>
      <c r="R1943">
        <f>R1942+0.05</f>
        <v/>
      </c>
      <c r="S1943">
        <f>S1942+0.01</f>
        <v/>
      </c>
      <c r="T1943">
        <f>T1942+0.7</f>
        <v/>
      </c>
      <c r="U1943">
        <f>U1942+1.1</f>
        <v/>
      </c>
      <c r="V1943">
        <f>V1942+0.25</f>
        <v/>
      </c>
      <c r="W1943">
        <f>W1942+0.5</f>
        <v/>
      </c>
    </row>
    <row r="1944">
      <c r="E1944">
        <f>O1944=ROUND(1933*0.1,10)</f>
        <v/>
      </c>
      <c r="F1944">
        <f>P1944=ROUND(1933*0.2,10)</f>
        <v/>
      </c>
      <c r="G1944">
        <f>Q1944=ROUND(1933*0.3,10)</f>
        <v/>
      </c>
      <c r="H1944">
        <f>R1944=ROUND(1933*0.05,10)</f>
        <v/>
      </c>
      <c r="I1944">
        <f>S1944=ROUND(1933*0.01,10)</f>
        <v/>
      </c>
      <c r="J1944">
        <f>T1944=ROUND(1933*0.7,10)</f>
        <v/>
      </c>
      <c r="K1944">
        <f>U1944=ROUND(1933*1.1,10)</f>
        <v/>
      </c>
      <c r="L1944">
        <f>V1944=ROUND(1933*0.25,10)</f>
        <v/>
      </c>
      <c r="M1944">
        <f>W1944=ROUND(1933*0.5,10)</f>
        <v/>
      </c>
      <c r="O1944">
        <f>O1943+0.1</f>
        <v/>
      </c>
      <c r="P1944">
        <f>P1943+0.2</f>
        <v/>
      </c>
      <c r="Q1944">
        <f>Q1943+0.3</f>
        <v/>
      </c>
      <c r="R1944">
        <f>R1943+0.05</f>
        <v/>
      </c>
      <c r="S1944">
        <f>S1943+0.01</f>
        <v/>
      </c>
      <c r="T1944">
        <f>T1943+0.7</f>
        <v/>
      </c>
      <c r="U1944">
        <f>U1943+1.1</f>
        <v/>
      </c>
      <c r="V1944">
        <f>V1943+0.25</f>
        <v/>
      </c>
      <c r="W1944">
        <f>W1943+0.5</f>
        <v/>
      </c>
    </row>
    <row r="1945">
      <c r="E1945">
        <f>O1945=ROUND(1934*0.1,10)</f>
        <v/>
      </c>
      <c r="F1945">
        <f>P1945=ROUND(1934*0.2,10)</f>
        <v/>
      </c>
      <c r="G1945">
        <f>Q1945=ROUND(1934*0.3,10)</f>
        <v/>
      </c>
      <c r="H1945">
        <f>R1945=ROUND(1934*0.05,10)</f>
        <v/>
      </c>
      <c r="I1945">
        <f>S1945=ROUND(1934*0.01,10)</f>
        <v/>
      </c>
      <c r="J1945">
        <f>T1945=ROUND(1934*0.7,10)</f>
        <v/>
      </c>
      <c r="K1945">
        <f>U1945=ROUND(1934*1.1,10)</f>
        <v/>
      </c>
      <c r="L1945">
        <f>V1945=ROUND(1934*0.25,10)</f>
        <v/>
      </c>
      <c r="M1945">
        <f>W1945=ROUND(1934*0.5,10)</f>
        <v/>
      </c>
      <c r="O1945">
        <f>O1944+0.1</f>
        <v/>
      </c>
      <c r="P1945">
        <f>P1944+0.2</f>
        <v/>
      </c>
      <c r="Q1945">
        <f>Q1944+0.3</f>
        <v/>
      </c>
      <c r="R1945">
        <f>R1944+0.05</f>
        <v/>
      </c>
      <c r="S1945">
        <f>S1944+0.01</f>
        <v/>
      </c>
      <c r="T1945">
        <f>T1944+0.7</f>
        <v/>
      </c>
      <c r="U1945">
        <f>U1944+1.1</f>
        <v/>
      </c>
      <c r="V1945">
        <f>V1944+0.25</f>
        <v/>
      </c>
      <c r="W1945">
        <f>W1944+0.5</f>
        <v/>
      </c>
    </row>
    <row r="1946">
      <c r="E1946">
        <f>O1946=ROUND(1935*0.1,10)</f>
        <v/>
      </c>
      <c r="F1946">
        <f>P1946=ROUND(1935*0.2,10)</f>
        <v/>
      </c>
      <c r="G1946">
        <f>Q1946=ROUND(1935*0.3,10)</f>
        <v/>
      </c>
      <c r="H1946">
        <f>R1946=ROUND(1935*0.05,10)</f>
        <v/>
      </c>
      <c r="I1946">
        <f>S1946=ROUND(1935*0.01,10)</f>
        <v/>
      </c>
      <c r="J1946">
        <f>T1946=ROUND(1935*0.7,10)</f>
        <v/>
      </c>
      <c r="K1946">
        <f>U1946=ROUND(1935*1.1,10)</f>
        <v/>
      </c>
      <c r="L1946">
        <f>V1946=ROUND(1935*0.25,10)</f>
        <v/>
      </c>
      <c r="M1946">
        <f>W1946=ROUND(1935*0.5,10)</f>
        <v/>
      </c>
      <c r="O1946">
        <f>O1945+0.1</f>
        <v/>
      </c>
      <c r="P1946">
        <f>P1945+0.2</f>
        <v/>
      </c>
      <c r="Q1946">
        <f>Q1945+0.3</f>
        <v/>
      </c>
      <c r="R1946">
        <f>R1945+0.05</f>
        <v/>
      </c>
      <c r="S1946">
        <f>S1945+0.01</f>
        <v/>
      </c>
      <c r="T1946">
        <f>T1945+0.7</f>
        <v/>
      </c>
      <c r="U1946">
        <f>U1945+1.1</f>
        <v/>
      </c>
      <c r="V1946">
        <f>V1945+0.25</f>
        <v/>
      </c>
      <c r="W1946">
        <f>W1945+0.5</f>
        <v/>
      </c>
    </row>
    <row r="1947">
      <c r="E1947">
        <f>O1947=ROUND(1936*0.1,10)</f>
        <v/>
      </c>
      <c r="F1947">
        <f>P1947=ROUND(1936*0.2,10)</f>
        <v/>
      </c>
      <c r="G1947">
        <f>Q1947=ROUND(1936*0.3,10)</f>
        <v/>
      </c>
      <c r="H1947">
        <f>R1947=ROUND(1936*0.05,10)</f>
        <v/>
      </c>
      <c r="I1947">
        <f>S1947=ROUND(1936*0.01,10)</f>
        <v/>
      </c>
      <c r="J1947">
        <f>T1947=ROUND(1936*0.7,10)</f>
        <v/>
      </c>
      <c r="K1947">
        <f>U1947=ROUND(1936*1.1,10)</f>
        <v/>
      </c>
      <c r="L1947">
        <f>V1947=ROUND(1936*0.25,10)</f>
        <v/>
      </c>
      <c r="M1947">
        <f>W1947=ROUND(1936*0.5,10)</f>
        <v/>
      </c>
      <c r="O1947">
        <f>O1946+0.1</f>
        <v/>
      </c>
      <c r="P1947">
        <f>P1946+0.2</f>
        <v/>
      </c>
      <c r="Q1947">
        <f>Q1946+0.3</f>
        <v/>
      </c>
      <c r="R1947">
        <f>R1946+0.05</f>
        <v/>
      </c>
      <c r="S1947">
        <f>S1946+0.01</f>
        <v/>
      </c>
      <c r="T1947">
        <f>T1946+0.7</f>
        <v/>
      </c>
      <c r="U1947">
        <f>U1946+1.1</f>
        <v/>
      </c>
      <c r="V1947">
        <f>V1946+0.25</f>
        <v/>
      </c>
      <c r="W1947">
        <f>W1946+0.5</f>
        <v/>
      </c>
    </row>
    <row r="1948">
      <c r="E1948">
        <f>O1948=ROUND(1937*0.1,10)</f>
        <v/>
      </c>
      <c r="F1948">
        <f>P1948=ROUND(1937*0.2,10)</f>
        <v/>
      </c>
      <c r="G1948">
        <f>Q1948=ROUND(1937*0.3,10)</f>
        <v/>
      </c>
      <c r="H1948">
        <f>R1948=ROUND(1937*0.05,10)</f>
        <v/>
      </c>
      <c r="I1948">
        <f>S1948=ROUND(1937*0.01,10)</f>
        <v/>
      </c>
      <c r="J1948">
        <f>T1948=ROUND(1937*0.7,10)</f>
        <v/>
      </c>
      <c r="K1948">
        <f>U1948=ROUND(1937*1.1,10)</f>
        <v/>
      </c>
      <c r="L1948">
        <f>V1948=ROUND(1937*0.25,10)</f>
        <v/>
      </c>
      <c r="M1948">
        <f>W1948=ROUND(1937*0.5,10)</f>
        <v/>
      </c>
      <c r="O1948">
        <f>O1947+0.1</f>
        <v/>
      </c>
      <c r="P1948">
        <f>P1947+0.2</f>
        <v/>
      </c>
      <c r="Q1948">
        <f>Q1947+0.3</f>
        <v/>
      </c>
      <c r="R1948">
        <f>R1947+0.05</f>
        <v/>
      </c>
      <c r="S1948">
        <f>S1947+0.01</f>
        <v/>
      </c>
      <c r="T1948">
        <f>T1947+0.7</f>
        <v/>
      </c>
      <c r="U1948">
        <f>U1947+1.1</f>
        <v/>
      </c>
      <c r="V1948">
        <f>V1947+0.25</f>
        <v/>
      </c>
      <c r="W1948">
        <f>W1947+0.5</f>
        <v/>
      </c>
    </row>
    <row r="1949">
      <c r="E1949">
        <f>O1949=ROUND(1938*0.1,10)</f>
        <v/>
      </c>
      <c r="F1949">
        <f>P1949=ROUND(1938*0.2,10)</f>
        <v/>
      </c>
      <c r="G1949">
        <f>Q1949=ROUND(1938*0.3,10)</f>
        <v/>
      </c>
      <c r="H1949">
        <f>R1949=ROUND(1938*0.05,10)</f>
        <v/>
      </c>
      <c r="I1949">
        <f>S1949=ROUND(1938*0.01,10)</f>
        <v/>
      </c>
      <c r="J1949">
        <f>T1949=ROUND(1938*0.7,10)</f>
        <v/>
      </c>
      <c r="K1949">
        <f>U1949=ROUND(1938*1.1,10)</f>
        <v/>
      </c>
      <c r="L1949">
        <f>V1949=ROUND(1938*0.25,10)</f>
        <v/>
      </c>
      <c r="M1949">
        <f>W1949=ROUND(1938*0.5,10)</f>
        <v/>
      </c>
      <c r="O1949">
        <f>O1948+0.1</f>
        <v/>
      </c>
      <c r="P1949">
        <f>P1948+0.2</f>
        <v/>
      </c>
      <c r="Q1949">
        <f>Q1948+0.3</f>
        <v/>
      </c>
      <c r="R1949">
        <f>R1948+0.05</f>
        <v/>
      </c>
      <c r="S1949">
        <f>S1948+0.01</f>
        <v/>
      </c>
      <c r="T1949">
        <f>T1948+0.7</f>
        <v/>
      </c>
      <c r="U1949">
        <f>U1948+1.1</f>
        <v/>
      </c>
      <c r="V1949">
        <f>V1948+0.25</f>
        <v/>
      </c>
      <c r="W1949">
        <f>W1948+0.5</f>
        <v/>
      </c>
    </row>
    <row r="1950">
      <c r="E1950">
        <f>O1950=ROUND(1939*0.1,10)</f>
        <v/>
      </c>
      <c r="F1950">
        <f>P1950=ROUND(1939*0.2,10)</f>
        <v/>
      </c>
      <c r="G1950">
        <f>Q1950=ROUND(1939*0.3,10)</f>
        <v/>
      </c>
      <c r="H1950">
        <f>R1950=ROUND(1939*0.05,10)</f>
        <v/>
      </c>
      <c r="I1950">
        <f>S1950=ROUND(1939*0.01,10)</f>
        <v/>
      </c>
      <c r="J1950">
        <f>T1950=ROUND(1939*0.7,10)</f>
        <v/>
      </c>
      <c r="K1950">
        <f>U1950=ROUND(1939*1.1,10)</f>
        <v/>
      </c>
      <c r="L1950">
        <f>V1950=ROUND(1939*0.25,10)</f>
        <v/>
      </c>
      <c r="M1950">
        <f>W1950=ROUND(1939*0.5,10)</f>
        <v/>
      </c>
      <c r="O1950">
        <f>O1949+0.1</f>
        <v/>
      </c>
      <c r="P1950">
        <f>P1949+0.2</f>
        <v/>
      </c>
      <c r="Q1950">
        <f>Q1949+0.3</f>
        <v/>
      </c>
      <c r="R1950">
        <f>R1949+0.05</f>
        <v/>
      </c>
      <c r="S1950">
        <f>S1949+0.01</f>
        <v/>
      </c>
      <c r="T1950">
        <f>T1949+0.7</f>
        <v/>
      </c>
      <c r="U1950">
        <f>U1949+1.1</f>
        <v/>
      </c>
      <c r="V1950">
        <f>V1949+0.25</f>
        <v/>
      </c>
      <c r="W1950">
        <f>W1949+0.5</f>
        <v/>
      </c>
    </row>
    <row r="1951">
      <c r="E1951">
        <f>O1951=ROUND(1940*0.1,10)</f>
        <v/>
      </c>
      <c r="F1951">
        <f>P1951=ROUND(1940*0.2,10)</f>
        <v/>
      </c>
      <c r="G1951">
        <f>Q1951=ROUND(1940*0.3,10)</f>
        <v/>
      </c>
      <c r="H1951">
        <f>R1951=ROUND(1940*0.05,10)</f>
        <v/>
      </c>
      <c r="I1951">
        <f>S1951=ROUND(1940*0.01,10)</f>
        <v/>
      </c>
      <c r="J1951">
        <f>T1951=ROUND(1940*0.7,10)</f>
        <v/>
      </c>
      <c r="K1951">
        <f>U1951=ROUND(1940*1.1,10)</f>
        <v/>
      </c>
      <c r="L1951">
        <f>V1951=ROUND(1940*0.25,10)</f>
        <v/>
      </c>
      <c r="M1951">
        <f>W1951=ROUND(1940*0.5,10)</f>
        <v/>
      </c>
      <c r="O1951">
        <f>O1950+0.1</f>
        <v/>
      </c>
      <c r="P1951">
        <f>P1950+0.2</f>
        <v/>
      </c>
      <c r="Q1951">
        <f>Q1950+0.3</f>
        <v/>
      </c>
      <c r="R1951">
        <f>R1950+0.05</f>
        <v/>
      </c>
      <c r="S1951">
        <f>S1950+0.01</f>
        <v/>
      </c>
      <c r="T1951">
        <f>T1950+0.7</f>
        <v/>
      </c>
      <c r="U1951">
        <f>U1950+1.1</f>
        <v/>
      </c>
      <c r="V1951">
        <f>V1950+0.25</f>
        <v/>
      </c>
      <c r="W1951">
        <f>W1950+0.5</f>
        <v/>
      </c>
    </row>
    <row r="1952">
      <c r="E1952">
        <f>O1952=ROUND(1941*0.1,10)</f>
        <v/>
      </c>
      <c r="F1952">
        <f>P1952=ROUND(1941*0.2,10)</f>
        <v/>
      </c>
      <c r="G1952">
        <f>Q1952=ROUND(1941*0.3,10)</f>
        <v/>
      </c>
      <c r="H1952">
        <f>R1952=ROUND(1941*0.05,10)</f>
        <v/>
      </c>
      <c r="I1952">
        <f>S1952=ROUND(1941*0.01,10)</f>
        <v/>
      </c>
      <c r="J1952">
        <f>T1952=ROUND(1941*0.7,10)</f>
        <v/>
      </c>
      <c r="K1952">
        <f>U1952=ROUND(1941*1.1,10)</f>
        <v/>
      </c>
      <c r="L1952">
        <f>V1952=ROUND(1941*0.25,10)</f>
        <v/>
      </c>
      <c r="M1952">
        <f>W1952=ROUND(1941*0.5,10)</f>
        <v/>
      </c>
      <c r="O1952">
        <f>O1951+0.1</f>
        <v/>
      </c>
      <c r="P1952">
        <f>P1951+0.2</f>
        <v/>
      </c>
      <c r="Q1952">
        <f>Q1951+0.3</f>
        <v/>
      </c>
      <c r="R1952">
        <f>R1951+0.05</f>
        <v/>
      </c>
      <c r="S1952">
        <f>S1951+0.01</f>
        <v/>
      </c>
      <c r="T1952">
        <f>T1951+0.7</f>
        <v/>
      </c>
      <c r="U1952">
        <f>U1951+1.1</f>
        <v/>
      </c>
      <c r="V1952">
        <f>V1951+0.25</f>
        <v/>
      </c>
      <c r="W1952">
        <f>W1951+0.5</f>
        <v/>
      </c>
    </row>
    <row r="1953">
      <c r="E1953">
        <f>O1953=ROUND(1942*0.1,10)</f>
        <v/>
      </c>
      <c r="F1953">
        <f>P1953=ROUND(1942*0.2,10)</f>
        <v/>
      </c>
      <c r="G1953">
        <f>Q1953=ROUND(1942*0.3,10)</f>
        <v/>
      </c>
      <c r="H1953">
        <f>R1953=ROUND(1942*0.05,10)</f>
        <v/>
      </c>
      <c r="I1953">
        <f>S1953=ROUND(1942*0.01,10)</f>
        <v/>
      </c>
      <c r="J1953">
        <f>T1953=ROUND(1942*0.7,10)</f>
        <v/>
      </c>
      <c r="K1953">
        <f>U1953=ROUND(1942*1.1,10)</f>
        <v/>
      </c>
      <c r="L1953">
        <f>V1953=ROUND(1942*0.25,10)</f>
        <v/>
      </c>
      <c r="M1953">
        <f>W1953=ROUND(1942*0.5,10)</f>
        <v/>
      </c>
      <c r="O1953">
        <f>O1952+0.1</f>
        <v/>
      </c>
      <c r="P1953">
        <f>P1952+0.2</f>
        <v/>
      </c>
      <c r="Q1953">
        <f>Q1952+0.3</f>
        <v/>
      </c>
      <c r="R1953">
        <f>R1952+0.05</f>
        <v/>
      </c>
      <c r="S1953">
        <f>S1952+0.01</f>
        <v/>
      </c>
      <c r="T1953">
        <f>T1952+0.7</f>
        <v/>
      </c>
      <c r="U1953">
        <f>U1952+1.1</f>
        <v/>
      </c>
      <c r="V1953">
        <f>V1952+0.25</f>
        <v/>
      </c>
      <c r="W1953">
        <f>W1952+0.5</f>
        <v/>
      </c>
    </row>
    <row r="1954">
      <c r="E1954">
        <f>O1954=ROUND(1943*0.1,10)</f>
        <v/>
      </c>
      <c r="F1954">
        <f>P1954=ROUND(1943*0.2,10)</f>
        <v/>
      </c>
      <c r="G1954">
        <f>Q1954=ROUND(1943*0.3,10)</f>
        <v/>
      </c>
      <c r="H1954">
        <f>R1954=ROUND(1943*0.05,10)</f>
        <v/>
      </c>
      <c r="I1954">
        <f>S1954=ROUND(1943*0.01,10)</f>
        <v/>
      </c>
      <c r="J1954">
        <f>T1954=ROUND(1943*0.7,10)</f>
        <v/>
      </c>
      <c r="K1954">
        <f>U1954=ROUND(1943*1.1,10)</f>
        <v/>
      </c>
      <c r="L1954">
        <f>V1954=ROUND(1943*0.25,10)</f>
        <v/>
      </c>
      <c r="M1954">
        <f>W1954=ROUND(1943*0.5,10)</f>
        <v/>
      </c>
      <c r="O1954">
        <f>O1953+0.1</f>
        <v/>
      </c>
      <c r="P1954">
        <f>P1953+0.2</f>
        <v/>
      </c>
      <c r="Q1954">
        <f>Q1953+0.3</f>
        <v/>
      </c>
      <c r="R1954">
        <f>R1953+0.05</f>
        <v/>
      </c>
      <c r="S1954">
        <f>S1953+0.01</f>
        <v/>
      </c>
      <c r="T1954">
        <f>T1953+0.7</f>
        <v/>
      </c>
      <c r="U1954">
        <f>U1953+1.1</f>
        <v/>
      </c>
      <c r="V1954">
        <f>V1953+0.25</f>
        <v/>
      </c>
      <c r="W1954">
        <f>W1953+0.5</f>
        <v/>
      </c>
    </row>
    <row r="1955">
      <c r="E1955">
        <f>O1955=ROUND(1944*0.1,10)</f>
        <v/>
      </c>
      <c r="F1955">
        <f>P1955=ROUND(1944*0.2,10)</f>
        <v/>
      </c>
      <c r="G1955">
        <f>Q1955=ROUND(1944*0.3,10)</f>
        <v/>
      </c>
      <c r="H1955">
        <f>R1955=ROUND(1944*0.05,10)</f>
        <v/>
      </c>
      <c r="I1955">
        <f>S1955=ROUND(1944*0.01,10)</f>
        <v/>
      </c>
      <c r="J1955">
        <f>T1955=ROUND(1944*0.7,10)</f>
        <v/>
      </c>
      <c r="K1955">
        <f>U1955=ROUND(1944*1.1,10)</f>
        <v/>
      </c>
      <c r="L1955">
        <f>V1955=ROUND(1944*0.25,10)</f>
        <v/>
      </c>
      <c r="M1955">
        <f>W1955=ROUND(1944*0.5,10)</f>
        <v/>
      </c>
      <c r="O1955">
        <f>O1954+0.1</f>
        <v/>
      </c>
      <c r="P1955">
        <f>P1954+0.2</f>
        <v/>
      </c>
      <c r="Q1955">
        <f>Q1954+0.3</f>
        <v/>
      </c>
      <c r="R1955">
        <f>R1954+0.05</f>
        <v/>
      </c>
      <c r="S1955">
        <f>S1954+0.01</f>
        <v/>
      </c>
      <c r="T1955">
        <f>T1954+0.7</f>
        <v/>
      </c>
      <c r="U1955">
        <f>U1954+1.1</f>
        <v/>
      </c>
      <c r="V1955">
        <f>V1954+0.25</f>
        <v/>
      </c>
      <c r="W1955">
        <f>W1954+0.5</f>
        <v/>
      </c>
    </row>
    <row r="1956">
      <c r="E1956">
        <f>O1956=ROUND(1945*0.1,10)</f>
        <v/>
      </c>
      <c r="F1956">
        <f>P1956=ROUND(1945*0.2,10)</f>
        <v/>
      </c>
      <c r="G1956">
        <f>Q1956=ROUND(1945*0.3,10)</f>
        <v/>
      </c>
      <c r="H1956">
        <f>R1956=ROUND(1945*0.05,10)</f>
        <v/>
      </c>
      <c r="I1956">
        <f>S1956=ROUND(1945*0.01,10)</f>
        <v/>
      </c>
      <c r="J1956">
        <f>T1956=ROUND(1945*0.7,10)</f>
        <v/>
      </c>
      <c r="K1956">
        <f>U1956=ROUND(1945*1.1,10)</f>
        <v/>
      </c>
      <c r="L1956">
        <f>V1956=ROUND(1945*0.25,10)</f>
        <v/>
      </c>
      <c r="M1956">
        <f>W1956=ROUND(1945*0.5,10)</f>
        <v/>
      </c>
      <c r="O1956">
        <f>O1955+0.1</f>
        <v/>
      </c>
      <c r="P1956">
        <f>P1955+0.2</f>
        <v/>
      </c>
      <c r="Q1956">
        <f>Q1955+0.3</f>
        <v/>
      </c>
      <c r="R1956">
        <f>R1955+0.05</f>
        <v/>
      </c>
      <c r="S1956">
        <f>S1955+0.01</f>
        <v/>
      </c>
      <c r="T1956">
        <f>T1955+0.7</f>
        <v/>
      </c>
      <c r="U1956">
        <f>U1955+1.1</f>
        <v/>
      </c>
      <c r="V1956">
        <f>V1955+0.25</f>
        <v/>
      </c>
      <c r="W1956">
        <f>W1955+0.5</f>
        <v/>
      </c>
    </row>
    <row r="1957">
      <c r="E1957">
        <f>O1957=ROUND(1946*0.1,10)</f>
        <v/>
      </c>
      <c r="F1957">
        <f>P1957=ROUND(1946*0.2,10)</f>
        <v/>
      </c>
      <c r="G1957">
        <f>Q1957=ROUND(1946*0.3,10)</f>
        <v/>
      </c>
      <c r="H1957">
        <f>R1957=ROUND(1946*0.05,10)</f>
        <v/>
      </c>
      <c r="I1957">
        <f>S1957=ROUND(1946*0.01,10)</f>
        <v/>
      </c>
      <c r="J1957">
        <f>T1957=ROUND(1946*0.7,10)</f>
        <v/>
      </c>
      <c r="K1957">
        <f>U1957=ROUND(1946*1.1,10)</f>
        <v/>
      </c>
      <c r="L1957">
        <f>V1957=ROUND(1946*0.25,10)</f>
        <v/>
      </c>
      <c r="M1957">
        <f>W1957=ROUND(1946*0.5,10)</f>
        <v/>
      </c>
      <c r="O1957">
        <f>O1956+0.1</f>
        <v/>
      </c>
      <c r="P1957">
        <f>P1956+0.2</f>
        <v/>
      </c>
      <c r="Q1957">
        <f>Q1956+0.3</f>
        <v/>
      </c>
      <c r="R1957">
        <f>R1956+0.05</f>
        <v/>
      </c>
      <c r="S1957">
        <f>S1956+0.01</f>
        <v/>
      </c>
      <c r="T1957">
        <f>T1956+0.7</f>
        <v/>
      </c>
      <c r="U1957">
        <f>U1956+1.1</f>
        <v/>
      </c>
      <c r="V1957">
        <f>V1956+0.25</f>
        <v/>
      </c>
      <c r="W1957">
        <f>W1956+0.5</f>
        <v/>
      </c>
    </row>
    <row r="1958">
      <c r="E1958">
        <f>O1958=ROUND(1947*0.1,10)</f>
        <v/>
      </c>
      <c r="F1958">
        <f>P1958=ROUND(1947*0.2,10)</f>
        <v/>
      </c>
      <c r="G1958">
        <f>Q1958=ROUND(1947*0.3,10)</f>
        <v/>
      </c>
      <c r="H1958">
        <f>R1958=ROUND(1947*0.05,10)</f>
        <v/>
      </c>
      <c r="I1958">
        <f>S1958=ROUND(1947*0.01,10)</f>
        <v/>
      </c>
      <c r="J1958">
        <f>T1958=ROUND(1947*0.7,10)</f>
        <v/>
      </c>
      <c r="K1958">
        <f>U1958=ROUND(1947*1.1,10)</f>
        <v/>
      </c>
      <c r="L1958">
        <f>V1958=ROUND(1947*0.25,10)</f>
        <v/>
      </c>
      <c r="M1958">
        <f>W1958=ROUND(1947*0.5,10)</f>
        <v/>
      </c>
      <c r="O1958">
        <f>O1957+0.1</f>
        <v/>
      </c>
      <c r="P1958">
        <f>P1957+0.2</f>
        <v/>
      </c>
      <c r="Q1958">
        <f>Q1957+0.3</f>
        <v/>
      </c>
      <c r="R1958">
        <f>R1957+0.05</f>
        <v/>
      </c>
      <c r="S1958">
        <f>S1957+0.01</f>
        <v/>
      </c>
      <c r="T1958">
        <f>T1957+0.7</f>
        <v/>
      </c>
      <c r="U1958">
        <f>U1957+1.1</f>
        <v/>
      </c>
      <c r="V1958">
        <f>V1957+0.25</f>
        <v/>
      </c>
      <c r="W1958">
        <f>W1957+0.5</f>
        <v/>
      </c>
    </row>
    <row r="1959">
      <c r="E1959">
        <f>O1959=ROUND(1948*0.1,10)</f>
        <v/>
      </c>
      <c r="F1959">
        <f>P1959=ROUND(1948*0.2,10)</f>
        <v/>
      </c>
      <c r="G1959">
        <f>Q1959=ROUND(1948*0.3,10)</f>
        <v/>
      </c>
      <c r="H1959">
        <f>R1959=ROUND(1948*0.05,10)</f>
        <v/>
      </c>
      <c r="I1959">
        <f>S1959=ROUND(1948*0.01,10)</f>
        <v/>
      </c>
      <c r="J1959">
        <f>T1959=ROUND(1948*0.7,10)</f>
        <v/>
      </c>
      <c r="K1959">
        <f>U1959=ROUND(1948*1.1,10)</f>
        <v/>
      </c>
      <c r="L1959">
        <f>V1959=ROUND(1948*0.25,10)</f>
        <v/>
      </c>
      <c r="M1959">
        <f>W1959=ROUND(1948*0.5,10)</f>
        <v/>
      </c>
      <c r="O1959">
        <f>O1958+0.1</f>
        <v/>
      </c>
      <c r="P1959">
        <f>P1958+0.2</f>
        <v/>
      </c>
      <c r="Q1959">
        <f>Q1958+0.3</f>
        <v/>
      </c>
      <c r="R1959">
        <f>R1958+0.05</f>
        <v/>
      </c>
      <c r="S1959">
        <f>S1958+0.01</f>
        <v/>
      </c>
      <c r="T1959">
        <f>T1958+0.7</f>
        <v/>
      </c>
      <c r="U1959">
        <f>U1958+1.1</f>
        <v/>
      </c>
      <c r="V1959">
        <f>V1958+0.25</f>
        <v/>
      </c>
      <c r="W1959">
        <f>W1958+0.5</f>
        <v/>
      </c>
    </row>
    <row r="1960">
      <c r="E1960">
        <f>O1960=ROUND(1949*0.1,10)</f>
        <v/>
      </c>
      <c r="F1960">
        <f>P1960=ROUND(1949*0.2,10)</f>
        <v/>
      </c>
      <c r="G1960">
        <f>Q1960=ROUND(1949*0.3,10)</f>
        <v/>
      </c>
      <c r="H1960">
        <f>R1960=ROUND(1949*0.05,10)</f>
        <v/>
      </c>
      <c r="I1960">
        <f>S1960=ROUND(1949*0.01,10)</f>
        <v/>
      </c>
      <c r="J1960">
        <f>T1960=ROUND(1949*0.7,10)</f>
        <v/>
      </c>
      <c r="K1960">
        <f>U1960=ROUND(1949*1.1,10)</f>
        <v/>
      </c>
      <c r="L1960">
        <f>V1960=ROUND(1949*0.25,10)</f>
        <v/>
      </c>
      <c r="M1960">
        <f>W1960=ROUND(1949*0.5,10)</f>
        <v/>
      </c>
      <c r="O1960">
        <f>O1959+0.1</f>
        <v/>
      </c>
      <c r="P1960">
        <f>P1959+0.2</f>
        <v/>
      </c>
      <c r="Q1960">
        <f>Q1959+0.3</f>
        <v/>
      </c>
      <c r="R1960">
        <f>R1959+0.05</f>
        <v/>
      </c>
      <c r="S1960">
        <f>S1959+0.01</f>
        <v/>
      </c>
      <c r="T1960">
        <f>T1959+0.7</f>
        <v/>
      </c>
      <c r="U1960">
        <f>U1959+1.1</f>
        <v/>
      </c>
      <c r="V1960">
        <f>V1959+0.25</f>
        <v/>
      </c>
      <c r="W1960">
        <f>W1959+0.5</f>
        <v/>
      </c>
    </row>
    <row r="1961">
      <c r="E1961">
        <f>O1961=ROUND(1950*0.1,10)</f>
        <v/>
      </c>
      <c r="F1961">
        <f>P1961=ROUND(1950*0.2,10)</f>
        <v/>
      </c>
      <c r="G1961">
        <f>Q1961=ROUND(1950*0.3,10)</f>
        <v/>
      </c>
      <c r="H1961">
        <f>R1961=ROUND(1950*0.05,10)</f>
        <v/>
      </c>
      <c r="I1961">
        <f>S1961=ROUND(1950*0.01,10)</f>
        <v/>
      </c>
      <c r="J1961">
        <f>T1961=ROUND(1950*0.7,10)</f>
        <v/>
      </c>
      <c r="K1961">
        <f>U1961=ROUND(1950*1.1,10)</f>
        <v/>
      </c>
      <c r="L1961">
        <f>V1961=ROUND(1950*0.25,10)</f>
        <v/>
      </c>
      <c r="M1961">
        <f>W1961=ROUND(1950*0.5,10)</f>
        <v/>
      </c>
      <c r="O1961">
        <f>O1960+0.1</f>
        <v/>
      </c>
      <c r="P1961">
        <f>P1960+0.2</f>
        <v/>
      </c>
      <c r="Q1961">
        <f>Q1960+0.3</f>
        <v/>
      </c>
      <c r="R1961">
        <f>R1960+0.05</f>
        <v/>
      </c>
      <c r="S1961">
        <f>S1960+0.01</f>
        <v/>
      </c>
      <c r="T1961">
        <f>T1960+0.7</f>
        <v/>
      </c>
      <c r="U1961">
        <f>U1960+1.1</f>
        <v/>
      </c>
      <c r="V1961">
        <f>V1960+0.25</f>
        <v/>
      </c>
      <c r="W1961">
        <f>W1960+0.5</f>
        <v/>
      </c>
    </row>
    <row r="1962">
      <c r="E1962">
        <f>O1962=ROUND(1951*0.1,10)</f>
        <v/>
      </c>
      <c r="F1962">
        <f>P1962=ROUND(1951*0.2,10)</f>
        <v/>
      </c>
      <c r="G1962">
        <f>Q1962=ROUND(1951*0.3,10)</f>
        <v/>
      </c>
      <c r="H1962">
        <f>R1962=ROUND(1951*0.05,10)</f>
        <v/>
      </c>
      <c r="I1962">
        <f>S1962=ROUND(1951*0.01,10)</f>
        <v/>
      </c>
      <c r="J1962">
        <f>T1962=ROUND(1951*0.7,10)</f>
        <v/>
      </c>
      <c r="K1962">
        <f>U1962=ROUND(1951*1.1,10)</f>
        <v/>
      </c>
      <c r="L1962">
        <f>V1962=ROUND(1951*0.25,10)</f>
        <v/>
      </c>
      <c r="M1962">
        <f>W1962=ROUND(1951*0.5,10)</f>
        <v/>
      </c>
      <c r="O1962">
        <f>O1961+0.1</f>
        <v/>
      </c>
      <c r="P1962">
        <f>P1961+0.2</f>
        <v/>
      </c>
      <c r="Q1962">
        <f>Q1961+0.3</f>
        <v/>
      </c>
      <c r="R1962">
        <f>R1961+0.05</f>
        <v/>
      </c>
      <c r="S1962">
        <f>S1961+0.01</f>
        <v/>
      </c>
      <c r="T1962">
        <f>T1961+0.7</f>
        <v/>
      </c>
      <c r="U1962">
        <f>U1961+1.1</f>
        <v/>
      </c>
      <c r="V1962">
        <f>V1961+0.25</f>
        <v/>
      </c>
      <c r="W1962">
        <f>W1961+0.5</f>
        <v/>
      </c>
    </row>
    <row r="1963">
      <c r="E1963">
        <f>O1963=ROUND(1952*0.1,10)</f>
        <v/>
      </c>
      <c r="F1963">
        <f>P1963=ROUND(1952*0.2,10)</f>
        <v/>
      </c>
      <c r="G1963">
        <f>Q1963=ROUND(1952*0.3,10)</f>
        <v/>
      </c>
      <c r="H1963">
        <f>R1963=ROUND(1952*0.05,10)</f>
        <v/>
      </c>
      <c r="I1963">
        <f>S1963=ROUND(1952*0.01,10)</f>
        <v/>
      </c>
      <c r="J1963">
        <f>T1963=ROUND(1952*0.7,10)</f>
        <v/>
      </c>
      <c r="K1963">
        <f>U1963=ROUND(1952*1.1,10)</f>
        <v/>
      </c>
      <c r="L1963">
        <f>V1963=ROUND(1952*0.25,10)</f>
        <v/>
      </c>
      <c r="M1963">
        <f>W1963=ROUND(1952*0.5,10)</f>
        <v/>
      </c>
      <c r="O1963">
        <f>O1962+0.1</f>
        <v/>
      </c>
      <c r="P1963">
        <f>P1962+0.2</f>
        <v/>
      </c>
      <c r="Q1963">
        <f>Q1962+0.3</f>
        <v/>
      </c>
      <c r="R1963">
        <f>R1962+0.05</f>
        <v/>
      </c>
      <c r="S1963">
        <f>S1962+0.01</f>
        <v/>
      </c>
      <c r="T1963">
        <f>T1962+0.7</f>
        <v/>
      </c>
      <c r="U1963">
        <f>U1962+1.1</f>
        <v/>
      </c>
      <c r="V1963">
        <f>V1962+0.25</f>
        <v/>
      </c>
      <c r="W1963">
        <f>W1962+0.5</f>
        <v/>
      </c>
    </row>
    <row r="1964">
      <c r="E1964">
        <f>O1964=ROUND(1953*0.1,10)</f>
        <v/>
      </c>
      <c r="F1964">
        <f>P1964=ROUND(1953*0.2,10)</f>
        <v/>
      </c>
      <c r="G1964">
        <f>Q1964=ROUND(1953*0.3,10)</f>
        <v/>
      </c>
      <c r="H1964">
        <f>R1964=ROUND(1953*0.05,10)</f>
        <v/>
      </c>
      <c r="I1964">
        <f>S1964=ROUND(1953*0.01,10)</f>
        <v/>
      </c>
      <c r="J1964">
        <f>T1964=ROUND(1953*0.7,10)</f>
        <v/>
      </c>
      <c r="K1964">
        <f>U1964=ROUND(1953*1.1,10)</f>
        <v/>
      </c>
      <c r="L1964">
        <f>V1964=ROUND(1953*0.25,10)</f>
        <v/>
      </c>
      <c r="M1964">
        <f>W1964=ROUND(1953*0.5,10)</f>
        <v/>
      </c>
      <c r="O1964">
        <f>O1963+0.1</f>
        <v/>
      </c>
      <c r="P1964">
        <f>P1963+0.2</f>
        <v/>
      </c>
      <c r="Q1964">
        <f>Q1963+0.3</f>
        <v/>
      </c>
      <c r="R1964">
        <f>R1963+0.05</f>
        <v/>
      </c>
      <c r="S1964">
        <f>S1963+0.01</f>
        <v/>
      </c>
      <c r="T1964">
        <f>T1963+0.7</f>
        <v/>
      </c>
      <c r="U1964">
        <f>U1963+1.1</f>
        <v/>
      </c>
      <c r="V1964">
        <f>V1963+0.25</f>
        <v/>
      </c>
      <c r="W1964">
        <f>W1963+0.5</f>
        <v/>
      </c>
    </row>
    <row r="1965">
      <c r="E1965">
        <f>O1965=ROUND(1954*0.1,10)</f>
        <v/>
      </c>
      <c r="F1965">
        <f>P1965=ROUND(1954*0.2,10)</f>
        <v/>
      </c>
      <c r="G1965">
        <f>Q1965=ROUND(1954*0.3,10)</f>
        <v/>
      </c>
      <c r="H1965">
        <f>R1965=ROUND(1954*0.05,10)</f>
        <v/>
      </c>
      <c r="I1965">
        <f>S1965=ROUND(1954*0.01,10)</f>
        <v/>
      </c>
      <c r="J1965">
        <f>T1965=ROUND(1954*0.7,10)</f>
        <v/>
      </c>
      <c r="K1965">
        <f>U1965=ROUND(1954*1.1,10)</f>
        <v/>
      </c>
      <c r="L1965">
        <f>V1965=ROUND(1954*0.25,10)</f>
        <v/>
      </c>
      <c r="M1965">
        <f>W1965=ROUND(1954*0.5,10)</f>
        <v/>
      </c>
      <c r="O1965">
        <f>O1964+0.1</f>
        <v/>
      </c>
      <c r="P1965">
        <f>P1964+0.2</f>
        <v/>
      </c>
      <c r="Q1965">
        <f>Q1964+0.3</f>
        <v/>
      </c>
      <c r="R1965">
        <f>R1964+0.05</f>
        <v/>
      </c>
      <c r="S1965">
        <f>S1964+0.01</f>
        <v/>
      </c>
      <c r="T1965">
        <f>T1964+0.7</f>
        <v/>
      </c>
      <c r="U1965">
        <f>U1964+1.1</f>
        <v/>
      </c>
      <c r="V1965">
        <f>V1964+0.25</f>
        <v/>
      </c>
      <c r="W1965">
        <f>W1964+0.5</f>
        <v/>
      </c>
    </row>
    <row r="1966">
      <c r="E1966">
        <f>O1966=ROUND(1955*0.1,10)</f>
        <v/>
      </c>
      <c r="F1966">
        <f>P1966=ROUND(1955*0.2,10)</f>
        <v/>
      </c>
      <c r="G1966">
        <f>Q1966=ROUND(1955*0.3,10)</f>
        <v/>
      </c>
      <c r="H1966">
        <f>R1966=ROUND(1955*0.05,10)</f>
        <v/>
      </c>
      <c r="I1966">
        <f>S1966=ROUND(1955*0.01,10)</f>
        <v/>
      </c>
      <c r="J1966">
        <f>T1966=ROUND(1955*0.7,10)</f>
        <v/>
      </c>
      <c r="K1966">
        <f>U1966=ROUND(1955*1.1,10)</f>
        <v/>
      </c>
      <c r="L1966">
        <f>V1966=ROUND(1955*0.25,10)</f>
        <v/>
      </c>
      <c r="M1966">
        <f>W1966=ROUND(1955*0.5,10)</f>
        <v/>
      </c>
      <c r="O1966">
        <f>O1965+0.1</f>
        <v/>
      </c>
      <c r="P1966">
        <f>P1965+0.2</f>
        <v/>
      </c>
      <c r="Q1966">
        <f>Q1965+0.3</f>
        <v/>
      </c>
      <c r="R1966">
        <f>R1965+0.05</f>
        <v/>
      </c>
      <c r="S1966">
        <f>S1965+0.01</f>
        <v/>
      </c>
      <c r="T1966">
        <f>T1965+0.7</f>
        <v/>
      </c>
      <c r="U1966">
        <f>U1965+1.1</f>
        <v/>
      </c>
      <c r="V1966">
        <f>V1965+0.25</f>
        <v/>
      </c>
      <c r="W1966">
        <f>W1965+0.5</f>
        <v/>
      </c>
    </row>
    <row r="1967">
      <c r="E1967">
        <f>O1967=ROUND(1956*0.1,10)</f>
        <v/>
      </c>
      <c r="F1967">
        <f>P1967=ROUND(1956*0.2,10)</f>
        <v/>
      </c>
      <c r="G1967">
        <f>Q1967=ROUND(1956*0.3,10)</f>
        <v/>
      </c>
      <c r="H1967">
        <f>R1967=ROUND(1956*0.05,10)</f>
        <v/>
      </c>
      <c r="I1967">
        <f>S1967=ROUND(1956*0.01,10)</f>
        <v/>
      </c>
      <c r="J1967">
        <f>T1967=ROUND(1956*0.7,10)</f>
        <v/>
      </c>
      <c r="K1967">
        <f>U1967=ROUND(1956*1.1,10)</f>
        <v/>
      </c>
      <c r="L1967">
        <f>V1967=ROUND(1956*0.25,10)</f>
        <v/>
      </c>
      <c r="M1967">
        <f>W1967=ROUND(1956*0.5,10)</f>
        <v/>
      </c>
      <c r="O1967">
        <f>O1966+0.1</f>
        <v/>
      </c>
      <c r="P1967">
        <f>P1966+0.2</f>
        <v/>
      </c>
      <c r="Q1967">
        <f>Q1966+0.3</f>
        <v/>
      </c>
      <c r="R1967">
        <f>R1966+0.05</f>
        <v/>
      </c>
      <c r="S1967">
        <f>S1966+0.01</f>
        <v/>
      </c>
      <c r="T1967">
        <f>T1966+0.7</f>
        <v/>
      </c>
      <c r="U1967">
        <f>U1966+1.1</f>
        <v/>
      </c>
      <c r="V1967">
        <f>V1966+0.25</f>
        <v/>
      </c>
      <c r="W1967">
        <f>W1966+0.5</f>
        <v/>
      </c>
    </row>
    <row r="1968">
      <c r="E1968">
        <f>O1968=ROUND(1957*0.1,10)</f>
        <v/>
      </c>
      <c r="F1968">
        <f>P1968=ROUND(1957*0.2,10)</f>
        <v/>
      </c>
      <c r="G1968">
        <f>Q1968=ROUND(1957*0.3,10)</f>
        <v/>
      </c>
      <c r="H1968">
        <f>R1968=ROUND(1957*0.05,10)</f>
        <v/>
      </c>
      <c r="I1968">
        <f>S1968=ROUND(1957*0.01,10)</f>
        <v/>
      </c>
      <c r="J1968">
        <f>T1968=ROUND(1957*0.7,10)</f>
        <v/>
      </c>
      <c r="K1968">
        <f>U1968=ROUND(1957*1.1,10)</f>
        <v/>
      </c>
      <c r="L1968">
        <f>V1968=ROUND(1957*0.25,10)</f>
        <v/>
      </c>
      <c r="M1968">
        <f>W1968=ROUND(1957*0.5,10)</f>
        <v/>
      </c>
      <c r="O1968">
        <f>O1967+0.1</f>
        <v/>
      </c>
      <c r="P1968">
        <f>P1967+0.2</f>
        <v/>
      </c>
      <c r="Q1968">
        <f>Q1967+0.3</f>
        <v/>
      </c>
      <c r="R1968">
        <f>R1967+0.05</f>
        <v/>
      </c>
      <c r="S1968">
        <f>S1967+0.01</f>
        <v/>
      </c>
      <c r="T1968">
        <f>T1967+0.7</f>
        <v/>
      </c>
      <c r="U1968">
        <f>U1967+1.1</f>
        <v/>
      </c>
      <c r="V1968">
        <f>V1967+0.25</f>
        <v/>
      </c>
      <c r="W1968">
        <f>W1967+0.5</f>
        <v/>
      </c>
    </row>
    <row r="1969">
      <c r="E1969">
        <f>O1969=ROUND(1958*0.1,10)</f>
        <v/>
      </c>
      <c r="F1969">
        <f>P1969=ROUND(1958*0.2,10)</f>
        <v/>
      </c>
      <c r="G1969">
        <f>Q1969=ROUND(1958*0.3,10)</f>
        <v/>
      </c>
      <c r="H1969">
        <f>R1969=ROUND(1958*0.05,10)</f>
        <v/>
      </c>
      <c r="I1969">
        <f>S1969=ROUND(1958*0.01,10)</f>
        <v/>
      </c>
      <c r="J1969">
        <f>T1969=ROUND(1958*0.7,10)</f>
        <v/>
      </c>
      <c r="K1969">
        <f>U1969=ROUND(1958*1.1,10)</f>
        <v/>
      </c>
      <c r="L1969">
        <f>V1969=ROUND(1958*0.25,10)</f>
        <v/>
      </c>
      <c r="M1969">
        <f>W1969=ROUND(1958*0.5,10)</f>
        <v/>
      </c>
      <c r="O1969">
        <f>O1968+0.1</f>
        <v/>
      </c>
      <c r="P1969">
        <f>P1968+0.2</f>
        <v/>
      </c>
      <c r="Q1969">
        <f>Q1968+0.3</f>
        <v/>
      </c>
      <c r="R1969">
        <f>R1968+0.05</f>
        <v/>
      </c>
      <c r="S1969">
        <f>S1968+0.01</f>
        <v/>
      </c>
      <c r="T1969">
        <f>T1968+0.7</f>
        <v/>
      </c>
      <c r="U1969">
        <f>U1968+1.1</f>
        <v/>
      </c>
      <c r="V1969">
        <f>V1968+0.25</f>
        <v/>
      </c>
      <c r="W1969">
        <f>W1968+0.5</f>
        <v/>
      </c>
    </row>
    <row r="1970">
      <c r="E1970">
        <f>O1970=ROUND(1959*0.1,10)</f>
        <v/>
      </c>
      <c r="F1970">
        <f>P1970=ROUND(1959*0.2,10)</f>
        <v/>
      </c>
      <c r="G1970">
        <f>Q1970=ROUND(1959*0.3,10)</f>
        <v/>
      </c>
      <c r="H1970">
        <f>R1970=ROUND(1959*0.05,10)</f>
        <v/>
      </c>
      <c r="I1970">
        <f>S1970=ROUND(1959*0.01,10)</f>
        <v/>
      </c>
      <c r="J1970">
        <f>T1970=ROUND(1959*0.7,10)</f>
        <v/>
      </c>
      <c r="K1970">
        <f>U1970=ROUND(1959*1.1,10)</f>
        <v/>
      </c>
      <c r="L1970">
        <f>V1970=ROUND(1959*0.25,10)</f>
        <v/>
      </c>
      <c r="M1970">
        <f>W1970=ROUND(1959*0.5,10)</f>
        <v/>
      </c>
      <c r="O1970">
        <f>O1969+0.1</f>
        <v/>
      </c>
      <c r="P1970">
        <f>P1969+0.2</f>
        <v/>
      </c>
      <c r="Q1970">
        <f>Q1969+0.3</f>
        <v/>
      </c>
      <c r="R1970">
        <f>R1969+0.05</f>
        <v/>
      </c>
      <c r="S1970">
        <f>S1969+0.01</f>
        <v/>
      </c>
      <c r="T1970">
        <f>T1969+0.7</f>
        <v/>
      </c>
      <c r="U1970">
        <f>U1969+1.1</f>
        <v/>
      </c>
      <c r="V1970">
        <f>V1969+0.25</f>
        <v/>
      </c>
      <c r="W1970">
        <f>W1969+0.5</f>
        <v/>
      </c>
    </row>
    <row r="1971">
      <c r="E1971">
        <f>O1971=ROUND(1960*0.1,10)</f>
        <v/>
      </c>
      <c r="F1971">
        <f>P1971=ROUND(1960*0.2,10)</f>
        <v/>
      </c>
      <c r="G1971">
        <f>Q1971=ROUND(1960*0.3,10)</f>
        <v/>
      </c>
      <c r="H1971">
        <f>R1971=ROUND(1960*0.05,10)</f>
        <v/>
      </c>
      <c r="I1971">
        <f>S1971=ROUND(1960*0.01,10)</f>
        <v/>
      </c>
      <c r="J1971">
        <f>T1971=ROUND(1960*0.7,10)</f>
        <v/>
      </c>
      <c r="K1971">
        <f>U1971=ROUND(1960*1.1,10)</f>
        <v/>
      </c>
      <c r="L1971">
        <f>V1971=ROUND(1960*0.25,10)</f>
        <v/>
      </c>
      <c r="M1971">
        <f>W1971=ROUND(1960*0.5,10)</f>
        <v/>
      </c>
      <c r="O1971">
        <f>O1970+0.1</f>
        <v/>
      </c>
      <c r="P1971">
        <f>P1970+0.2</f>
        <v/>
      </c>
      <c r="Q1971">
        <f>Q1970+0.3</f>
        <v/>
      </c>
      <c r="R1971">
        <f>R1970+0.05</f>
        <v/>
      </c>
      <c r="S1971">
        <f>S1970+0.01</f>
        <v/>
      </c>
      <c r="T1971">
        <f>T1970+0.7</f>
        <v/>
      </c>
      <c r="U1971">
        <f>U1970+1.1</f>
        <v/>
      </c>
      <c r="V1971">
        <f>V1970+0.25</f>
        <v/>
      </c>
      <c r="W1971">
        <f>W1970+0.5</f>
        <v/>
      </c>
    </row>
    <row r="1972">
      <c r="E1972">
        <f>O1972=ROUND(1961*0.1,10)</f>
        <v/>
      </c>
      <c r="F1972">
        <f>P1972=ROUND(1961*0.2,10)</f>
        <v/>
      </c>
      <c r="G1972">
        <f>Q1972=ROUND(1961*0.3,10)</f>
        <v/>
      </c>
      <c r="H1972">
        <f>R1972=ROUND(1961*0.05,10)</f>
        <v/>
      </c>
      <c r="I1972">
        <f>S1972=ROUND(1961*0.01,10)</f>
        <v/>
      </c>
      <c r="J1972">
        <f>T1972=ROUND(1961*0.7,10)</f>
        <v/>
      </c>
      <c r="K1972">
        <f>U1972=ROUND(1961*1.1,10)</f>
        <v/>
      </c>
      <c r="L1972">
        <f>V1972=ROUND(1961*0.25,10)</f>
        <v/>
      </c>
      <c r="M1972">
        <f>W1972=ROUND(1961*0.5,10)</f>
        <v/>
      </c>
      <c r="O1972">
        <f>O1971+0.1</f>
        <v/>
      </c>
      <c r="P1972">
        <f>P1971+0.2</f>
        <v/>
      </c>
      <c r="Q1972">
        <f>Q1971+0.3</f>
        <v/>
      </c>
      <c r="R1972">
        <f>R1971+0.05</f>
        <v/>
      </c>
      <c r="S1972">
        <f>S1971+0.01</f>
        <v/>
      </c>
      <c r="T1972">
        <f>T1971+0.7</f>
        <v/>
      </c>
      <c r="U1972">
        <f>U1971+1.1</f>
        <v/>
      </c>
      <c r="V1972">
        <f>V1971+0.25</f>
        <v/>
      </c>
      <c r="W1972">
        <f>W1971+0.5</f>
        <v/>
      </c>
    </row>
    <row r="1973">
      <c r="E1973">
        <f>O1973=ROUND(1962*0.1,10)</f>
        <v/>
      </c>
      <c r="F1973">
        <f>P1973=ROUND(1962*0.2,10)</f>
        <v/>
      </c>
      <c r="G1973">
        <f>Q1973=ROUND(1962*0.3,10)</f>
        <v/>
      </c>
      <c r="H1973">
        <f>R1973=ROUND(1962*0.05,10)</f>
        <v/>
      </c>
      <c r="I1973">
        <f>S1973=ROUND(1962*0.01,10)</f>
        <v/>
      </c>
      <c r="J1973">
        <f>T1973=ROUND(1962*0.7,10)</f>
        <v/>
      </c>
      <c r="K1973">
        <f>U1973=ROUND(1962*1.1,10)</f>
        <v/>
      </c>
      <c r="L1973">
        <f>V1973=ROUND(1962*0.25,10)</f>
        <v/>
      </c>
      <c r="M1973">
        <f>W1973=ROUND(1962*0.5,10)</f>
        <v/>
      </c>
      <c r="O1973">
        <f>O1972+0.1</f>
        <v/>
      </c>
      <c r="P1973">
        <f>P1972+0.2</f>
        <v/>
      </c>
      <c r="Q1973">
        <f>Q1972+0.3</f>
        <v/>
      </c>
      <c r="R1973">
        <f>R1972+0.05</f>
        <v/>
      </c>
      <c r="S1973">
        <f>S1972+0.01</f>
        <v/>
      </c>
      <c r="T1973">
        <f>T1972+0.7</f>
        <v/>
      </c>
      <c r="U1973">
        <f>U1972+1.1</f>
        <v/>
      </c>
      <c r="V1973">
        <f>V1972+0.25</f>
        <v/>
      </c>
      <c r="W1973">
        <f>W1972+0.5</f>
        <v/>
      </c>
    </row>
    <row r="1974">
      <c r="E1974">
        <f>O1974=ROUND(1963*0.1,10)</f>
        <v/>
      </c>
      <c r="F1974">
        <f>P1974=ROUND(1963*0.2,10)</f>
        <v/>
      </c>
      <c r="G1974">
        <f>Q1974=ROUND(1963*0.3,10)</f>
        <v/>
      </c>
      <c r="H1974">
        <f>R1974=ROUND(1963*0.05,10)</f>
        <v/>
      </c>
      <c r="I1974">
        <f>S1974=ROUND(1963*0.01,10)</f>
        <v/>
      </c>
      <c r="J1974">
        <f>T1974=ROUND(1963*0.7,10)</f>
        <v/>
      </c>
      <c r="K1974">
        <f>U1974=ROUND(1963*1.1,10)</f>
        <v/>
      </c>
      <c r="L1974">
        <f>V1974=ROUND(1963*0.25,10)</f>
        <v/>
      </c>
      <c r="M1974">
        <f>W1974=ROUND(1963*0.5,10)</f>
        <v/>
      </c>
      <c r="O1974">
        <f>O1973+0.1</f>
        <v/>
      </c>
      <c r="P1974">
        <f>P1973+0.2</f>
        <v/>
      </c>
      <c r="Q1974">
        <f>Q1973+0.3</f>
        <v/>
      </c>
      <c r="R1974">
        <f>R1973+0.05</f>
        <v/>
      </c>
      <c r="S1974">
        <f>S1973+0.01</f>
        <v/>
      </c>
      <c r="T1974">
        <f>T1973+0.7</f>
        <v/>
      </c>
      <c r="U1974">
        <f>U1973+1.1</f>
        <v/>
      </c>
      <c r="V1974">
        <f>V1973+0.25</f>
        <v/>
      </c>
      <c r="W1974">
        <f>W1973+0.5</f>
        <v/>
      </c>
    </row>
    <row r="1975">
      <c r="E1975">
        <f>O1975=ROUND(1964*0.1,10)</f>
        <v/>
      </c>
      <c r="F1975">
        <f>P1975=ROUND(1964*0.2,10)</f>
        <v/>
      </c>
      <c r="G1975">
        <f>Q1975=ROUND(1964*0.3,10)</f>
        <v/>
      </c>
      <c r="H1975">
        <f>R1975=ROUND(1964*0.05,10)</f>
        <v/>
      </c>
      <c r="I1975">
        <f>S1975=ROUND(1964*0.01,10)</f>
        <v/>
      </c>
      <c r="J1975">
        <f>T1975=ROUND(1964*0.7,10)</f>
        <v/>
      </c>
      <c r="K1975">
        <f>U1975=ROUND(1964*1.1,10)</f>
        <v/>
      </c>
      <c r="L1975">
        <f>V1975=ROUND(1964*0.25,10)</f>
        <v/>
      </c>
      <c r="M1975">
        <f>W1975=ROUND(1964*0.5,10)</f>
        <v/>
      </c>
      <c r="O1975">
        <f>O1974+0.1</f>
        <v/>
      </c>
      <c r="P1975">
        <f>P1974+0.2</f>
        <v/>
      </c>
      <c r="Q1975">
        <f>Q1974+0.3</f>
        <v/>
      </c>
      <c r="R1975">
        <f>R1974+0.05</f>
        <v/>
      </c>
      <c r="S1975">
        <f>S1974+0.01</f>
        <v/>
      </c>
      <c r="T1975">
        <f>T1974+0.7</f>
        <v/>
      </c>
      <c r="U1975">
        <f>U1974+1.1</f>
        <v/>
      </c>
      <c r="V1975">
        <f>V1974+0.25</f>
        <v/>
      </c>
      <c r="W1975">
        <f>W1974+0.5</f>
        <v/>
      </c>
    </row>
    <row r="1976">
      <c r="E1976">
        <f>O1976=ROUND(1965*0.1,10)</f>
        <v/>
      </c>
      <c r="F1976">
        <f>P1976=ROUND(1965*0.2,10)</f>
        <v/>
      </c>
      <c r="G1976">
        <f>Q1976=ROUND(1965*0.3,10)</f>
        <v/>
      </c>
      <c r="H1976">
        <f>R1976=ROUND(1965*0.05,10)</f>
        <v/>
      </c>
      <c r="I1976">
        <f>S1976=ROUND(1965*0.01,10)</f>
        <v/>
      </c>
      <c r="J1976">
        <f>T1976=ROUND(1965*0.7,10)</f>
        <v/>
      </c>
      <c r="K1976">
        <f>U1976=ROUND(1965*1.1,10)</f>
        <v/>
      </c>
      <c r="L1976">
        <f>V1976=ROUND(1965*0.25,10)</f>
        <v/>
      </c>
      <c r="M1976">
        <f>W1976=ROUND(1965*0.5,10)</f>
        <v/>
      </c>
      <c r="O1976">
        <f>O1975+0.1</f>
        <v/>
      </c>
      <c r="P1976">
        <f>P1975+0.2</f>
        <v/>
      </c>
      <c r="Q1976">
        <f>Q1975+0.3</f>
        <v/>
      </c>
      <c r="R1976">
        <f>R1975+0.05</f>
        <v/>
      </c>
      <c r="S1976">
        <f>S1975+0.01</f>
        <v/>
      </c>
      <c r="T1976">
        <f>T1975+0.7</f>
        <v/>
      </c>
      <c r="U1976">
        <f>U1975+1.1</f>
        <v/>
      </c>
      <c r="V1976">
        <f>V1975+0.25</f>
        <v/>
      </c>
      <c r="W1976">
        <f>W1975+0.5</f>
        <v/>
      </c>
    </row>
    <row r="1977">
      <c r="E1977">
        <f>O1977=ROUND(1966*0.1,10)</f>
        <v/>
      </c>
      <c r="F1977">
        <f>P1977=ROUND(1966*0.2,10)</f>
        <v/>
      </c>
      <c r="G1977">
        <f>Q1977=ROUND(1966*0.3,10)</f>
        <v/>
      </c>
      <c r="H1977">
        <f>R1977=ROUND(1966*0.05,10)</f>
        <v/>
      </c>
      <c r="I1977">
        <f>S1977=ROUND(1966*0.01,10)</f>
        <v/>
      </c>
      <c r="J1977">
        <f>T1977=ROUND(1966*0.7,10)</f>
        <v/>
      </c>
      <c r="K1977">
        <f>U1977=ROUND(1966*1.1,10)</f>
        <v/>
      </c>
      <c r="L1977">
        <f>V1977=ROUND(1966*0.25,10)</f>
        <v/>
      </c>
      <c r="M1977">
        <f>W1977=ROUND(1966*0.5,10)</f>
        <v/>
      </c>
      <c r="O1977">
        <f>O1976+0.1</f>
        <v/>
      </c>
      <c r="P1977">
        <f>P1976+0.2</f>
        <v/>
      </c>
      <c r="Q1977">
        <f>Q1976+0.3</f>
        <v/>
      </c>
      <c r="R1977">
        <f>R1976+0.05</f>
        <v/>
      </c>
      <c r="S1977">
        <f>S1976+0.01</f>
        <v/>
      </c>
      <c r="T1977">
        <f>T1976+0.7</f>
        <v/>
      </c>
      <c r="U1977">
        <f>U1976+1.1</f>
        <v/>
      </c>
      <c r="V1977">
        <f>V1976+0.25</f>
        <v/>
      </c>
      <c r="W1977">
        <f>W1976+0.5</f>
        <v/>
      </c>
    </row>
    <row r="1978">
      <c r="E1978">
        <f>O1978=ROUND(1967*0.1,10)</f>
        <v/>
      </c>
      <c r="F1978">
        <f>P1978=ROUND(1967*0.2,10)</f>
        <v/>
      </c>
      <c r="G1978">
        <f>Q1978=ROUND(1967*0.3,10)</f>
        <v/>
      </c>
      <c r="H1978">
        <f>R1978=ROUND(1967*0.05,10)</f>
        <v/>
      </c>
      <c r="I1978">
        <f>S1978=ROUND(1967*0.01,10)</f>
        <v/>
      </c>
      <c r="J1978">
        <f>T1978=ROUND(1967*0.7,10)</f>
        <v/>
      </c>
      <c r="K1978">
        <f>U1978=ROUND(1967*1.1,10)</f>
        <v/>
      </c>
      <c r="L1978">
        <f>V1978=ROUND(1967*0.25,10)</f>
        <v/>
      </c>
      <c r="M1978">
        <f>W1978=ROUND(1967*0.5,10)</f>
        <v/>
      </c>
      <c r="O1978">
        <f>O1977+0.1</f>
        <v/>
      </c>
      <c r="P1978">
        <f>P1977+0.2</f>
        <v/>
      </c>
      <c r="Q1978">
        <f>Q1977+0.3</f>
        <v/>
      </c>
      <c r="R1978">
        <f>R1977+0.05</f>
        <v/>
      </c>
      <c r="S1978">
        <f>S1977+0.01</f>
        <v/>
      </c>
      <c r="T1978">
        <f>T1977+0.7</f>
        <v/>
      </c>
      <c r="U1978">
        <f>U1977+1.1</f>
        <v/>
      </c>
      <c r="V1978">
        <f>V1977+0.25</f>
        <v/>
      </c>
      <c r="W1978">
        <f>W1977+0.5</f>
        <v/>
      </c>
    </row>
    <row r="1979">
      <c r="E1979">
        <f>O1979=ROUND(1968*0.1,10)</f>
        <v/>
      </c>
      <c r="F1979">
        <f>P1979=ROUND(1968*0.2,10)</f>
        <v/>
      </c>
      <c r="G1979">
        <f>Q1979=ROUND(1968*0.3,10)</f>
        <v/>
      </c>
      <c r="H1979">
        <f>R1979=ROUND(1968*0.05,10)</f>
        <v/>
      </c>
      <c r="I1979">
        <f>S1979=ROUND(1968*0.01,10)</f>
        <v/>
      </c>
      <c r="J1979">
        <f>T1979=ROUND(1968*0.7,10)</f>
        <v/>
      </c>
      <c r="K1979">
        <f>U1979=ROUND(1968*1.1,10)</f>
        <v/>
      </c>
      <c r="L1979">
        <f>V1979=ROUND(1968*0.25,10)</f>
        <v/>
      </c>
      <c r="M1979">
        <f>W1979=ROUND(1968*0.5,10)</f>
        <v/>
      </c>
      <c r="O1979">
        <f>O1978+0.1</f>
        <v/>
      </c>
      <c r="P1979">
        <f>P1978+0.2</f>
        <v/>
      </c>
      <c r="Q1979">
        <f>Q1978+0.3</f>
        <v/>
      </c>
      <c r="R1979">
        <f>R1978+0.05</f>
        <v/>
      </c>
      <c r="S1979">
        <f>S1978+0.01</f>
        <v/>
      </c>
      <c r="T1979">
        <f>T1978+0.7</f>
        <v/>
      </c>
      <c r="U1979">
        <f>U1978+1.1</f>
        <v/>
      </c>
      <c r="V1979">
        <f>V1978+0.25</f>
        <v/>
      </c>
      <c r="W1979">
        <f>W1978+0.5</f>
        <v/>
      </c>
    </row>
    <row r="1980">
      <c r="E1980">
        <f>O1980=ROUND(1969*0.1,10)</f>
        <v/>
      </c>
      <c r="F1980">
        <f>P1980=ROUND(1969*0.2,10)</f>
        <v/>
      </c>
      <c r="G1980">
        <f>Q1980=ROUND(1969*0.3,10)</f>
        <v/>
      </c>
      <c r="H1980">
        <f>R1980=ROUND(1969*0.05,10)</f>
        <v/>
      </c>
      <c r="I1980">
        <f>S1980=ROUND(1969*0.01,10)</f>
        <v/>
      </c>
      <c r="J1980">
        <f>T1980=ROUND(1969*0.7,10)</f>
        <v/>
      </c>
      <c r="K1980">
        <f>U1980=ROUND(1969*1.1,10)</f>
        <v/>
      </c>
      <c r="L1980">
        <f>V1980=ROUND(1969*0.25,10)</f>
        <v/>
      </c>
      <c r="M1980">
        <f>W1980=ROUND(1969*0.5,10)</f>
        <v/>
      </c>
      <c r="O1980">
        <f>O1979+0.1</f>
        <v/>
      </c>
      <c r="P1980">
        <f>P1979+0.2</f>
        <v/>
      </c>
      <c r="Q1980">
        <f>Q1979+0.3</f>
        <v/>
      </c>
      <c r="R1980">
        <f>R1979+0.05</f>
        <v/>
      </c>
      <c r="S1980">
        <f>S1979+0.01</f>
        <v/>
      </c>
      <c r="T1980">
        <f>T1979+0.7</f>
        <v/>
      </c>
      <c r="U1980">
        <f>U1979+1.1</f>
        <v/>
      </c>
      <c r="V1980">
        <f>V1979+0.25</f>
        <v/>
      </c>
      <c r="W1980">
        <f>W1979+0.5</f>
        <v/>
      </c>
    </row>
    <row r="1981">
      <c r="E1981">
        <f>O1981=ROUND(1970*0.1,10)</f>
        <v/>
      </c>
      <c r="F1981">
        <f>P1981=ROUND(1970*0.2,10)</f>
        <v/>
      </c>
      <c r="G1981">
        <f>Q1981=ROUND(1970*0.3,10)</f>
        <v/>
      </c>
      <c r="H1981">
        <f>R1981=ROUND(1970*0.05,10)</f>
        <v/>
      </c>
      <c r="I1981">
        <f>S1981=ROUND(1970*0.01,10)</f>
        <v/>
      </c>
      <c r="J1981">
        <f>T1981=ROUND(1970*0.7,10)</f>
        <v/>
      </c>
      <c r="K1981">
        <f>U1981=ROUND(1970*1.1,10)</f>
        <v/>
      </c>
      <c r="L1981">
        <f>V1981=ROUND(1970*0.25,10)</f>
        <v/>
      </c>
      <c r="M1981">
        <f>W1981=ROUND(1970*0.5,10)</f>
        <v/>
      </c>
      <c r="O1981">
        <f>O1980+0.1</f>
        <v/>
      </c>
      <c r="P1981">
        <f>P1980+0.2</f>
        <v/>
      </c>
      <c r="Q1981">
        <f>Q1980+0.3</f>
        <v/>
      </c>
      <c r="R1981">
        <f>R1980+0.05</f>
        <v/>
      </c>
      <c r="S1981">
        <f>S1980+0.01</f>
        <v/>
      </c>
      <c r="T1981">
        <f>T1980+0.7</f>
        <v/>
      </c>
      <c r="U1981">
        <f>U1980+1.1</f>
        <v/>
      </c>
      <c r="V1981">
        <f>V1980+0.25</f>
        <v/>
      </c>
      <c r="W1981">
        <f>W1980+0.5</f>
        <v/>
      </c>
    </row>
    <row r="1982">
      <c r="E1982">
        <f>O1982=ROUND(1971*0.1,10)</f>
        <v/>
      </c>
      <c r="F1982">
        <f>P1982=ROUND(1971*0.2,10)</f>
        <v/>
      </c>
      <c r="G1982">
        <f>Q1982=ROUND(1971*0.3,10)</f>
        <v/>
      </c>
      <c r="H1982">
        <f>R1982=ROUND(1971*0.05,10)</f>
        <v/>
      </c>
      <c r="I1982">
        <f>S1982=ROUND(1971*0.01,10)</f>
        <v/>
      </c>
      <c r="J1982">
        <f>T1982=ROUND(1971*0.7,10)</f>
        <v/>
      </c>
      <c r="K1982">
        <f>U1982=ROUND(1971*1.1,10)</f>
        <v/>
      </c>
      <c r="L1982">
        <f>V1982=ROUND(1971*0.25,10)</f>
        <v/>
      </c>
      <c r="M1982">
        <f>W1982=ROUND(1971*0.5,10)</f>
        <v/>
      </c>
      <c r="O1982">
        <f>O1981+0.1</f>
        <v/>
      </c>
      <c r="P1982">
        <f>P1981+0.2</f>
        <v/>
      </c>
      <c r="Q1982">
        <f>Q1981+0.3</f>
        <v/>
      </c>
      <c r="R1982">
        <f>R1981+0.05</f>
        <v/>
      </c>
      <c r="S1982">
        <f>S1981+0.01</f>
        <v/>
      </c>
      <c r="T1982">
        <f>T1981+0.7</f>
        <v/>
      </c>
      <c r="U1982">
        <f>U1981+1.1</f>
        <v/>
      </c>
      <c r="V1982">
        <f>V1981+0.25</f>
        <v/>
      </c>
      <c r="W1982">
        <f>W1981+0.5</f>
        <v/>
      </c>
    </row>
    <row r="1983">
      <c r="E1983">
        <f>O1983=ROUND(1972*0.1,10)</f>
        <v/>
      </c>
      <c r="F1983">
        <f>P1983=ROUND(1972*0.2,10)</f>
        <v/>
      </c>
      <c r="G1983">
        <f>Q1983=ROUND(1972*0.3,10)</f>
        <v/>
      </c>
      <c r="H1983">
        <f>R1983=ROUND(1972*0.05,10)</f>
        <v/>
      </c>
      <c r="I1983">
        <f>S1983=ROUND(1972*0.01,10)</f>
        <v/>
      </c>
      <c r="J1983">
        <f>T1983=ROUND(1972*0.7,10)</f>
        <v/>
      </c>
      <c r="K1983">
        <f>U1983=ROUND(1972*1.1,10)</f>
        <v/>
      </c>
      <c r="L1983">
        <f>V1983=ROUND(1972*0.25,10)</f>
        <v/>
      </c>
      <c r="M1983">
        <f>W1983=ROUND(1972*0.5,10)</f>
        <v/>
      </c>
      <c r="O1983">
        <f>O1982+0.1</f>
        <v/>
      </c>
      <c r="P1983">
        <f>P1982+0.2</f>
        <v/>
      </c>
      <c r="Q1983">
        <f>Q1982+0.3</f>
        <v/>
      </c>
      <c r="R1983">
        <f>R1982+0.05</f>
        <v/>
      </c>
      <c r="S1983">
        <f>S1982+0.01</f>
        <v/>
      </c>
      <c r="T1983">
        <f>T1982+0.7</f>
        <v/>
      </c>
      <c r="U1983">
        <f>U1982+1.1</f>
        <v/>
      </c>
      <c r="V1983">
        <f>V1982+0.25</f>
        <v/>
      </c>
      <c r="W1983">
        <f>W1982+0.5</f>
        <v/>
      </c>
    </row>
    <row r="1984">
      <c r="E1984">
        <f>O1984=ROUND(1973*0.1,10)</f>
        <v/>
      </c>
      <c r="F1984">
        <f>P1984=ROUND(1973*0.2,10)</f>
        <v/>
      </c>
      <c r="G1984">
        <f>Q1984=ROUND(1973*0.3,10)</f>
        <v/>
      </c>
      <c r="H1984">
        <f>R1984=ROUND(1973*0.05,10)</f>
        <v/>
      </c>
      <c r="I1984">
        <f>S1984=ROUND(1973*0.01,10)</f>
        <v/>
      </c>
      <c r="J1984">
        <f>T1984=ROUND(1973*0.7,10)</f>
        <v/>
      </c>
      <c r="K1984">
        <f>U1984=ROUND(1973*1.1,10)</f>
        <v/>
      </c>
      <c r="L1984">
        <f>V1984=ROUND(1973*0.25,10)</f>
        <v/>
      </c>
      <c r="M1984">
        <f>W1984=ROUND(1973*0.5,10)</f>
        <v/>
      </c>
      <c r="O1984">
        <f>O1983+0.1</f>
        <v/>
      </c>
      <c r="P1984">
        <f>P1983+0.2</f>
        <v/>
      </c>
      <c r="Q1984">
        <f>Q1983+0.3</f>
        <v/>
      </c>
      <c r="R1984">
        <f>R1983+0.05</f>
        <v/>
      </c>
      <c r="S1984">
        <f>S1983+0.01</f>
        <v/>
      </c>
      <c r="T1984">
        <f>T1983+0.7</f>
        <v/>
      </c>
      <c r="U1984">
        <f>U1983+1.1</f>
        <v/>
      </c>
      <c r="V1984">
        <f>V1983+0.25</f>
        <v/>
      </c>
      <c r="W1984">
        <f>W1983+0.5</f>
        <v/>
      </c>
    </row>
    <row r="1985">
      <c r="E1985">
        <f>O1985=ROUND(1974*0.1,10)</f>
        <v/>
      </c>
      <c r="F1985">
        <f>P1985=ROUND(1974*0.2,10)</f>
        <v/>
      </c>
      <c r="G1985">
        <f>Q1985=ROUND(1974*0.3,10)</f>
        <v/>
      </c>
      <c r="H1985">
        <f>R1985=ROUND(1974*0.05,10)</f>
        <v/>
      </c>
      <c r="I1985">
        <f>S1985=ROUND(1974*0.01,10)</f>
        <v/>
      </c>
      <c r="J1985">
        <f>T1985=ROUND(1974*0.7,10)</f>
        <v/>
      </c>
      <c r="K1985">
        <f>U1985=ROUND(1974*1.1,10)</f>
        <v/>
      </c>
      <c r="L1985">
        <f>V1985=ROUND(1974*0.25,10)</f>
        <v/>
      </c>
      <c r="M1985">
        <f>W1985=ROUND(1974*0.5,10)</f>
        <v/>
      </c>
      <c r="O1985">
        <f>O1984+0.1</f>
        <v/>
      </c>
      <c r="P1985">
        <f>P1984+0.2</f>
        <v/>
      </c>
      <c r="Q1985">
        <f>Q1984+0.3</f>
        <v/>
      </c>
      <c r="R1985">
        <f>R1984+0.05</f>
        <v/>
      </c>
      <c r="S1985">
        <f>S1984+0.01</f>
        <v/>
      </c>
      <c r="T1985">
        <f>T1984+0.7</f>
        <v/>
      </c>
      <c r="U1985">
        <f>U1984+1.1</f>
        <v/>
      </c>
      <c r="V1985">
        <f>V1984+0.25</f>
        <v/>
      </c>
      <c r="W1985">
        <f>W1984+0.5</f>
        <v/>
      </c>
    </row>
    <row r="1986">
      <c r="E1986">
        <f>O1986=ROUND(1975*0.1,10)</f>
        <v/>
      </c>
      <c r="F1986">
        <f>P1986=ROUND(1975*0.2,10)</f>
        <v/>
      </c>
      <c r="G1986">
        <f>Q1986=ROUND(1975*0.3,10)</f>
        <v/>
      </c>
      <c r="H1986">
        <f>R1986=ROUND(1975*0.05,10)</f>
        <v/>
      </c>
      <c r="I1986">
        <f>S1986=ROUND(1975*0.01,10)</f>
        <v/>
      </c>
      <c r="J1986">
        <f>T1986=ROUND(1975*0.7,10)</f>
        <v/>
      </c>
      <c r="K1986">
        <f>U1986=ROUND(1975*1.1,10)</f>
        <v/>
      </c>
      <c r="L1986">
        <f>V1986=ROUND(1975*0.25,10)</f>
        <v/>
      </c>
      <c r="M1986">
        <f>W1986=ROUND(1975*0.5,10)</f>
        <v/>
      </c>
      <c r="O1986">
        <f>O1985+0.1</f>
        <v/>
      </c>
      <c r="P1986">
        <f>P1985+0.2</f>
        <v/>
      </c>
      <c r="Q1986">
        <f>Q1985+0.3</f>
        <v/>
      </c>
      <c r="R1986">
        <f>R1985+0.05</f>
        <v/>
      </c>
      <c r="S1986">
        <f>S1985+0.01</f>
        <v/>
      </c>
      <c r="T1986">
        <f>T1985+0.7</f>
        <v/>
      </c>
      <c r="U1986">
        <f>U1985+1.1</f>
        <v/>
      </c>
      <c r="V1986">
        <f>V1985+0.25</f>
        <v/>
      </c>
      <c r="W1986">
        <f>W1985+0.5</f>
        <v/>
      </c>
    </row>
    <row r="1987">
      <c r="E1987">
        <f>O1987=ROUND(1976*0.1,10)</f>
        <v/>
      </c>
      <c r="F1987">
        <f>P1987=ROUND(1976*0.2,10)</f>
        <v/>
      </c>
      <c r="G1987">
        <f>Q1987=ROUND(1976*0.3,10)</f>
        <v/>
      </c>
      <c r="H1987">
        <f>R1987=ROUND(1976*0.05,10)</f>
        <v/>
      </c>
      <c r="I1987">
        <f>S1987=ROUND(1976*0.01,10)</f>
        <v/>
      </c>
      <c r="J1987">
        <f>T1987=ROUND(1976*0.7,10)</f>
        <v/>
      </c>
      <c r="K1987">
        <f>U1987=ROUND(1976*1.1,10)</f>
        <v/>
      </c>
      <c r="L1987">
        <f>V1987=ROUND(1976*0.25,10)</f>
        <v/>
      </c>
      <c r="M1987">
        <f>W1987=ROUND(1976*0.5,10)</f>
        <v/>
      </c>
      <c r="O1987">
        <f>O1986+0.1</f>
        <v/>
      </c>
      <c r="P1987">
        <f>P1986+0.2</f>
        <v/>
      </c>
      <c r="Q1987">
        <f>Q1986+0.3</f>
        <v/>
      </c>
      <c r="R1987">
        <f>R1986+0.05</f>
        <v/>
      </c>
      <c r="S1987">
        <f>S1986+0.01</f>
        <v/>
      </c>
      <c r="T1987">
        <f>T1986+0.7</f>
        <v/>
      </c>
      <c r="U1987">
        <f>U1986+1.1</f>
        <v/>
      </c>
      <c r="V1987">
        <f>V1986+0.25</f>
        <v/>
      </c>
      <c r="W1987">
        <f>W1986+0.5</f>
        <v/>
      </c>
    </row>
    <row r="1988">
      <c r="E1988">
        <f>O1988=ROUND(1977*0.1,10)</f>
        <v/>
      </c>
      <c r="F1988">
        <f>P1988=ROUND(1977*0.2,10)</f>
        <v/>
      </c>
      <c r="G1988">
        <f>Q1988=ROUND(1977*0.3,10)</f>
        <v/>
      </c>
      <c r="H1988">
        <f>R1988=ROUND(1977*0.05,10)</f>
        <v/>
      </c>
      <c r="I1988">
        <f>S1988=ROUND(1977*0.01,10)</f>
        <v/>
      </c>
      <c r="J1988">
        <f>T1988=ROUND(1977*0.7,10)</f>
        <v/>
      </c>
      <c r="K1988">
        <f>U1988=ROUND(1977*1.1,10)</f>
        <v/>
      </c>
      <c r="L1988">
        <f>V1988=ROUND(1977*0.25,10)</f>
        <v/>
      </c>
      <c r="M1988">
        <f>W1988=ROUND(1977*0.5,10)</f>
        <v/>
      </c>
      <c r="O1988">
        <f>O1987+0.1</f>
        <v/>
      </c>
      <c r="P1988">
        <f>P1987+0.2</f>
        <v/>
      </c>
      <c r="Q1988">
        <f>Q1987+0.3</f>
        <v/>
      </c>
      <c r="R1988">
        <f>R1987+0.05</f>
        <v/>
      </c>
      <c r="S1988">
        <f>S1987+0.01</f>
        <v/>
      </c>
      <c r="T1988">
        <f>T1987+0.7</f>
        <v/>
      </c>
      <c r="U1988">
        <f>U1987+1.1</f>
        <v/>
      </c>
      <c r="V1988">
        <f>V1987+0.25</f>
        <v/>
      </c>
      <c r="W1988">
        <f>W1987+0.5</f>
        <v/>
      </c>
    </row>
    <row r="1989">
      <c r="E1989">
        <f>O1989=ROUND(1978*0.1,10)</f>
        <v/>
      </c>
      <c r="F1989">
        <f>P1989=ROUND(1978*0.2,10)</f>
        <v/>
      </c>
      <c r="G1989">
        <f>Q1989=ROUND(1978*0.3,10)</f>
        <v/>
      </c>
      <c r="H1989">
        <f>R1989=ROUND(1978*0.05,10)</f>
        <v/>
      </c>
      <c r="I1989">
        <f>S1989=ROUND(1978*0.01,10)</f>
        <v/>
      </c>
      <c r="J1989">
        <f>T1989=ROUND(1978*0.7,10)</f>
        <v/>
      </c>
      <c r="K1989">
        <f>U1989=ROUND(1978*1.1,10)</f>
        <v/>
      </c>
      <c r="L1989">
        <f>V1989=ROUND(1978*0.25,10)</f>
        <v/>
      </c>
      <c r="M1989">
        <f>W1989=ROUND(1978*0.5,10)</f>
        <v/>
      </c>
      <c r="O1989">
        <f>O1988+0.1</f>
        <v/>
      </c>
      <c r="P1989">
        <f>P1988+0.2</f>
        <v/>
      </c>
      <c r="Q1989">
        <f>Q1988+0.3</f>
        <v/>
      </c>
      <c r="R1989">
        <f>R1988+0.05</f>
        <v/>
      </c>
      <c r="S1989">
        <f>S1988+0.01</f>
        <v/>
      </c>
      <c r="T1989">
        <f>T1988+0.7</f>
        <v/>
      </c>
      <c r="U1989">
        <f>U1988+1.1</f>
        <v/>
      </c>
      <c r="V1989">
        <f>V1988+0.25</f>
        <v/>
      </c>
      <c r="W1989">
        <f>W1988+0.5</f>
        <v/>
      </c>
    </row>
    <row r="1990">
      <c r="E1990">
        <f>O1990=ROUND(1979*0.1,10)</f>
        <v/>
      </c>
      <c r="F1990">
        <f>P1990=ROUND(1979*0.2,10)</f>
        <v/>
      </c>
      <c r="G1990">
        <f>Q1990=ROUND(1979*0.3,10)</f>
        <v/>
      </c>
      <c r="H1990">
        <f>R1990=ROUND(1979*0.05,10)</f>
        <v/>
      </c>
      <c r="I1990">
        <f>S1990=ROUND(1979*0.01,10)</f>
        <v/>
      </c>
      <c r="J1990">
        <f>T1990=ROUND(1979*0.7,10)</f>
        <v/>
      </c>
      <c r="K1990">
        <f>U1990=ROUND(1979*1.1,10)</f>
        <v/>
      </c>
      <c r="L1990">
        <f>V1990=ROUND(1979*0.25,10)</f>
        <v/>
      </c>
      <c r="M1990">
        <f>W1990=ROUND(1979*0.5,10)</f>
        <v/>
      </c>
      <c r="O1990">
        <f>O1989+0.1</f>
        <v/>
      </c>
      <c r="P1990">
        <f>P1989+0.2</f>
        <v/>
      </c>
      <c r="Q1990">
        <f>Q1989+0.3</f>
        <v/>
      </c>
      <c r="R1990">
        <f>R1989+0.05</f>
        <v/>
      </c>
      <c r="S1990">
        <f>S1989+0.01</f>
        <v/>
      </c>
      <c r="T1990">
        <f>T1989+0.7</f>
        <v/>
      </c>
      <c r="U1990">
        <f>U1989+1.1</f>
        <v/>
      </c>
      <c r="V1990">
        <f>V1989+0.25</f>
        <v/>
      </c>
      <c r="W1990">
        <f>W1989+0.5</f>
        <v/>
      </c>
    </row>
    <row r="1991">
      <c r="E1991">
        <f>O1991=ROUND(1980*0.1,10)</f>
        <v/>
      </c>
      <c r="F1991">
        <f>P1991=ROUND(1980*0.2,10)</f>
        <v/>
      </c>
      <c r="G1991">
        <f>Q1991=ROUND(1980*0.3,10)</f>
        <v/>
      </c>
      <c r="H1991">
        <f>R1991=ROUND(1980*0.05,10)</f>
        <v/>
      </c>
      <c r="I1991">
        <f>S1991=ROUND(1980*0.01,10)</f>
        <v/>
      </c>
      <c r="J1991">
        <f>T1991=ROUND(1980*0.7,10)</f>
        <v/>
      </c>
      <c r="K1991">
        <f>U1991=ROUND(1980*1.1,10)</f>
        <v/>
      </c>
      <c r="L1991">
        <f>V1991=ROUND(1980*0.25,10)</f>
        <v/>
      </c>
      <c r="M1991">
        <f>W1991=ROUND(1980*0.5,10)</f>
        <v/>
      </c>
      <c r="O1991">
        <f>O1990+0.1</f>
        <v/>
      </c>
      <c r="P1991">
        <f>P1990+0.2</f>
        <v/>
      </c>
      <c r="Q1991">
        <f>Q1990+0.3</f>
        <v/>
      </c>
      <c r="R1991">
        <f>R1990+0.05</f>
        <v/>
      </c>
      <c r="S1991">
        <f>S1990+0.01</f>
        <v/>
      </c>
      <c r="T1991">
        <f>T1990+0.7</f>
        <v/>
      </c>
      <c r="U1991">
        <f>U1990+1.1</f>
        <v/>
      </c>
      <c r="V1991">
        <f>V1990+0.25</f>
        <v/>
      </c>
      <c r="W1991">
        <f>W1990+0.5</f>
        <v/>
      </c>
    </row>
    <row r="1992">
      <c r="E1992">
        <f>O1992=ROUND(1981*0.1,10)</f>
        <v/>
      </c>
      <c r="F1992">
        <f>P1992=ROUND(1981*0.2,10)</f>
        <v/>
      </c>
      <c r="G1992">
        <f>Q1992=ROUND(1981*0.3,10)</f>
        <v/>
      </c>
      <c r="H1992">
        <f>R1992=ROUND(1981*0.05,10)</f>
        <v/>
      </c>
      <c r="I1992">
        <f>S1992=ROUND(1981*0.01,10)</f>
        <v/>
      </c>
      <c r="J1992">
        <f>T1992=ROUND(1981*0.7,10)</f>
        <v/>
      </c>
      <c r="K1992">
        <f>U1992=ROUND(1981*1.1,10)</f>
        <v/>
      </c>
      <c r="L1992">
        <f>V1992=ROUND(1981*0.25,10)</f>
        <v/>
      </c>
      <c r="M1992">
        <f>W1992=ROUND(1981*0.5,10)</f>
        <v/>
      </c>
      <c r="O1992">
        <f>O1991+0.1</f>
        <v/>
      </c>
      <c r="P1992">
        <f>P1991+0.2</f>
        <v/>
      </c>
      <c r="Q1992">
        <f>Q1991+0.3</f>
        <v/>
      </c>
      <c r="R1992">
        <f>R1991+0.05</f>
        <v/>
      </c>
      <c r="S1992">
        <f>S1991+0.01</f>
        <v/>
      </c>
      <c r="T1992">
        <f>T1991+0.7</f>
        <v/>
      </c>
      <c r="U1992">
        <f>U1991+1.1</f>
        <v/>
      </c>
      <c r="V1992">
        <f>V1991+0.25</f>
        <v/>
      </c>
      <c r="W1992">
        <f>W1991+0.5</f>
        <v/>
      </c>
    </row>
    <row r="1993">
      <c r="E1993">
        <f>O1993=ROUND(1982*0.1,10)</f>
        <v/>
      </c>
      <c r="F1993">
        <f>P1993=ROUND(1982*0.2,10)</f>
        <v/>
      </c>
      <c r="G1993">
        <f>Q1993=ROUND(1982*0.3,10)</f>
        <v/>
      </c>
      <c r="H1993">
        <f>R1993=ROUND(1982*0.05,10)</f>
        <v/>
      </c>
      <c r="I1993">
        <f>S1993=ROUND(1982*0.01,10)</f>
        <v/>
      </c>
      <c r="J1993">
        <f>T1993=ROUND(1982*0.7,10)</f>
        <v/>
      </c>
      <c r="K1993">
        <f>U1993=ROUND(1982*1.1,10)</f>
        <v/>
      </c>
      <c r="L1993">
        <f>V1993=ROUND(1982*0.25,10)</f>
        <v/>
      </c>
      <c r="M1993">
        <f>W1993=ROUND(1982*0.5,10)</f>
        <v/>
      </c>
      <c r="O1993">
        <f>O1992+0.1</f>
        <v/>
      </c>
      <c r="P1993">
        <f>P1992+0.2</f>
        <v/>
      </c>
      <c r="Q1993">
        <f>Q1992+0.3</f>
        <v/>
      </c>
      <c r="R1993">
        <f>R1992+0.05</f>
        <v/>
      </c>
      <c r="S1993">
        <f>S1992+0.01</f>
        <v/>
      </c>
      <c r="T1993">
        <f>T1992+0.7</f>
        <v/>
      </c>
      <c r="U1993">
        <f>U1992+1.1</f>
        <v/>
      </c>
      <c r="V1993">
        <f>V1992+0.25</f>
        <v/>
      </c>
      <c r="W1993">
        <f>W1992+0.5</f>
        <v/>
      </c>
    </row>
    <row r="1994">
      <c r="E1994">
        <f>O1994=ROUND(1983*0.1,10)</f>
        <v/>
      </c>
      <c r="F1994">
        <f>P1994=ROUND(1983*0.2,10)</f>
        <v/>
      </c>
      <c r="G1994">
        <f>Q1994=ROUND(1983*0.3,10)</f>
        <v/>
      </c>
      <c r="H1994">
        <f>R1994=ROUND(1983*0.05,10)</f>
        <v/>
      </c>
      <c r="I1994">
        <f>S1994=ROUND(1983*0.01,10)</f>
        <v/>
      </c>
      <c r="J1994">
        <f>T1994=ROUND(1983*0.7,10)</f>
        <v/>
      </c>
      <c r="K1994">
        <f>U1994=ROUND(1983*1.1,10)</f>
        <v/>
      </c>
      <c r="L1994">
        <f>V1994=ROUND(1983*0.25,10)</f>
        <v/>
      </c>
      <c r="M1994">
        <f>W1994=ROUND(1983*0.5,10)</f>
        <v/>
      </c>
      <c r="O1994">
        <f>O1993+0.1</f>
        <v/>
      </c>
      <c r="P1994">
        <f>P1993+0.2</f>
        <v/>
      </c>
      <c r="Q1994">
        <f>Q1993+0.3</f>
        <v/>
      </c>
      <c r="R1994">
        <f>R1993+0.05</f>
        <v/>
      </c>
      <c r="S1994">
        <f>S1993+0.01</f>
        <v/>
      </c>
      <c r="T1994">
        <f>T1993+0.7</f>
        <v/>
      </c>
      <c r="U1994">
        <f>U1993+1.1</f>
        <v/>
      </c>
      <c r="V1994">
        <f>V1993+0.25</f>
        <v/>
      </c>
      <c r="W1994">
        <f>W1993+0.5</f>
        <v/>
      </c>
    </row>
    <row r="1995">
      <c r="E1995">
        <f>O1995=ROUND(1984*0.1,10)</f>
        <v/>
      </c>
      <c r="F1995">
        <f>P1995=ROUND(1984*0.2,10)</f>
        <v/>
      </c>
      <c r="G1995">
        <f>Q1995=ROUND(1984*0.3,10)</f>
        <v/>
      </c>
      <c r="H1995">
        <f>R1995=ROUND(1984*0.05,10)</f>
        <v/>
      </c>
      <c r="I1995">
        <f>S1995=ROUND(1984*0.01,10)</f>
        <v/>
      </c>
      <c r="J1995">
        <f>T1995=ROUND(1984*0.7,10)</f>
        <v/>
      </c>
      <c r="K1995">
        <f>U1995=ROUND(1984*1.1,10)</f>
        <v/>
      </c>
      <c r="L1995">
        <f>V1995=ROUND(1984*0.25,10)</f>
        <v/>
      </c>
      <c r="M1995">
        <f>W1995=ROUND(1984*0.5,10)</f>
        <v/>
      </c>
      <c r="O1995">
        <f>O1994+0.1</f>
        <v/>
      </c>
      <c r="P1995">
        <f>P1994+0.2</f>
        <v/>
      </c>
      <c r="Q1995">
        <f>Q1994+0.3</f>
        <v/>
      </c>
      <c r="R1995">
        <f>R1994+0.05</f>
        <v/>
      </c>
      <c r="S1995">
        <f>S1994+0.01</f>
        <v/>
      </c>
      <c r="T1995">
        <f>T1994+0.7</f>
        <v/>
      </c>
      <c r="U1995">
        <f>U1994+1.1</f>
        <v/>
      </c>
      <c r="V1995">
        <f>V1994+0.25</f>
        <v/>
      </c>
      <c r="W1995">
        <f>W1994+0.5</f>
        <v/>
      </c>
    </row>
    <row r="1996">
      <c r="E1996">
        <f>O1996=ROUND(1985*0.1,10)</f>
        <v/>
      </c>
      <c r="F1996">
        <f>P1996=ROUND(1985*0.2,10)</f>
        <v/>
      </c>
      <c r="G1996">
        <f>Q1996=ROUND(1985*0.3,10)</f>
        <v/>
      </c>
      <c r="H1996">
        <f>R1996=ROUND(1985*0.05,10)</f>
        <v/>
      </c>
      <c r="I1996">
        <f>S1996=ROUND(1985*0.01,10)</f>
        <v/>
      </c>
      <c r="J1996">
        <f>T1996=ROUND(1985*0.7,10)</f>
        <v/>
      </c>
      <c r="K1996">
        <f>U1996=ROUND(1985*1.1,10)</f>
        <v/>
      </c>
      <c r="L1996">
        <f>V1996=ROUND(1985*0.25,10)</f>
        <v/>
      </c>
      <c r="M1996">
        <f>W1996=ROUND(1985*0.5,10)</f>
        <v/>
      </c>
      <c r="O1996">
        <f>O1995+0.1</f>
        <v/>
      </c>
      <c r="P1996">
        <f>P1995+0.2</f>
        <v/>
      </c>
      <c r="Q1996">
        <f>Q1995+0.3</f>
        <v/>
      </c>
      <c r="R1996">
        <f>R1995+0.05</f>
        <v/>
      </c>
      <c r="S1996">
        <f>S1995+0.01</f>
        <v/>
      </c>
      <c r="T1996">
        <f>T1995+0.7</f>
        <v/>
      </c>
      <c r="U1996">
        <f>U1995+1.1</f>
        <v/>
      </c>
      <c r="V1996">
        <f>V1995+0.25</f>
        <v/>
      </c>
      <c r="W1996">
        <f>W1995+0.5</f>
        <v/>
      </c>
    </row>
    <row r="1997">
      <c r="E1997">
        <f>O1997=ROUND(1986*0.1,10)</f>
        <v/>
      </c>
      <c r="F1997">
        <f>P1997=ROUND(1986*0.2,10)</f>
        <v/>
      </c>
      <c r="G1997">
        <f>Q1997=ROUND(1986*0.3,10)</f>
        <v/>
      </c>
      <c r="H1997">
        <f>R1997=ROUND(1986*0.05,10)</f>
        <v/>
      </c>
      <c r="I1997">
        <f>S1997=ROUND(1986*0.01,10)</f>
        <v/>
      </c>
      <c r="J1997">
        <f>T1997=ROUND(1986*0.7,10)</f>
        <v/>
      </c>
      <c r="K1997">
        <f>U1997=ROUND(1986*1.1,10)</f>
        <v/>
      </c>
      <c r="L1997">
        <f>V1997=ROUND(1986*0.25,10)</f>
        <v/>
      </c>
      <c r="M1997">
        <f>W1997=ROUND(1986*0.5,10)</f>
        <v/>
      </c>
      <c r="O1997">
        <f>O1996+0.1</f>
        <v/>
      </c>
      <c r="P1997">
        <f>P1996+0.2</f>
        <v/>
      </c>
      <c r="Q1997">
        <f>Q1996+0.3</f>
        <v/>
      </c>
      <c r="R1997">
        <f>R1996+0.05</f>
        <v/>
      </c>
      <c r="S1997">
        <f>S1996+0.01</f>
        <v/>
      </c>
      <c r="T1997">
        <f>T1996+0.7</f>
        <v/>
      </c>
      <c r="U1997">
        <f>U1996+1.1</f>
        <v/>
      </c>
      <c r="V1997">
        <f>V1996+0.25</f>
        <v/>
      </c>
      <c r="W1997">
        <f>W1996+0.5</f>
        <v/>
      </c>
    </row>
    <row r="1998">
      <c r="E1998">
        <f>O1998=ROUND(1987*0.1,10)</f>
        <v/>
      </c>
      <c r="F1998">
        <f>P1998=ROUND(1987*0.2,10)</f>
        <v/>
      </c>
      <c r="G1998">
        <f>Q1998=ROUND(1987*0.3,10)</f>
        <v/>
      </c>
      <c r="H1998">
        <f>R1998=ROUND(1987*0.05,10)</f>
        <v/>
      </c>
      <c r="I1998">
        <f>S1998=ROUND(1987*0.01,10)</f>
        <v/>
      </c>
      <c r="J1998">
        <f>T1998=ROUND(1987*0.7,10)</f>
        <v/>
      </c>
      <c r="K1998">
        <f>U1998=ROUND(1987*1.1,10)</f>
        <v/>
      </c>
      <c r="L1998">
        <f>V1998=ROUND(1987*0.25,10)</f>
        <v/>
      </c>
      <c r="M1998">
        <f>W1998=ROUND(1987*0.5,10)</f>
        <v/>
      </c>
      <c r="O1998">
        <f>O1997+0.1</f>
        <v/>
      </c>
      <c r="P1998">
        <f>P1997+0.2</f>
        <v/>
      </c>
      <c r="Q1998">
        <f>Q1997+0.3</f>
        <v/>
      </c>
      <c r="R1998">
        <f>R1997+0.05</f>
        <v/>
      </c>
      <c r="S1998">
        <f>S1997+0.01</f>
        <v/>
      </c>
      <c r="T1998">
        <f>T1997+0.7</f>
        <v/>
      </c>
      <c r="U1998">
        <f>U1997+1.1</f>
        <v/>
      </c>
      <c r="V1998">
        <f>V1997+0.25</f>
        <v/>
      </c>
      <c r="W1998">
        <f>W1997+0.5</f>
        <v/>
      </c>
    </row>
    <row r="1999">
      <c r="E1999">
        <f>O1999=ROUND(1988*0.1,10)</f>
        <v/>
      </c>
      <c r="F1999">
        <f>P1999=ROUND(1988*0.2,10)</f>
        <v/>
      </c>
      <c r="G1999">
        <f>Q1999=ROUND(1988*0.3,10)</f>
        <v/>
      </c>
      <c r="H1999">
        <f>R1999=ROUND(1988*0.05,10)</f>
        <v/>
      </c>
      <c r="I1999">
        <f>S1999=ROUND(1988*0.01,10)</f>
        <v/>
      </c>
      <c r="J1999">
        <f>T1999=ROUND(1988*0.7,10)</f>
        <v/>
      </c>
      <c r="K1999">
        <f>U1999=ROUND(1988*1.1,10)</f>
        <v/>
      </c>
      <c r="L1999">
        <f>V1999=ROUND(1988*0.25,10)</f>
        <v/>
      </c>
      <c r="M1999">
        <f>W1999=ROUND(1988*0.5,10)</f>
        <v/>
      </c>
      <c r="O1999">
        <f>O1998+0.1</f>
        <v/>
      </c>
      <c r="P1999">
        <f>P1998+0.2</f>
        <v/>
      </c>
      <c r="Q1999">
        <f>Q1998+0.3</f>
        <v/>
      </c>
      <c r="R1999">
        <f>R1998+0.05</f>
        <v/>
      </c>
      <c r="S1999">
        <f>S1998+0.01</f>
        <v/>
      </c>
      <c r="T1999">
        <f>T1998+0.7</f>
        <v/>
      </c>
      <c r="U1999">
        <f>U1998+1.1</f>
        <v/>
      </c>
      <c r="V1999">
        <f>V1998+0.25</f>
        <v/>
      </c>
      <c r="W1999">
        <f>W1998+0.5</f>
        <v/>
      </c>
    </row>
    <row r="2000">
      <c r="E2000">
        <f>O2000=ROUND(1989*0.1,10)</f>
        <v/>
      </c>
      <c r="F2000">
        <f>P2000=ROUND(1989*0.2,10)</f>
        <v/>
      </c>
      <c r="G2000">
        <f>Q2000=ROUND(1989*0.3,10)</f>
        <v/>
      </c>
      <c r="H2000">
        <f>R2000=ROUND(1989*0.05,10)</f>
        <v/>
      </c>
      <c r="I2000">
        <f>S2000=ROUND(1989*0.01,10)</f>
        <v/>
      </c>
      <c r="J2000">
        <f>T2000=ROUND(1989*0.7,10)</f>
        <v/>
      </c>
      <c r="K2000">
        <f>U2000=ROUND(1989*1.1,10)</f>
        <v/>
      </c>
      <c r="L2000">
        <f>V2000=ROUND(1989*0.25,10)</f>
        <v/>
      </c>
      <c r="M2000">
        <f>W2000=ROUND(1989*0.5,10)</f>
        <v/>
      </c>
      <c r="O2000">
        <f>O1999+0.1</f>
        <v/>
      </c>
      <c r="P2000">
        <f>P1999+0.2</f>
        <v/>
      </c>
      <c r="Q2000">
        <f>Q1999+0.3</f>
        <v/>
      </c>
      <c r="R2000">
        <f>R1999+0.05</f>
        <v/>
      </c>
      <c r="S2000">
        <f>S1999+0.01</f>
        <v/>
      </c>
      <c r="T2000">
        <f>T1999+0.7</f>
        <v/>
      </c>
      <c r="U2000">
        <f>U1999+1.1</f>
        <v/>
      </c>
      <c r="V2000">
        <f>V1999+0.25</f>
        <v/>
      </c>
      <c r="W2000">
        <f>W1999+0.5</f>
        <v/>
      </c>
    </row>
    <row r="2001">
      <c r="E2001">
        <f>O2001=ROUND(1990*0.1,10)</f>
        <v/>
      </c>
      <c r="F2001">
        <f>P2001=ROUND(1990*0.2,10)</f>
        <v/>
      </c>
      <c r="G2001">
        <f>Q2001=ROUND(1990*0.3,10)</f>
        <v/>
      </c>
      <c r="H2001">
        <f>R2001=ROUND(1990*0.05,10)</f>
        <v/>
      </c>
      <c r="I2001">
        <f>S2001=ROUND(1990*0.01,10)</f>
        <v/>
      </c>
      <c r="J2001">
        <f>T2001=ROUND(1990*0.7,10)</f>
        <v/>
      </c>
      <c r="K2001">
        <f>U2001=ROUND(1990*1.1,10)</f>
        <v/>
      </c>
      <c r="L2001">
        <f>V2001=ROUND(1990*0.25,10)</f>
        <v/>
      </c>
      <c r="M2001">
        <f>W2001=ROUND(1990*0.5,10)</f>
        <v/>
      </c>
      <c r="O2001">
        <f>O2000+0.1</f>
        <v/>
      </c>
      <c r="P2001">
        <f>P2000+0.2</f>
        <v/>
      </c>
      <c r="Q2001">
        <f>Q2000+0.3</f>
        <v/>
      </c>
      <c r="R2001">
        <f>R2000+0.05</f>
        <v/>
      </c>
      <c r="S2001">
        <f>S2000+0.01</f>
        <v/>
      </c>
      <c r="T2001">
        <f>T2000+0.7</f>
        <v/>
      </c>
      <c r="U2001">
        <f>U2000+1.1</f>
        <v/>
      </c>
      <c r="V2001">
        <f>V2000+0.25</f>
        <v/>
      </c>
      <c r="W2001">
        <f>W2000+0.5</f>
        <v/>
      </c>
    </row>
    <row r="2002">
      <c r="E2002">
        <f>O2002=ROUND(1991*0.1,10)</f>
        <v/>
      </c>
      <c r="F2002">
        <f>P2002=ROUND(1991*0.2,10)</f>
        <v/>
      </c>
      <c r="G2002">
        <f>Q2002=ROUND(1991*0.3,10)</f>
        <v/>
      </c>
      <c r="H2002">
        <f>R2002=ROUND(1991*0.05,10)</f>
        <v/>
      </c>
      <c r="I2002">
        <f>S2002=ROUND(1991*0.01,10)</f>
        <v/>
      </c>
      <c r="J2002">
        <f>T2002=ROUND(1991*0.7,10)</f>
        <v/>
      </c>
      <c r="K2002">
        <f>U2002=ROUND(1991*1.1,10)</f>
        <v/>
      </c>
      <c r="L2002">
        <f>V2002=ROUND(1991*0.25,10)</f>
        <v/>
      </c>
      <c r="M2002">
        <f>W2002=ROUND(1991*0.5,10)</f>
        <v/>
      </c>
      <c r="O2002">
        <f>O2001+0.1</f>
        <v/>
      </c>
      <c r="P2002">
        <f>P2001+0.2</f>
        <v/>
      </c>
      <c r="Q2002">
        <f>Q2001+0.3</f>
        <v/>
      </c>
      <c r="R2002">
        <f>R2001+0.05</f>
        <v/>
      </c>
      <c r="S2002">
        <f>S2001+0.01</f>
        <v/>
      </c>
      <c r="T2002">
        <f>T2001+0.7</f>
        <v/>
      </c>
      <c r="U2002">
        <f>U2001+1.1</f>
        <v/>
      </c>
      <c r="V2002">
        <f>V2001+0.25</f>
        <v/>
      </c>
      <c r="W2002">
        <f>W2001+0.5</f>
        <v/>
      </c>
    </row>
    <row r="2003">
      <c r="E2003">
        <f>O2003=ROUND(1992*0.1,10)</f>
        <v/>
      </c>
      <c r="F2003">
        <f>P2003=ROUND(1992*0.2,10)</f>
        <v/>
      </c>
      <c r="G2003">
        <f>Q2003=ROUND(1992*0.3,10)</f>
        <v/>
      </c>
      <c r="H2003">
        <f>R2003=ROUND(1992*0.05,10)</f>
        <v/>
      </c>
      <c r="I2003">
        <f>S2003=ROUND(1992*0.01,10)</f>
        <v/>
      </c>
      <c r="J2003">
        <f>T2003=ROUND(1992*0.7,10)</f>
        <v/>
      </c>
      <c r="K2003">
        <f>U2003=ROUND(1992*1.1,10)</f>
        <v/>
      </c>
      <c r="L2003">
        <f>V2003=ROUND(1992*0.25,10)</f>
        <v/>
      </c>
      <c r="M2003">
        <f>W2003=ROUND(1992*0.5,10)</f>
        <v/>
      </c>
      <c r="O2003">
        <f>O2002+0.1</f>
        <v/>
      </c>
      <c r="P2003">
        <f>P2002+0.2</f>
        <v/>
      </c>
      <c r="Q2003">
        <f>Q2002+0.3</f>
        <v/>
      </c>
      <c r="R2003">
        <f>R2002+0.05</f>
        <v/>
      </c>
      <c r="S2003">
        <f>S2002+0.01</f>
        <v/>
      </c>
      <c r="T2003">
        <f>T2002+0.7</f>
        <v/>
      </c>
      <c r="U2003">
        <f>U2002+1.1</f>
        <v/>
      </c>
      <c r="V2003">
        <f>V2002+0.25</f>
        <v/>
      </c>
      <c r="W2003">
        <f>W2002+0.5</f>
        <v/>
      </c>
    </row>
    <row r="2004">
      <c r="E2004">
        <f>O2004=ROUND(1993*0.1,10)</f>
        <v/>
      </c>
      <c r="F2004">
        <f>P2004=ROUND(1993*0.2,10)</f>
        <v/>
      </c>
      <c r="G2004">
        <f>Q2004=ROUND(1993*0.3,10)</f>
        <v/>
      </c>
      <c r="H2004">
        <f>R2004=ROUND(1993*0.05,10)</f>
        <v/>
      </c>
      <c r="I2004">
        <f>S2004=ROUND(1993*0.01,10)</f>
        <v/>
      </c>
      <c r="J2004">
        <f>T2004=ROUND(1993*0.7,10)</f>
        <v/>
      </c>
      <c r="K2004">
        <f>U2004=ROUND(1993*1.1,10)</f>
        <v/>
      </c>
      <c r="L2004">
        <f>V2004=ROUND(1993*0.25,10)</f>
        <v/>
      </c>
      <c r="M2004">
        <f>W2004=ROUND(1993*0.5,10)</f>
        <v/>
      </c>
      <c r="O2004">
        <f>O2003+0.1</f>
        <v/>
      </c>
      <c r="P2004">
        <f>P2003+0.2</f>
        <v/>
      </c>
      <c r="Q2004">
        <f>Q2003+0.3</f>
        <v/>
      </c>
      <c r="R2004">
        <f>R2003+0.05</f>
        <v/>
      </c>
      <c r="S2004">
        <f>S2003+0.01</f>
        <v/>
      </c>
      <c r="T2004">
        <f>T2003+0.7</f>
        <v/>
      </c>
      <c r="U2004">
        <f>U2003+1.1</f>
        <v/>
      </c>
      <c r="V2004">
        <f>V2003+0.25</f>
        <v/>
      </c>
      <c r="W2004">
        <f>W2003+0.5</f>
        <v/>
      </c>
    </row>
    <row r="2005">
      <c r="E2005">
        <f>O2005=ROUND(1994*0.1,10)</f>
        <v/>
      </c>
      <c r="F2005">
        <f>P2005=ROUND(1994*0.2,10)</f>
        <v/>
      </c>
      <c r="G2005">
        <f>Q2005=ROUND(1994*0.3,10)</f>
        <v/>
      </c>
      <c r="H2005">
        <f>R2005=ROUND(1994*0.05,10)</f>
        <v/>
      </c>
      <c r="I2005">
        <f>S2005=ROUND(1994*0.01,10)</f>
        <v/>
      </c>
      <c r="J2005">
        <f>T2005=ROUND(1994*0.7,10)</f>
        <v/>
      </c>
      <c r="K2005">
        <f>U2005=ROUND(1994*1.1,10)</f>
        <v/>
      </c>
      <c r="L2005">
        <f>V2005=ROUND(1994*0.25,10)</f>
        <v/>
      </c>
      <c r="M2005">
        <f>W2005=ROUND(1994*0.5,10)</f>
        <v/>
      </c>
      <c r="O2005">
        <f>O2004+0.1</f>
        <v/>
      </c>
      <c r="P2005">
        <f>P2004+0.2</f>
        <v/>
      </c>
      <c r="Q2005">
        <f>Q2004+0.3</f>
        <v/>
      </c>
      <c r="R2005">
        <f>R2004+0.05</f>
        <v/>
      </c>
      <c r="S2005">
        <f>S2004+0.01</f>
        <v/>
      </c>
      <c r="T2005">
        <f>T2004+0.7</f>
        <v/>
      </c>
      <c r="U2005">
        <f>U2004+1.1</f>
        <v/>
      </c>
      <c r="V2005">
        <f>V2004+0.25</f>
        <v/>
      </c>
      <c r="W2005">
        <f>W2004+0.5</f>
        <v/>
      </c>
    </row>
    <row r="2006">
      <c r="E2006">
        <f>O2006=ROUND(1995*0.1,10)</f>
        <v/>
      </c>
      <c r="F2006">
        <f>P2006=ROUND(1995*0.2,10)</f>
        <v/>
      </c>
      <c r="G2006">
        <f>Q2006=ROUND(1995*0.3,10)</f>
        <v/>
      </c>
      <c r="H2006">
        <f>R2006=ROUND(1995*0.05,10)</f>
        <v/>
      </c>
      <c r="I2006">
        <f>S2006=ROUND(1995*0.01,10)</f>
        <v/>
      </c>
      <c r="J2006">
        <f>T2006=ROUND(1995*0.7,10)</f>
        <v/>
      </c>
      <c r="K2006">
        <f>U2006=ROUND(1995*1.1,10)</f>
        <v/>
      </c>
      <c r="L2006">
        <f>V2006=ROUND(1995*0.25,10)</f>
        <v/>
      </c>
      <c r="M2006">
        <f>W2006=ROUND(1995*0.5,10)</f>
        <v/>
      </c>
      <c r="O2006">
        <f>O2005+0.1</f>
        <v/>
      </c>
      <c r="P2006">
        <f>P2005+0.2</f>
        <v/>
      </c>
      <c r="Q2006">
        <f>Q2005+0.3</f>
        <v/>
      </c>
      <c r="R2006">
        <f>R2005+0.05</f>
        <v/>
      </c>
      <c r="S2006">
        <f>S2005+0.01</f>
        <v/>
      </c>
      <c r="T2006">
        <f>T2005+0.7</f>
        <v/>
      </c>
      <c r="U2006">
        <f>U2005+1.1</f>
        <v/>
      </c>
      <c r="V2006">
        <f>V2005+0.25</f>
        <v/>
      </c>
      <c r="W2006">
        <f>W2005+0.5</f>
        <v/>
      </c>
    </row>
    <row r="2007">
      <c r="E2007">
        <f>O2007=ROUND(1996*0.1,10)</f>
        <v/>
      </c>
      <c r="F2007">
        <f>P2007=ROUND(1996*0.2,10)</f>
        <v/>
      </c>
      <c r="G2007">
        <f>Q2007=ROUND(1996*0.3,10)</f>
        <v/>
      </c>
      <c r="H2007">
        <f>R2007=ROUND(1996*0.05,10)</f>
        <v/>
      </c>
      <c r="I2007">
        <f>S2007=ROUND(1996*0.01,10)</f>
        <v/>
      </c>
      <c r="J2007">
        <f>T2007=ROUND(1996*0.7,10)</f>
        <v/>
      </c>
      <c r="K2007">
        <f>U2007=ROUND(1996*1.1,10)</f>
        <v/>
      </c>
      <c r="L2007">
        <f>V2007=ROUND(1996*0.25,10)</f>
        <v/>
      </c>
      <c r="M2007">
        <f>W2007=ROUND(1996*0.5,10)</f>
        <v/>
      </c>
      <c r="O2007">
        <f>O2006+0.1</f>
        <v/>
      </c>
      <c r="P2007">
        <f>P2006+0.2</f>
        <v/>
      </c>
      <c r="Q2007">
        <f>Q2006+0.3</f>
        <v/>
      </c>
      <c r="R2007">
        <f>R2006+0.05</f>
        <v/>
      </c>
      <c r="S2007">
        <f>S2006+0.01</f>
        <v/>
      </c>
      <c r="T2007">
        <f>T2006+0.7</f>
        <v/>
      </c>
      <c r="U2007">
        <f>U2006+1.1</f>
        <v/>
      </c>
      <c r="V2007">
        <f>V2006+0.25</f>
        <v/>
      </c>
      <c r="W2007">
        <f>W2006+0.5</f>
        <v/>
      </c>
    </row>
    <row r="2008">
      <c r="E2008">
        <f>O2008=ROUND(1997*0.1,10)</f>
        <v/>
      </c>
      <c r="F2008">
        <f>P2008=ROUND(1997*0.2,10)</f>
        <v/>
      </c>
      <c r="G2008">
        <f>Q2008=ROUND(1997*0.3,10)</f>
        <v/>
      </c>
      <c r="H2008">
        <f>R2008=ROUND(1997*0.05,10)</f>
        <v/>
      </c>
      <c r="I2008">
        <f>S2008=ROUND(1997*0.01,10)</f>
        <v/>
      </c>
      <c r="J2008">
        <f>T2008=ROUND(1997*0.7,10)</f>
        <v/>
      </c>
      <c r="K2008">
        <f>U2008=ROUND(1997*1.1,10)</f>
        <v/>
      </c>
      <c r="L2008">
        <f>V2008=ROUND(1997*0.25,10)</f>
        <v/>
      </c>
      <c r="M2008">
        <f>W2008=ROUND(1997*0.5,10)</f>
        <v/>
      </c>
      <c r="O2008">
        <f>O2007+0.1</f>
        <v/>
      </c>
      <c r="P2008">
        <f>P2007+0.2</f>
        <v/>
      </c>
      <c r="Q2008">
        <f>Q2007+0.3</f>
        <v/>
      </c>
      <c r="R2008">
        <f>R2007+0.05</f>
        <v/>
      </c>
      <c r="S2008">
        <f>S2007+0.01</f>
        <v/>
      </c>
      <c r="T2008">
        <f>T2007+0.7</f>
        <v/>
      </c>
      <c r="U2008">
        <f>U2007+1.1</f>
        <v/>
      </c>
      <c r="V2008">
        <f>V2007+0.25</f>
        <v/>
      </c>
      <c r="W2008">
        <f>W2007+0.5</f>
        <v/>
      </c>
    </row>
    <row r="2009">
      <c r="E2009">
        <f>O2009=ROUND(1998*0.1,10)</f>
        <v/>
      </c>
      <c r="F2009">
        <f>P2009=ROUND(1998*0.2,10)</f>
        <v/>
      </c>
      <c r="G2009">
        <f>Q2009=ROUND(1998*0.3,10)</f>
        <v/>
      </c>
      <c r="H2009">
        <f>R2009=ROUND(1998*0.05,10)</f>
        <v/>
      </c>
      <c r="I2009">
        <f>S2009=ROUND(1998*0.01,10)</f>
        <v/>
      </c>
      <c r="J2009">
        <f>T2009=ROUND(1998*0.7,10)</f>
        <v/>
      </c>
      <c r="K2009">
        <f>U2009=ROUND(1998*1.1,10)</f>
        <v/>
      </c>
      <c r="L2009">
        <f>V2009=ROUND(1998*0.25,10)</f>
        <v/>
      </c>
      <c r="M2009">
        <f>W2009=ROUND(1998*0.5,10)</f>
        <v/>
      </c>
      <c r="O2009">
        <f>O2008+0.1</f>
        <v/>
      </c>
      <c r="P2009">
        <f>P2008+0.2</f>
        <v/>
      </c>
      <c r="Q2009">
        <f>Q2008+0.3</f>
        <v/>
      </c>
      <c r="R2009">
        <f>R2008+0.05</f>
        <v/>
      </c>
      <c r="S2009">
        <f>S2008+0.01</f>
        <v/>
      </c>
      <c r="T2009">
        <f>T2008+0.7</f>
        <v/>
      </c>
      <c r="U2009">
        <f>U2008+1.1</f>
        <v/>
      </c>
      <c r="V2009">
        <f>V2008+0.25</f>
        <v/>
      </c>
      <c r="W2009">
        <f>W2008+0.5</f>
        <v/>
      </c>
    </row>
    <row r="2010">
      <c r="E2010">
        <f>O2010=ROUND(1999*0.1,10)</f>
        <v/>
      </c>
      <c r="F2010">
        <f>P2010=ROUND(1999*0.2,10)</f>
        <v/>
      </c>
      <c r="G2010">
        <f>Q2010=ROUND(1999*0.3,10)</f>
        <v/>
      </c>
      <c r="H2010">
        <f>R2010=ROUND(1999*0.05,10)</f>
        <v/>
      </c>
      <c r="I2010">
        <f>S2010=ROUND(1999*0.01,10)</f>
        <v/>
      </c>
      <c r="J2010">
        <f>T2010=ROUND(1999*0.7,10)</f>
        <v/>
      </c>
      <c r="K2010">
        <f>U2010=ROUND(1999*1.1,10)</f>
        <v/>
      </c>
      <c r="L2010">
        <f>V2010=ROUND(1999*0.25,10)</f>
        <v/>
      </c>
      <c r="M2010">
        <f>W2010=ROUND(1999*0.5,10)</f>
        <v/>
      </c>
      <c r="O2010">
        <f>O2009+0.1</f>
        <v/>
      </c>
      <c r="P2010">
        <f>P2009+0.2</f>
        <v/>
      </c>
      <c r="Q2010">
        <f>Q2009+0.3</f>
        <v/>
      </c>
      <c r="R2010">
        <f>R2009+0.05</f>
        <v/>
      </c>
      <c r="S2010">
        <f>S2009+0.01</f>
        <v/>
      </c>
      <c r="T2010">
        <f>T2009+0.7</f>
        <v/>
      </c>
      <c r="U2010">
        <f>U2009+1.1</f>
        <v/>
      </c>
      <c r="V2010">
        <f>V2009+0.25</f>
        <v/>
      </c>
      <c r="W2010">
        <f>W2009+0.5</f>
        <v/>
      </c>
    </row>
    <row r="2011">
      <c r="E2011">
        <f>O2011=ROUND(2000*0.1,10)</f>
        <v/>
      </c>
      <c r="F2011">
        <f>P2011=ROUND(2000*0.2,10)</f>
        <v/>
      </c>
      <c r="G2011">
        <f>Q2011=ROUND(2000*0.3,10)</f>
        <v/>
      </c>
      <c r="H2011">
        <f>R2011=ROUND(2000*0.05,10)</f>
        <v/>
      </c>
      <c r="I2011">
        <f>S2011=ROUND(2000*0.01,10)</f>
        <v/>
      </c>
      <c r="J2011">
        <f>T2011=ROUND(2000*0.7,10)</f>
        <v/>
      </c>
      <c r="K2011">
        <f>U2011=ROUND(2000*1.1,10)</f>
        <v/>
      </c>
      <c r="L2011">
        <f>V2011=ROUND(2000*0.25,10)</f>
        <v/>
      </c>
      <c r="M2011">
        <f>W2011=ROUND(2000*0.5,10)</f>
        <v/>
      </c>
      <c r="O2011">
        <f>O2010+0.1</f>
        <v/>
      </c>
      <c r="P2011">
        <f>P2010+0.2</f>
        <v/>
      </c>
      <c r="Q2011">
        <f>Q2010+0.3</f>
        <v/>
      </c>
      <c r="R2011">
        <f>R2010+0.05</f>
        <v/>
      </c>
      <c r="S2011">
        <f>S2010+0.01</f>
        <v/>
      </c>
      <c r="T2011">
        <f>T2010+0.7</f>
        <v/>
      </c>
      <c r="U2011">
        <f>U2010+1.1</f>
        <v/>
      </c>
      <c r="V2011">
        <f>V2010+0.25</f>
        <v/>
      </c>
      <c r="W2011">
        <f>W2010+0.5</f>
        <v/>
      </c>
    </row>
  </sheetData>
  <conditionalFormatting sqref="E12:M2011">
    <cfRule type="expression" priority="1" dxfId="0">
      <formula>E12=FALSE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0018"/>
  <sheetViews>
    <sheetView workbookViewId="0">
      <selection activeCell="A1" sqref="A1"/>
    </sheetView>
  </sheetViews>
  <sheetFormatPr baseColWidth="8" defaultRowHeight="15"/>
  <cols>
    <col width="28" customWidth="1" min="1" max="1"/>
    <col width="16" customWidth="1" min="2" max="2"/>
    <col width="26" customWidth="1" min="3" max="3"/>
    <col width="56" customWidth="1" min="4" max="4"/>
    <col width="12" customWidth="1" min="7" max="7"/>
  </cols>
  <sheetData>
    <row r="1">
      <c r="A1" s="1" t="inlineStr">
        <is>
          <t>Excelが小さな誤差を隠す式と、隠しきれない式</t>
        </is>
      </c>
    </row>
    <row r="2">
      <c r="A2" t="inlineStr">
        <is>
          <t>Microsoft 365のExcel（バージョン16）、Windows 11で確認、2026年10月6日</t>
        </is>
      </c>
    </row>
    <row r="4">
      <c r="A4" s="5" t="inlineStr">
        <is>
          <t>式</t>
        </is>
      </c>
      <c r="B4" s="5" t="inlineStr">
        <is>
          <t>結果</t>
        </is>
      </c>
      <c r="C4" s="5" t="inlineStr">
        <is>
          <t>15桁にそろえた値</t>
        </is>
      </c>
      <c r="D4" s="5" t="inlineStr">
        <is>
          <t>なぜそうなるか</t>
        </is>
      </c>
    </row>
    <row r="5">
      <c r="A5" s="15" t="inlineStr">
        <is>
          <t>0.1+0.2=0.3</t>
        </is>
      </c>
      <c r="B5" s="9">
        <f>0.1+0.2=0.3</f>
        <v/>
      </c>
      <c r="C5" s="9">
        <f>IF(ISNUMBER(B5),TEXT(B5,"0.00000000000000E+00"),"")</f>
        <v/>
      </c>
      <c r="D5" s="15" t="inlineStr">
        <is>
          <t>比べるときは15桁にそろえるので、合う</t>
        </is>
      </c>
    </row>
    <row r="6">
      <c r="A6" s="15" t="inlineStr">
        <is>
          <t>0.1+0.2-0.3</t>
        </is>
      </c>
      <c r="B6" s="9">
        <f>0.1+0.2-0.3</f>
        <v/>
      </c>
      <c r="C6" s="9">
        <f>IF(ISNUMBER(B6),TEXT(B6,"0.00000000000000E+00"),"")</f>
        <v/>
      </c>
      <c r="D6" s="15" t="inlineStr">
        <is>
          <t>最後の引き算が0に近いと0にする</t>
        </is>
      </c>
    </row>
    <row r="7">
      <c r="A7" s="15" t="inlineStr">
        <is>
          <t>(0.1+0.2-0.3)</t>
        </is>
      </c>
      <c r="B7" s="9">
        <f>(0.1+0.2-0.3)</f>
        <v/>
      </c>
      <c r="C7" s="9">
        <f>IF(ISNUMBER(B7),TEXT(B7,"0.00000000000000E+00"),"")</f>
        <v/>
      </c>
      <c r="D7" s="15" t="inlineStr">
        <is>
          <t>括弧でくくると0にしない</t>
        </is>
      </c>
    </row>
    <row r="8">
      <c r="A8" s="15" t="inlineStr">
        <is>
          <t>0.1+0.2-0.3=0</t>
        </is>
      </c>
      <c r="B8" s="9">
        <f>0.1+0.2-0.3=0</f>
        <v/>
      </c>
      <c r="C8" s="9">
        <f>IF(ISNUMBER(B8),TEXT(B8,"0.00000000000000E+00"),"")</f>
        <v/>
      </c>
      <c r="D8" s="15" t="inlineStr">
        <is>
          <t>最後が比較なので0にせず、合わない</t>
        </is>
      </c>
    </row>
    <row r="9">
      <c r="A9" s="15" t="inlineStr">
        <is>
          <t>1.15*100</t>
        </is>
      </c>
      <c r="B9" s="9">
        <f>1.15*100</f>
        <v/>
      </c>
      <c r="C9" s="9">
        <f>IF(ISNUMBER(B9),TEXT(B9,"0.00000000000000E+00"),"")</f>
        <v/>
      </c>
      <c r="D9" s="15" t="inlineStr">
        <is>
          <t>中身は114.99999999999999</t>
        </is>
      </c>
    </row>
    <row r="10">
      <c r="A10" s="15" t="inlineStr">
        <is>
          <t>INT(1.15*100)</t>
        </is>
      </c>
      <c r="B10" s="9">
        <f>INT(1.15*100)</f>
        <v/>
      </c>
      <c r="C10" s="9">
        <f>IF(ISNUMBER(B10),TEXT(B10,"0.00000000000000E+00"),"")</f>
        <v/>
      </c>
      <c r="D10" s="15" t="inlineStr">
        <is>
          <t>INTは15桁にそろえてから切り捨てるので115</t>
        </is>
      </c>
    </row>
    <row r="11">
      <c r="A11" s="15" t="inlineStr">
        <is>
          <t>(43.1-43.2)+1</t>
        </is>
      </c>
      <c r="B11" s="9">
        <f>(43.1-43.2)+1</f>
        <v/>
      </c>
      <c r="C11" s="9">
        <f>IF(ISNUMBER(B11),TEXT(B11,"0.00000000000000E+00"),"")</f>
        <v/>
      </c>
      <c r="D11" s="15" t="inlineStr">
        <is>
          <t>Microsoftの説明にある例。中身は0.8999999999999986で、セルには0.9と出る</t>
        </is>
      </c>
    </row>
    <row r="12">
      <c r="A12" s="15" t="inlineStr">
        <is>
          <t>(43.1-43.2)+1=0.9</t>
        </is>
      </c>
      <c r="B12" s="9">
        <f>(43.1-43.2)+1=0.9</f>
        <v/>
      </c>
      <c r="C12" s="9">
        <f>IF(ISNUMBER(B12),TEXT(B12,"0.00000000000000E+00"),"")</f>
        <v/>
      </c>
      <c r="D12" s="15" t="inlineStr">
        <is>
          <t>15桁にそろえても0.899999999999999なので、合わない</t>
        </is>
      </c>
    </row>
    <row r="13">
      <c r="A13" s="15" t="inlineStr">
        <is>
          <t>0.1*60=6</t>
        </is>
      </c>
      <c r="B13" s="9">
        <f>0.1*60=6</f>
        <v/>
      </c>
      <c r="C13" s="9">
        <f>IF(ISNUMBER(B13),TEXT(B13,"0.00000000000000E+00"),"")</f>
        <v/>
      </c>
      <c r="D13" s="15" t="inlineStr">
        <is>
          <t>掛け算1回なら誤差も1回分で、合う</t>
        </is>
      </c>
    </row>
    <row r="15">
      <c r="A15" s="2" t="inlineStr">
        <is>
          <t>0.0001を10,000回足す（Microsoftの説明にあるVBAの例をシートでやったもの）</t>
        </is>
      </c>
    </row>
    <row r="16">
      <c r="A16" t="inlineStr">
        <is>
          <t>結果</t>
        </is>
      </c>
      <c r="B16" s="16">
        <f>G10018</f>
        <v/>
      </c>
    </row>
    <row r="17">
      <c r="A17" t="inlineStr">
        <is>
          <t>1と比べる（=）</t>
        </is>
      </c>
      <c r="B17" s="9">
        <f>G10018=1</f>
        <v/>
      </c>
    </row>
    <row r="18">
      <c r="A18" t="inlineStr">
        <is>
          <t>ROUND(結果,10) = 1</t>
        </is>
      </c>
      <c r="B18" s="9">
        <f>ROUND(G10018,10)=1</f>
        <v/>
      </c>
    </row>
    <row r="19">
      <c r="A19" t="inlineStr">
        <is>
          <t>累計はG列の下のほうにある</t>
        </is>
      </c>
      <c r="G19">
        <f>0.0001</f>
        <v/>
      </c>
    </row>
    <row r="20">
      <c r="G20">
        <f>G19+0.0001</f>
        <v/>
      </c>
    </row>
    <row r="21">
      <c r="G21">
        <f>G20+0.0001</f>
        <v/>
      </c>
    </row>
    <row r="22">
      <c r="G22">
        <f>G21+0.0001</f>
        <v/>
      </c>
    </row>
    <row r="23">
      <c r="G23">
        <f>G22+0.0001</f>
        <v/>
      </c>
    </row>
    <row r="24">
      <c r="G24">
        <f>G23+0.0001</f>
        <v/>
      </c>
    </row>
    <row r="25">
      <c r="G25">
        <f>G24+0.0001</f>
        <v/>
      </c>
    </row>
    <row r="26">
      <c r="G26">
        <f>G25+0.0001</f>
        <v/>
      </c>
    </row>
    <row r="27">
      <c r="G27">
        <f>G26+0.0001</f>
        <v/>
      </c>
    </row>
    <row r="28">
      <c r="G28">
        <f>G27+0.0001</f>
        <v/>
      </c>
    </row>
    <row r="29">
      <c r="G29">
        <f>G28+0.0001</f>
        <v/>
      </c>
    </row>
    <row r="30">
      <c r="G30">
        <f>G29+0.0001</f>
        <v/>
      </c>
    </row>
    <row r="31">
      <c r="G31">
        <f>G30+0.0001</f>
        <v/>
      </c>
    </row>
    <row r="32">
      <c r="G32">
        <f>G31+0.0001</f>
        <v/>
      </c>
    </row>
    <row r="33">
      <c r="G33">
        <f>G32+0.0001</f>
        <v/>
      </c>
    </row>
    <row r="34">
      <c r="G34">
        <f>G33+0.0001</f>
        <v/>
      </c>
    </row>
    <row r="35">
      <c r="G35">
        <f>G34+0.0001</f>
        <v/>
      </c>
    </row>
    <row r="36">
      <c r="G36">
        <f>G35+0.0001</f>
        <v/>
      </c>
    </row>
    <row r="37">
      <c r="G37">
        <f>G36+0.0001</f>
        <v/>
      </c>
    </row>
    <row r="38">
      <c r="G38">
        <f>G37+0.0001</f>
        <v/>
      </c>
    </row>
    <row r="39">
      <c r="G39">
        <f>G38+0.0001</f>
        <v/>
      </c>
    </row>
    <row r="40">
      <c r="G40">
        <f>G39+0.0001</f>
        <v/>
      </c>
    </row>
    <row r="41">
      <c r="G41">
        <f>G40+0.0001</f>
        <v/>
      </c>
    </row>
    <row r="42">
      <c r="G42">
        <f>G41+0.0001</f>
        <v/>
      </c>
    </row>
    <row r="43">
      <c r="G43">
        <f>G42+0.0001</f>
        <v/>
      </c>
    </row>
    <row r="44">
      <c r="G44">
        <f>G43+0.0001</f>
        <v/>
      </c>
    </row>
    <row r="45">
      <c r="G45">
        <f>G44+0.0001</f>
        <v/>
      </c>
    </row>
    <row r="46">
      <c r="G46">
        <f>G45+0.0001</f>
        <v/>
      </c>
    </row>
    <row r="47">
      <c r="G47">
        <f>G46+0.0001</f>
        <v/>
      </c>
    </row>
    <row r="48">
      <c r="G48">
        <f>G47+0.0001</f>
        <v/>
      </c>
    </row>
    <row r="49">
      <c r="G49">
        <f>G48+0.0001</f>
        <v/>
      </c>
    </row>
    <row r="50">
      <c r="G50">
        <f>G49+0.0001</f>
        <v/>
      </c>
    </row>
    <row r="51">
      <c r="G51">
        <f>G50+0.0001</f>
        <v/>
      </c>
    </row>
    <row r="52">
      <c r="G52">
        <f>G51+0.0001</f>
        <v/>
      </c>
    </row>
    <row r="53">
      <c r="G53">
        <f>G52+0.0001</f>
        <v/>
      </c>
    </row>
    <row r="54">
      <c r="G54">
        <f>G53+0.0001</f>
        <v/>
      </c>
    </row>
    <row r="55">
      <c r="G55">
        <f>G54+0.0001</f>
        <v/>
      </c>
    </row>
    <row r="56">
      <c r="G56">
        <f>G55+0.0001</f>
        <v/>
      </c>
    </row>
    <row r="57">
      <c r="G57">
        <f>G56+0.0001</f>
        <v/>
      </c>
    </row>
    <row r="58">
      <c r="G58">
        <f>G57+0.0001</f>
        <v/>
      </c>
    </row>
    <row r="59">
      <c r="G59">
        <f>G58+0.0001</f>
        <v/>
      </c>
    </row>
    <row r="60">
      <c r="G60">
        <f>G59+0.0001</f>
        <v/>
      </c>
    </row>
    <row r="61">
      <c r="G61">
        <f>G60+0.0001</f>
        <v/>
      </c>
    </row>
    <row r="62">
      <c r="G62">
        <f>G61+0.0001</f>
        <v/>
      </c>
    </row>
    <row r="63">
      <c r="G63">
        <f>G62+0.0001</f>
        <v/>
      </c>
    </row>
    <row r="64">
      <c r="G64">
        <f>G63+0.0001</f>
        <v/>
      </c>
    </row>
    <row r="65">
      <c r="G65">
        <f>G64+0.0001</f>
        <v/>
      </c>
    </row>
    <row r="66">
      <c r="G66">
        <f>G65+0.0001</f>
        <v/>
      </c>
    </row>
    <row r="67">
      <c r="G67">
        <f>G66+0.0001</f>
        <v/>
      </c>
    </row>
    <row r="68">
      <c r="G68">
        <f>G67+0.0001</f>
        <v/>
      </c>
    </row>
    <row r="69">
      <c r="G69">
        <f>G68+0.0001</f>
        <v/>
      </c>
    </row>
    <row r="70">
      <c r="G70">
        <f>G69+0.0001</f>
        <v/>
      </c>
    </row>
    <row r="71">
      <c r="G71">
        <f>G70+0.0001</f>
        <v/>
      </c>
    </row>
    <row r="72">
      <c r="G72">
        <f>G71+0.0001</f>
        <v/>
      </c>
    </row>
    <row r="73">
      <c r="G73">
        <f>G72+0.0001</f>
        <v/>
      </c>
    </row>
    <row r="74">
      <c r="G74">
        <f>G73+0.0001</f>
        <v/>
      </c>
    </row>
    <row r="75">
      <c r="G75">
        <f>G74+0.0001</f>
        <v/>
      </c>
    </row>
    <row r="76">
      <c r="G76">
        <f>G75+0.0001</f>
        <v/>
      </c>
    </row>
    <row r="77">
      <c r="G77">
        <f>G76+0.0001</f>
        <v/>
      </c>
    </row>
    <row r="78">
      <c r="G78">
        <f>G77+0.0001</f>
        <v/>
      </c>
    </row>
    <row r="79">
      <c r="G79">
        <f>G78+0.0001</f>
        <v/>
      </c>
    </row>
    <row r="80">
      <c r="G80">
        <f>G79+0.0001</f>
        <v/>
      </c>
    </row>
    <row r="81">
      <c r="G81">
        <f>G80+0.0001</f>
        <v/>
      </c>
    </row>
    <row r="82">
      <c r="G82">
        <f>G81+0.0001</f>
        <v/>
      </c>
    </row>
    <row r="83">
      <c r="G83">
        <f>G82+0.0001</f>
        <v/>
      </c>
    </row>
    <row r="84">
      <c r="G84">
        <f>G83+0.0001</f>
        <v/>
      </c>
    </row>
    <row r="85">
      <c r="G85">
        <f>G84+0.0001</f>
        <v/>
      </c>
    </row>
    <row r="86">
      <c r="G86">
        <f>G85+0.0001</f>
        <v/>
      </c>
    </row>
    <row r="87">
      <c r="G87">
        <f>G86+0.0001</f>
        <v/>
      </c>
    </row>
    <row r="88">
      <c r="G88">
        <f>G87+0.0001</f>
        <v/>
      </c>
    </row>
    <row r="89">
      <c r="G89">
        <f>G88+0.0001</f>
        <v/>
      </c>
    </row>
    <row r="90">
      <c r="G90">
        <f>G89+0.0001</f>
        <v/>
      </c>
    </row>
    <row r="91">
      <c r="G91">
        <f>G90+0.0001</f>
        <v/>
      </c>
    </row>
    <row r="92">
      <c r="G92">
        <f>G91+0.0001</f>
        <v/>
      </c>
    </row>
    <row r="93">
      <c r="G93">
        <f>G92+0.0001</f>
        <v/>
      </c>
    </row>
    <row r="94">
      <c r="G94">
        <f>G93+0.0001</f>
        <v/>
      </c>
    </row>
    <row r="95">
      <c r="G95">
        <f>G94+0.0001</f>
        <v/>
      </c>
    </row>
    <row r="96">
      <c r="G96">
        <f>G95+0.0001</f>
        <v/>
      </c>
    </row>
    <row r="97">
      <c r="G97">
        <f>G96+0.0001</f>
        <v/>
      </c>
    </row>
    <row r="98">
      <c r="G98">
        <f>G97+0.0001</f>
        <v/>
      </c>
    </row>
    <row r="99">
      <c r="G99">
        <f>G98+0.0001</f>
        <v/>
      </c>
    </row>
    <row r="100">
      <c r="G100">
        <f>G99+0.0001</f>
        <v/>
      </c>
    </row>
    <row r="101">
      <c r="G101">
        <f>G100+0.0001</f>
        <v/>
      </c>
    </row>
    <row r="102">
      <c r="G102">
        <f>G101+0.0001</f>
        <v/>
      </c>
    </row>
    <row r="103">
      <c r="G103">
        <f>G102+0.0001</f>
        <v/>
      </c>
    </row>
    <row r="104">
      <c r="G104">
        <f>G103+0.0001</f>
        <v/>
      </c>
    </row>
    <row r="105">
      <c r="G105">
        <f>G104+0.0001</f>
        <v/>
      </c>
    </row>
    <row r="106">
      <c r="G106">
        <f>G105+0.0001</f>
        <v/>
      </c>
    </row>
    <row r="107">
      <c r="G107">
        <f>G106+0.0001</f>
        <v/>
      </c>
    </row>
    <row r="108">
      <c r="G108">
        <f>G107+0.0001</f>
        <v/>
      </c>
    </row>
    <row r="109">
      <c r="G109">
        <f>G108+0.0001</f>
        <v/>
      </c>
    </row>
    <row r="110">
      <c r="G110">
        <f>G109+0.0001</f>
        <v/>
      </c>
    </row>
    <row r="111">
      <c r="G111">
        <f>G110+0.0001</f>
        <v/>
      </c>
    </row>
    <row r="112">
      <c r="G112">
        <f>G111+0.0001</f>
        <v/>
      </c>
    </row>
    <row r="113">
      <c r="G113">
        <f>G112+0.0001</f>
        <v/>
      </c>
    </row>
    <row r="114">
      <c r="G114">
        <f>G113+0.0001</f>
        <v/>
      </c>
    </row>
    <row r="115">
      <c r="G115">
        <f>G114+0.0001</f>
        <v/>
      </c>
    </row>
    <row r="116">
      <c r="G116">
        <f>G115+0.0001</f>
        <v/>
      </c>
    </row>
    <row r="117">
      <c r="G117">
        <f>G116+0.0001</f>
        <v/>
      </c>
    </row>
    <row r="118">
      <c r="G118">
        <f>G117+0.0001</f>
        <v/>
      </c>
    </row>
    <row r="119">
      <c r="G119">
        <f>G118+0.0001</f>
        <v/>
      </c>
    </row>
    <row r="120">
      <c r="G120">
        <f>G119+0.0001</f>
        <v/>
      </c>
    </row>
    <row r="121">
      <c r="G121">
        <f>G120+0.0001</f>
        <v/>
      </c>
    </row>
    <row r="122">
      <c r="G122">
        <f>G121+0.0001</f>
        <v/>
      </c>
    </row>
    <row r="123">
      <c r="G123">
        <f>G122+0.0001</f>
        <v/>
      </c>
    </row>
    <row r="124">
      <c r="G124">
        <f>G123+0.0001</f>
        <v/>
      </c>
    </row>
    <row r="125">
      <c r="G125">
        <f>G124+0.0001</f>
        <v/>
      </c>
    </row>
    <row r="126">
      <c r="G126">
        <f>G125+0.0001</f>
        <v/>
      </c>
    </row>
    <row r="127">
      <c r="G127">
        <f>G126+0.0001</f>
        <v/>
      </c>
    </row>
    <row r="128">
      <c r="G128">
        <f>G127+0.0001</f>
        <v/>
      </c>
    </row>
    <row r="129">
      <c r="G129">
        <f>G128+0.0001</f>
        <v/>
      </c>
    </row>
    <row r="130">
      <c r="G130">
        <f>G129+0.0001</f>
        <v/>
      </c>
    </row>
    <row r="131">
      <c r="G131">
        <f>G130+0.0001</f>
        <v/>
      </c>
    </row>
    <row r="132">
      <c r="G132">
        <f>G131+0.0001</f>
        <v/>
      </c>
    </row>
    <row r="133">
      <c r="G133">
        <f>G132+0.0001</f>
        <v/>
      </c>
    </row>
    <row r="134">
      <c r="G134">
        <f>G133+0.0001</f>
        <v/>
      </c>
    </row>
    <row r="135">
      <c r="G135">
        <f>G134+0.0001</f>
        <v/>
      </c>
    </row>
    <row r="136">
      <c r="G136">
        <f>G135+0.0001</f>
        <v/>
      </c>
    </row>
    <row r="137">
      <c r="G137">
        <f>G136+0.0001</f>
        <v/>
      </c>
    </row>
    <row r="138">
      <c r="G138">
        <f>G137+0.0001</f>
        <v/>
      </c>
    </row>
    <row r="139">
      <c r="G139">
        <f>G138+0.0001</f>
        <v/>
      </c>
    </row>
    <row r="140">
      <c r="G140">
        <f>G139+0.0001</f>
        <v/>
      </c>
    </row>
    <row r="141">
      <c r="G141">
        <f>G140+0.0001</f>
        <v/>
      </c>
    </row>
    <row r="142">
      <c r="G142">
        <f>G141+0.0001</f>
        <v/>
      </c>
    </row>
    <row r="143">
      <c r="G143">
        <f>G142+0.0001</f>
        <v/>
      </c>
    </row>
    <row r="144">
      <c r="G144">
        <f>G143+0.0001</f>
        <v/>
      </c>
    </row>
    <row r="145">
      <c r="G145">
        <f>G144+0.0001</f>
        <v/>
      </c>
    </row>
    <row r="146">
      <c r="G146">
        <f>G145+0.0001</f>
        <v/>
      </c>
    </row>
    <row r="147">
      <c r="G147">
        <f>G146+0.0001</f>
        <v/>
      </c>
    </row>
    <row r="148">
      <c r="G148">
        <f>G147+0.0001</f>
        <v/>
      </c>
    </row>
    <row r="149">
      <c r="G149">
        <f>G148+0.0001</f>
        <v/>
      </c>
    </row>
    <row r="150">
      <c r="G150">
        <f>G149+0.0001</f>
        <v/>
      </c>
    </row>
    <row r="151">
      <c r="G151">
        <f>G150+0.0001</f>
        <v/>
      </c>
    </row>
    <row r="152">
      <c r="G152">
        <f>G151+0.0001</f>
        <v/>
      </c>
    </row>
    <row r="153">
      <c r="G153">
        <f>G152+0.0001</f>
        <v/>
      </c>
    </row>
    <row r="154">
      <c r="G154">
        <f>G153+0.0001</f>
        <v/>
      </c>
    </row>
    <row r="155">
      <c r="G155">
        <f>G154+0.0001</f>
        <v/>
      </c>
    </row>
    <row r="156">
      <c r="G156">
        <f>G155+0.0001</f>
        <v/>
      </c>
    </row>
    <row r="157">
      <c r="G157">
        <f>G156+0.0001</f>
        <v/>
      </c>
    </row>
    <row r="158">
      <c r="G158">
        <f>G157+0.0001</f>
        <v/>
      </c>
    </row>
    <row r="159">
      <c r="G159">
        <f>G158+0.0001</f>
        <v/>
      </c>
    </row>
    <row r="160">
      <c r="G160">
        <f>G159+0.0001</f>
        <v/>
      </c>
    </row>
    <row r="161">
      <c r="G161">
        <f>G160+0.0001</f>
        <v/>
      </c>
    </row>
    <row r="162">
      <c r="G162">
        <f>G161+0.0001</f>
        <v/>
      </c>
    </row>
    <row r="163">
      <c r="G163">
        <f>G162+0.0001</f>
        <v/>
      </c>
    </row>
    <row r="164">
      <c r="G164">
        <f>G163+0.0001</f>
        <v/>
      </c>
    </row>
    <row r="165">
      <c r="G165">
        <f>G164+0.0001</f>
        <v/>
      </c>
    </row>
    <row r="166">
      <c r="G166">
        <f>G165+0.0001</f>
        <v/>
      </c>
    </row>
    <row r="167">
      <c r="G167">
        <f>G166+0.0001</f>
        <v/>
      </c>
    </row>
    <row r="168">
      <c r="G168">
        <f>G167+0.0001</f>
        <v/>
      </c>
    </row>
    <row r="169">
      <c r="G169">
        <f>G168+0.0001</f>
        <v/>
      </c>
    </row>
    <row r="170">
      <c r="G170">
        <f>G169+0.0001</f>
        <v/>
      </c>
    </row>
    <row r="171">
      <c r="G171">
        <f>G170+0.0001</f>
        <v/>
      </c>
    </row>
    <row r="172">
      <c r="G172">
        <f>G171+0.0001</f>
        <v/>
      </c>
    </row>
    <row r="173">
      <c r="G173">
        <f>G172+0.0001</f>
        <v/>
      </c>
    </row>
    <row r="174">
      <c r="G174">
        <f>G173+0.0001</f>
        <v/>
      </c>
    </row>
    <row r="175">
      <c r="G175">
        <f>G174+0.0001</f>
        <v/>
      </c>
    </row>
    <row r="176">
      <c r="G176">
        <f>G175+0.0001</f>
        <v/>
      </c>
    </row>
    <row r="177">
      <c r="G177">
        <f>G176+0.0001</f>
        <v/>
      </c>
    </row>
    <row r="178">
      <c r="G178">
        <f>G177+0.0001</f>
        <v/>
      </c>
    </row>
    <row r="179">
      <c r="G179">
        <f>G178+0.0001</f>
        <v/>
      </c>
    </row>
    <row r="180">
      <c r="G180">
        <f>G179+0.0001</f>
        <v/>
      </c>
    </row>
    <row r="181">
      <c r="G181">
        <f>G180+0.0001</f>
        <v/>
      </c>
    </row>
    <row r="182">
      <c r="G182">
        <f>G181+0.0001</f>
        <v/>
      </c>
    </row>
    <row r="183">
      <c r="G183">
        <f>G182+0.0001</f>
        <v/>
      </c>
    </row>
    <row r="184">
      <c r="G184">
        <f>G183+0.0001</f>
        <v/>
      </c>
    </row>
    <row r="185">
      <c r="G185">
        <f>G184+0.0001</f>
        <v/>
      </c>
    </row>
    <row r="186">
      <c r="G186">
        <f>G185+0.0001</f>
        <v/>
      </c>
    </row>
    <row r="187">
      <c r="G187">
        <f>G186+0.0001</f>
        <v/>
      </c>
    </row>
    <row r="188">
      <c r="G188">
        <f>G187+0.0001</f>
        <v/>
      </c>
    </row>
    <row r="189">
      <c r="G189">
        <f>G188+0.0001</f>
        <v/>
      </c>
    </row>
    <row r="190">
      <c r="G190">
        <f>G189+0.0001</f>
        <v/>
      </c>
    </row>
    <row r="191">
      <c r="G191">
        <f>G190+0.0001</f>
        <v/>
      </c>
    </row>
    <row r="192">
      <c r="G192">
        <f>G191+0.0001</f>
        <v/>
      </c>
    </row>
    <row r="193">
      <c r="G193">
        <f>G192+0.0001</f>
        <v/>
      </c>
    </row>
    <row r="194">
      <c r="G194">
        <f>G193+0.0001</f>
        <v/>
      </c>
    </row>
    <row r="195">
      <c r="G195">
        <f>G194+0.0001</f>
        <v/>
      </c>
    </row>
    <row r="196">
      <c r="G196">
        <f>G195+0.0001</f>
        <v/>
      </c>
    </row>
    <row r="197">
      <c r="G197">
        <f>G196+0.0001</f>
        <v/>
      </c>
    </row>
    <row r="198">
      <c r="G198">
        <f>G197+0.0001</f>
        <v/>
      </c>
    </row>
    <row r="199">
      <c r="G199">
        <f>G198+0.0001</f>
        <v/>
      </c>
    </row>
    <row r="200">
      <c r="G200">
        <f>G199+0.0001</f>
        <v/>
      </c>
    </row>
    <row r="201">
      <c r="G201">
        <f>G200+0.0001</f>
        <v/>
      </c>
    </row>
    <row r="202">
      <c r="G202">
        <f>G201+0.0001</f>
        <v/>
      </c>
    </row>
    <row r="203">
      <c r="G203">
        <f>G202+0.0001</f>
        <v/>
      </c>
    </row>
    <row r="204">
      <c r="G204">
        <f>G203+0.0001</f>
        <v/>
      </c>
    </row>
    <row r="205">
      <c r="G205">
        <f>G204+0.0001</f>
        <v/>
      </c>
    </row>
    <row r="206">
      <c r="G206">
        <f>G205+0.0001</f>
        <v/>
      </c>
    </row>
    <row r="207">
      <c r="G207">
        <f>G206+0.0001</f>
        <v/>
      </c>
    </row>
    <row r="208">
      <c r="G208">
        <f>G207+0.0001</f>
        <v/>
      </c>
    </row>
    <row r="209">
      <c r="G209">
        <f>G208+0.0001</f>
        <v/>
      </c>
    </row>
    <row r="210">
      <c r="G210">
        <f>G209+0.0001</f>
        <v/>
      </c>
    </row>
    <row r="211">
      <c r="G211">
        <f>G210+0.0001</f>
        <v/>
      </c>
    </row>
    <row r="212">
      <c r="G212">
        <f>G211+0.0001</f>
        <v/>
      </c>
    </row>
    <row r="213">
      <c r="G213">
        <f>G212+0.0001</f>
        <v/>
      </c>
    </row>
    <row r="214">
      <c r="G214">
        <f>G213+0.0001</f>
        <v/>
      </c>
    </row>
    <row r="215">
      <c r="G215">
        <f>G214+0.0001</f>
        <v/>
      </c>
    </row>
    <row r="216">
      <c r="G216">
        <f>G215+0.0001</f>
        <v/>
      </c>
    </row>
    <row r="217">
      <c r="G217">
        <f>G216+0.0001</f>
        <v/>
      </c>
    </row>
    <row r="218">
      <c r="G218">
        <f>G217+0.0001</f>
        <v/>
      </c>
    </row>
    <row r="219">
      <c r="G219">
        <f>G218+0.0001</f>
        <v/>
      </c>
    </row>
    <row r="220">
      <c r="G220">
        <f>G219+0.0001</f>
        <v/>
      </c>
    </row>
    <row r="221">
      <c r="G221">
        <f>G220+0.0001</f>
        <v/>
      </c>
    </row>
    <row r="222">
      <c r="G222">
        <f>G221+0.0001</f>
        <v/>
      </c>
    </row>
    <row r="223">
      <c r="G223">
        <f>G222+0.0001</f>
        <v/>
      </c>
    </row>
    <row r="224">
      <c r="G224">
        <f>G223+0.0001</f>
        <v/>
      </c>
    </row>
    <row r="225">
      <c r="G225">
        <f>G224+0.0001</f>
        <v/>
      </c>
    </row>
    <row r="226">
      <c r="G226">
        <f>G225+0.0001</f>
        <v/>
      </c>
    </row>
    <row r="227">
      <c r="G227">
        <f>G226+0.0001</f>
        <v/>
      </c>
    </row>
    <row r="228">
      <c r="G228">
        <f>G227+0.0001</f>
        <v/>
      </c>
    </row>
    <row r="229">
      <c r="G229">
        <f>G228+0.0001</f>
        <v/>
      </c>
    </row>
    <row r="230">
      <c r="G230">
        <f>G229+0.0001</f>
        <v/>
      </c>
    </row>
    <row r="231">
      <c r="G231">
        <f>G230+0.0001</f>
        <v/>
      </c>
    </row>
    <row r="232">
      <c r="G232">
        <f>G231+0.0001</f>
        <v/>
      </c>
    </row>
    <row r="233">
      <c r="G233">
        <f>G232+0.0001</f>
        <v/>
      </c>
    </row>
    <row r="234">
      <c r="G234">
        <f>G233+0.0001</f>
        <v/>
      </c>
    </row>
    <row r="235">
      <c r="G235">
        <f>G234+0.0001</f>
        <v/>
      </c>
    </row>
    <row r="236">
      <c r="G236">
        <f>G235+0.0001</f>
        <v/>
      </c>
    </row>
    <row r="237">
      <c r="G237">
        <f>G236+0.0001</f>
        <v/>
      </c>
    </row>
    <row r="238">
      <c r="G238">
        <f>G237+0.0001</f>
        <v/>
      </c>
    </row>
    <row r="239">
      <c r="G239">
        <f>G238+0.0001</f>
        <v/>
      </c>
    </row>
    <row r="240">
      <c r="G240">
        <f>G239+0.0001</f>
        <v/>
      </c>
    </row>
    <row r="241">
      <c r="G241">
        <f>G240+0.0001</f>
        <v/>
      </c>
    </row>
    <row r="242">
      <c r="G242">
        <f>G241+0.0001</f>
        <v/>
      </c>
    </row>
    <row r="243">
      <c r="G243">
        <f>G242+0.0001</f>
        <v/>
      </c>
    </row>
    <row r="244">
      <c r="G244">
        <f>G243+0.0001</f>
        <v/>
      </c>
    </row>
    <row r="245">
      <c r="G245">
        <f>G244+0.0001</f>
        <v/>
      </c>
    </row>
    <row r="246">
      <c r="G246">
        <f>G245+0.0001</f>
        <v/>
      </c>
    </row>
    <row r="247">
      <c r="G247">
        <f>G246+0.0001</f>
        <v/>
      </c>
    </row>
    <row r="248">
      <c r="G248">
        <f>G247+0.0001</f>
        <v/>
      </c>
    </row>
    <row r="249">
      <c r="G249">
        <f>G248+0.0001</f>
        <v/>
      </c>
    </row>
    <row r="250">
      <c r="G250">
        <f>G249+0.0001</f>
        <v/>
      </c>
    </row>
    <row r="251">
      <c r="G251">
        <f>G250+0.0001</f>
        <v/>
      </c>
    </row>
    <row r="252">
      <c r="G252">
        <f>G251+0.0001</f>
        <v/>
      </c>
    </row>
    <row r="253">
      <c r="G253">
        <f>G252+0.0001</f>
        <v/>
      </c>
    </row>
    <row r="254">
      <c r="G254">
        <f>G253+0.0001</f>
        <v/>
      </c>
    </row>
    <row r="255">
      <c r="G255">
        <f>G254+0.0001</f>
        <v/>
      </c>
    </row>
    <row r="256">
      <c r="G256">
        <f>G255+0.0001</f>
        <v/>
      </c>
    </row>
    <row r="257">
      <c r="G257">
        <f>G256+0.0001</f>
        <v/>
      </c>
    </row>
    <row r="258">
      <c r="G258">
        <f>G257+0.0001</f>
        <v/>
      </c>
    </row>
    <row r="259">
      <c r="G259">
        <f>G258+0.0001</f>
        <v/>
      </c>
    </row>
    <row r="260">
      <c r="G260">
        <f>G259+0.0001</f>
        <v/>
      </c>
    </row>
    <row r="261">
      <c r="G261">
        <f>G260+0.0001</f>
        <v/>
      </c>
    </row>
    <row r="262">
      <c r="G262">
        <f>G261+0.0001</f>
        <v/>
      </c>
    </row>
    <row r="263">
      <c r="G263">
        <f>G262+0.0001</f>
        <v/>
      </c>
    </row>
    <row r="264">
      <c r="G264">
        <f>G263+0.0001</f>
        <v/>
      </c>
    </row>
    <row r="265">
      <c r="G265">
        <f>G264+0.0001</f>
        <v/>
      </c>
    </row>
    <row r="266">
      <c r="G266">
        <f>G265+0.0001</f>
        <v/>
      </c>
    </row>
    <row r="267">
      <c r="G267">
        <f>G266+0.0001</f>
        <v/>
      </c>
    </row>
    <row r="268">
      <c r="G268">
        <f>G267+0.0001</f>
        <v/>
      </c>
    </row>
    <row r="269">
      <c r="G269">
        <f>G268+0.0001</f>
        <v/>
      </c>
    </row>
    <row r="270">
      <c r="G270">
        <f>G269+0.0001</f>
        <v/>
      </c>
    </row>
    <row r="271">
      <c r="G271">
        <f>G270+0.0001</f>
        <v/>
      </c>
    </row>
    <row r="272">
      <c r="G272">
        <f>G271+0.0001</f>
        <v/>
      </c>
    </row>
    <row r="273">
      <c r="G273">
        <f>G272+0.0001</f>
        <v/>
      </c>
    </row>
    <row r="274">
      <c r="G274">
        <f>G273+0.0001</f>
        <v/>
      </c>
    </row>
    <row r="275">
      <c r="G275">
        <f>G274+0.0001</f>
        <v/>
      </c>
    </row>
    <row r="276">
      <c r="G276">
        <f>G275+0.0001</f>
        <v/>
      </c>
    </row>
    <row r="277">
      <c r="G277">
        <f>G276+0.0001</f>
        <v/>
      </c>
    </row>
    <row r="278">
      <c r="G278">
        <f>G277+0.0001</f>
        <v/>
      </c>
    </row>
    <row r="279">
      <c r="G279">
        <f>G278+0.0001</f>
        <v/>
      </c>
    </row>
    <row r="280">
      <c r="G280">
        <f>G279+0.0001</f>
        <v/>
      </c>
    </row>
    <row r="281">
      <c r="G281">
        <f>G280+0.0001</f>
        <v/>
      </c>
    </row>
    <row r="282">
      <c r="G282">
        <f>G281+0.0001</f>
        <v/>
      </c>
    </row>
    <row r="283">
      <c r="G283">
        <f>G282+0.0001</f>
        <v/>
      </c>
    </row>
    <row r="284">
      <c r="G284">
        <f>G283+0.0001</f>
        <v/>
      </c>
    </row>
    <row r="285">
      <c r="G285">
        <f>G284+0.0001</f>
        <v/>
      </c>
    </row>
    <row r="286">
      <c r="G286">
        <f>G285+0.0001</f>
        <v/>
      </c>
    </row>
    <row r="287">
      <c r="G287">
        <f>G286+0.0001</f>
        <v/>
      </c>
    </row>
    <row r="288">
      <c r="G288">
        <f>G287+0.0001</f>
        <v/>
      </c>
    </row>
    <row r="289">
      <c r="G289">
        <f>G288+0.0001</f>
        <v/>
      </c>
    </row>
    <row r="290">
      <c r="G290">
        <f>G289+0.0001</f>
        <v/>
      </c>
    </row>
    <row r="291">
      <c r="G291">
        <f>G290+0.0001</f>
        <v/>
      </c>
    </row>
    <row r="292">
      <c r="G292">
        <f>G291+0.0001</f>
        <v/>
      </c>
    </row>
    <row r="293">
      <c r="G293">
        <f>G292+0.0001</f>
        <v/>
      </c>
    </row>
    <row r="294">
      <c r="G294">
        <f>G293+0.0001</f>
        <v/>
      </c>
    </row>
    <row r="295">
      <c r="G295">
        <f>G294+0.0001</f>
        <v/>
      </c>
    </row>
    <row r="296">
      <c r="G296">
        <f>G295+0.0001</f>
        <v/>
      </c>
    </row>
    <row r="297">
      <c r="G297">
        <f>G296+0.0001</f>
        <v/>
      </c>
    </row>
    <row r="298">
      <c r="G298">
        <f>G297+0.0001</f>
        <v/>
      </c>
    </row>
    <row r="299">
      <c r="G299">
        <f>G298+0.0001</f>
        <v/>
      </c>
    </row>
    <row r="300">
      <c r="G300">
        <f>G299+0.0001</f>
        <v/>
      </c>
    </row>
    <row r="301">
      <c r="G301">
        <f>G300+0.0001</f>
        <v/>
      </c>
    </row>
    <row r="302">
      <c r="G302">
        <f>G301+0.0001</f>
        <v/>
      </c>
    </row>
    <row r="303">
      <c r="G303">
        <f>G302+0.0001</f>
        <v/>
      </c>
    </row>
    <row r="304">
      <c r="G304">
        <f>G303+0.0001</f>
        <v/>
      </c>
    </row>
    <row r="305">
      <c r="G305">
        <f>G304+0.0001</f>
        <v/>
      </c>
    </row>
    <row r="306">
      <c r="G306">
        <f>G305+0.0001</f>
        <v/>
      </c>
    </row>
    <row r="307">
      <c r="G307">
        <f>G306+0.0001</f>
        <v/>
      </c>
    </row>
    <row r="308">
      <c r="G308">
        <f>G307+0.0001</f>
        <v/>
      </c>
    </row>
    <row r="309">
      <c r="G309">
        <f>G308+0.0001</f>
        <v/>
      </c>
    </row>
    <row r="310">
      <c r="G310">
        <f>G309+0.0001</f>
        <v/>
      </c>
    </row>
    <row r="311">
      <c r="G311">
        <f>G310+0.0001</f>
        <v/>
      </c>
    </row>
    <row r="312">
      <c r="G312">
        <f>G311+0.0001</f>
        <v/>
      </c>
    </row>
    <row r="313">
      <c r="G313">
        <f>G312+0.0001</f>
        <v/>
      </c>
    </row>
    <row r="314">
      <c r="G314">
        <f>G313+0.0001</f>
        <v/>
      </c>
    </row>
    <row r="315">
      <c r="G315">
        <f>G314+0.0001</f>
        <v/>
      </c>
    </row>
    <row r="316">
      <c r="G316">
        <f>G315+0.0001</f>
        <v/>
      </c>
    </row>
    <row r="317">
      <c r="G317">
        <f>G316+0.0001</f>
        <v/>
      </c>
    </row>
    <row r="318">
      <c r="G318">
        <f>G317+0.0001</f>
        <v/>
      </c>
    </row>
    <row r="319">
      <c r="G319">
        <f>G318+0.0001</f>
        <v/>
      </c>
    </row>
    <row r="320">
      <c r="G320">
        <f>G319+0.0001</f>
        <v/>
      </c>
    </row>
    <row r="321">
      <c r="G321">
        <f>G320+0.0001</f>
        <v/>
      </c>
    </row>
    <row r="322">
      <c r="G322">
        <f>G321+0.0001</f>
        <v/>
      </c>
    </row>
    <row r="323">
      <c r="G323">
        <f>G322+0.0001</f>
        <v/>
      </c>
    </row>
    <row r="324">
      <c r="G324">
        <f>G323+0.0001</f>
        <v/>
      </c>
    </row>
    <row r="325">
      <c r="G325">
        <f>G324+0.0001</f>
        <v/>
      </c>
    </row>
    <row r="326">
      <c r="G326">
        <f>G325+0.0001</f>
        <v/>
      </c>
    </row>
    <row r="327">
      <c r="G327">
        <f>G326+0.0001</f>
        <v/>
      </c>
    </row>
    <row r="328">
      <c r="G328">
        <f>G327+0.0001</f>
        <v/>
      </c>
    </row>
    <row r="329">
      <c r="G329">
        <f>G328+0.0001</f>
        <v/>
      </c>
    </row>
    <row r="330">
      <c r="G330">
        <f>G329+0.0001</f>
        <v/>
      </c>
    </row>
    <row r="331">
      <c r="G331">
        <f>G330+0.0001</f>
        <v/>
      </c>
    </row>
    <row r="332">
      <c r="G332">
        <f>G331+0.0001</f>
        <v/>
      </c>
    </row>
    <row r="333">
      <c r="G333">
        <f>G332+0.0001</f>
        <v/>
      </c>
    </row>
    <row r="334">
      <c r="G334">
        <f>G333+0.0001</f>
        <v/>
      </c>
    </row>
    <row r="335">
      <c r="G335">
        <f>G334+0.0001</f>
        <v/>
      </c>
    </row>
    <row r="336">
      <c r="G336">
        <f>G335+0.0001</f>
        <v/>
      </c>
    </row>
    <row r="337">
      <c r="G337">
        <f>G336+0.0001</f>
        <v/>
      </c>
    </row>
    <row r="338">
      <c r="G338">
        <f>G337+0.0001</f>
        <v/>
      </c>
    </row>
    <row r="339">
      <c r="G339">
        <f>G338+0.0001</f>
        <v/>
      </c>
    </row>
    <row r="340">
      <c r="G340">
        <f>G339+0.0001</f>
        <v/>
      </c>
    </row>
    <row r="341">
      <c r="G341">
        <f>G340+0.0001</f>
        <v/>
      </c>
    </row>
    <row r="342">
      <c r="G342">
        <f>G341+0.0001</f>
        <v/>
      </c>
    </row>
    <row r="343">
      <c r="G343">
        <f>G342+0.0001</f>
        <v/>
      </c>
    </row>
    <row r="344">
      <c r="G344">
        <f>G343+0.0001</f>
        <v/>
      </c>
    </row>
    <row r="345">
      <c r="G345">
        <f>G344+0.0001</f>
        <v/>
      </c>
    </row>
    <row r="346">
      <c r="G346">
        <f>G345+0.0001</f>
        <v/>
      </c>
    </row>
    <row r="347">
      <c r="G347">
        <f>G346+0.0001</f>
        <v/>
      </c>
    </row>
    <row r="348">
      <c r="G348">
        <f>G347+0.0001</f>
        <v/>
      </c>
    </row>
    <row r="349">
      <c r="G349">
        <f>G348+0.0001</f>
        <v/>
      </c>
    </row>
    <row r="350">
      <c r="G350">
        <f>G349+0.0001</f>
        <v/>
      </c>
    </row>
    <row r="351">
      <c r="G351">
        <f>G350+0.0001</f>
        <v/>
      </c>
    </row>
    <row r="352">
      <c r="G352">
        <f>G351+0.0001</f>
        <v/>
      </c>
    </row>
    <row r="353">
      <c r="G353">
        <f>G352+0.0001</f>
        <v/>
      </c>
    </row>
    <row r="354">
      <c r="G354">
        <f>G353+0.0001</f>
        <v/>
      </c>
    </row>
    <row r="355">
      <c r="G355">
        <f>G354+0.0001</f>
        <v/>
      </c>
    </row>
    <row r="356">
      <c r="G356">
        <f>G355+0.0001</f>
        <v/>
      </c>
    </row>
    <row r="357">
      <c r="G357">
        <f>G356+0.0001</f>
        <v/>
      </c>
    </row>
    <row r="358">
      <c r="G358">
        <f>G357+0.0001</f>
        <v/>
      </c>
    </row>
    <row r="359">
      <c r="G359">
        <f>G358+0.0001</f>
        <v/>
      </c>
    </row>
    <row r="360">
      <c r="G360">
        <f>G359+0.0001</f>
        <v/>
      </c>
    </row>
    <row r="361">
      <c r="G361">
        <f>G360+0.0001</f>
        <v/>
      </c>
    </row>
    <row r="362">
      <c r="G362">
        <f>G361+0.0001</f>
        <v/>
      </c>
    </row>
    <row r="363">
      <c r="G363">
        <f>G362+0.0001</f>
        <v/>
      </c>
    </row>
    <row r="364">
      <c r="G364">
        <f>G363+0.0001</f>
        <v/>
      </c>
    </row>
    <row r="365">
      <c r="G365">
        <f>G364+0.0001</f>
        <v/>
      </c>
    </row>
    <row r="366">
      <c r="G366">
        <f>G365+0.0001</f>
        <v/>
      </c>
    </row>
    <row r="367">
      <c r="G367">
        <f>G366+0.0001</f>
        <v/>
      </c>
    </row>
    <row r="368">
      <c r="G368">
        <f>G367+0.0001</f>
        <v/>
      </c>
    </row>
    <row r="369">
      <c r="G369">
        <f>G368+0.0001</f>
        <v/>
      </c>
    </row>
    <row r="370">
      <c r="G370">
        <f>G369+0.0001</f>
        <v/>
      </c>
    </row>
    <row r="371">
      <c r="G371">
        <f>G370+0.0001</f>
        <v/>
      </c>
    </row>
    <row r="372">
      <c r="G372">
        <f>G371+0.0001</f>
        <v/>
      </c>
    </row>
    <row r="373">
      <c r="G373">
        <f>G372+0.0001</f>
        <v/>
      </c>
    </row>
    <row r="374">
      <c r="G374">
        <f>G373+0.0001</f>
        <v/>
      </c>
    </row>
    <row r="375">
      <c r="G375">
        <f>G374+0.0001</f>
        <v/>
      </c>
    </row>
    <row r="376">
      <c r="G376">
        <f>G375+0.0001</f>
        <v/>
      </c>
    </row>
    <row r="377">
      <c r="G377">
        <f>G376+0.0001</f>
        <v/>
      </c>
    </row>
    <row r="378">
      <c r="G378">
        <f>G377+0.0001</f>
        <v/>
      </c>
    </row>
    <row r="379">
      <c r="G379">
        <f>G378+0.0001</f>
        <v/>
      </c>
    </row>
    <row r="380">
      <c r="G380">
        <f>G379+0.0001</f>
        <v/>
      </c>
    </row>
    <row r="381">
      <c r="G381">
        <f>G380+0.0001</f>
        <v/>
      </c>
    </row>
    <row r="382">
      <c r="G382">
        <f>G381+0.0001</f>
        <v/>
      </c>
    </row>
    <row r="383">
      <c r="G383">
        <f>G382+0.0001</f>
        <v/>
      </c>
    </row>
    <row r="384">
      <c r="G384">
        <f>G383+0.0001</f>
        <v/>
      </c>
    </row>
    <row r="385">
      <c r="G385">
        <f>G384+0.0001</f>
        <v/>
      </c>
    </row>
    <row r="386">
      <c r="G386">
        <f>G385+0.0001</f>
        <v/>
      </c>
    </row>
    <row r="387">
      <c r="G387">
        <f>G386+0.0001</f>
        <v/>
      </c>
    </row>
    <row r="388">
      <c r="G388">
        <f>G387+0.0001</f>
        <v/>
      </c>
    </row>
    <row r="389">
      <c r="G389">
        <f>G388+0.0001</f>
        <v/>
      </c>
    </row>
    <row r="390">
      <c r="G390">
        <f>G389+0.0001</f>
        <v/>
      </c>
    </row>
    <row r="391">
      <c r="G391">
        <f>G390+0.0001</f>
        <v/>
      </c>
    </row>
    <row r="392">
      <c r="G392">
        <f>G391+0.0001</f>
        <v/>
      </c>
    </row>
    <row r="393">
      <c r="G393">
        <f>G392+0.0001</f>
        <v/>
      </c>
    </row>
    <row r="394">
      <c r="G394">
        <f>G393+0.0001</f>
        <v/>
      </c>
    </row>
    <row r="395">
      <c r="G395">
        <f>G394+0.0001</f>
        <v/>
      </c>
    </row>
    <row r="396">
      <c r="G396">
        <f>G395+0.0001</f>
        <v/>
      </c>
    </row>
    <row r="397">
      <c r="G397">
        <f>G396+0.0001</f>
        <v/>
      </c>
    </row>
    <row r="398">
      <c r="G398">
        <f>G397+0.0001</f>
        <v/>
      </c>
    </row>
    <row r="399">
      <c r="G399">
        <f>G398+0.0001</f>
        <v/>
      </c>
    </row>
    <row r="400">
      <c r="G400">
        <f>G399+0.0001</f>
        <v/>
      </c>
    </row>
    <row r="401">
      <c r="G401">
        <f>G400+0.0001</f>
        <v/>
      </c>
    </row>
    <row r="402">
      <c r="G402">
        <f>G401+0.0001</f>
        <v/>
      </c>
    </row>
    <row r="403">
      <c r="G403">
        <f>G402+0.0001</f>
        <v/>
      </c>
    </row>
    <row r="404">
      <c r="G404">
        <f>G403+0.0001</f>
        <v/>
      </c>
    </row>
    <row r="405">
      <c r="G405">
        <f>G404+0.0001</f>
        <v/>
      </c>
    </row>
    <row r="406">
      <c r="G406">
        <f>G405+0.0001</f>
        <v/>
      </c>
    </row>
    <row r="407">
      <c r="G407">
        <f>G406+0.0001</f>
        <v/>
      </c>
    </row>
    <row r="408">
      <c r="G408">
        <f>G407+0.0001</f>
        <v/>
      </c>
    </row>
    <row r="409">
      <c r="G409">
        <f>G408+0.0001</f>
        <v/>
      </c>
    </row>
    <row r="410">
      <c r="G410">
        <f>G409+0.0001</f>
        <v/>
      </c>
    </row>
    <row r="411">
      <c r="G411">
        <f>G410+0.0001</f>
        <v/>
      </c>
    </row>
    <row r="412">
      <c r="G412">
        <f>G411+0.0001</f>
        <v/>
      </c>
    </row>
    <row r="413">
      <c r="G413">
        <f>G412+0.0001</f>
        <v/>
      </c>
    </row>
    <row r="414">
      <c r="G414">
        <f>G413+0.0001</f>
        <v/>
      </c>
    </row>
    <row r="415">
      <c r="G415">
        <f>G414+0.0001</f>
        <v/>
      </c>
    </row>
    <row r="416">
      <c r="G416">
        <f>G415+0.0001</f>
        <v/>
      </c>
    </row>
    <row r="417">
      <c r="G417">
        <f>G416+0.0001</f>
        <v/>
      </c>
    </row>
    <row r="418">
      <c r="G418">
        <f>G417+0.0001</f>
        <v/>
      </c>
    </row>
    <row r="419">
      <c r="G419">
        <f>G418+0.0001</f>
        <v/>
      </c>
    </row>
    <row r="420">
      <c r="G420">
        <f>G419+0.0001</f>
        <v/>
      </c>
    </row>
    <row r="421">
      <c r="G421">
        <f>G420+0.0001</f>
        <v/>
      </c>
    </row>
    <row r="422">
      <c r="G422">
        <f>G421+0.0001</f>
        <v/>
      </c>
    </row>
    <row r="423">
      <c r="G423">
        <f>G422+0.0001</f>
        <v/>
      </c>
    </row>
    <row r="424">
      <c r="G424">
        <f>G423+0.0001</f>
        <v/>
      </c>
    </row>
    <row r="425">
      <c r="G425">
        <f>G424+0.0001</f>
        <v/>
      </c>
    </row>
    <row r="426">
      <c r="G426">
        <f>G425+0.0001</f>
        <v/>
      </c>
    </row>
    <row r="427">
      <c r="G427">
        <f>G426+0.0001</f>
        <v/>
      </c>
    </row>
    <row r="428">
      <c r="G428">
        <f>G427+0.0001</f>
        <v/>
      </c>
    </row>
    <row r="429">
      <c r="G429">
        <f>G428+0.0001</f>
        <v/>
      </c>
    </row>
    <row r="430">
      <c r="G430">
        <f>G429+0.0001</f>
        <v/>
      </c>
    </row>
    <row r="431">
      <c r="G431">
        <f>G430+0.0001</f>
        <v/>
      </c>
    </row>
    <row r="432">
      <c r="G432">
        <f>G431+0.0001</f>
        <v/>
      </c>
    </row>
    <row r="433">
      <c r="G433">
        <f>G432+0.0001</f>
        <v/>
      </c>
    </row>
    <row r="434">
      <c r="G434">
        <f>G433+0.0001</f>
        <v/>
      </c>
    </row>
    <row r="435">
      <c r="G435">
        <f>G434+0.0001</f>
        <v/>
      </c>
    </row>
    <row r="436">
      <c r="G436">
        <f>G435+0.0001</f>
        <v/>
      </c>
    </row>
    <row r="437">
      <c r="G437">
        <f>G436+0.0001</f>
        <v/>
      </c>
    </row>
    <row r="438">
      <c r="G438">
        <f>G437+0.0001</f>
        <v/>
      </c>
    </row>
    <row r="439">
      <c r="G439">
        <f>G438+0.0001</f>
        <v/>
      </c>
    </row>
    <row r="440">
      <c r="G440">
        <f>G439+0.0001</f>
        <v/>
      </c>
    </row>
    <row r="441">
      <c r="G441">
        <f>G440+0.0001</f>
        <v/>
      </c>
    </row>
    <row r="442">
      <c r="G442">
        <f>G441+0.0001</f>
        <v/>
      </c>
    </row>
    <row r="443">
      <c r="G443">
        <f>G442+0.0001</f>
        <v/>
      </c>
    </row>
    <row r="444">
      <c r="G444">
        <f>G443+0.0001</f>
        <v/>
      </c>
    </row>
    <row r="445">
      <c r="G445">
        <f>G444+0.0001</f>
        <v/>
      </c>
    </row>
    <row r="446">
      <c r="G446">
        <f>G445+0.0001</f>
        <v/>
      </c>
    </row>
    <row r="447">
      <c r="G447">
        <f>G446+0.0001</f>
        <v/>
      </c>
    </row>
    <row r="448">
      <c r="G448">
        <f>G447+0.0001</f>
        <v/>
      </c>
    </row>
    <row r="449">
      <c r="G449">
        <f>G448+0.0001</f>
        <v/>
      </c>
    </row>
    <row r="450">
      <c r="G450">
        <f>G449+0.0001</f>
        <v/>
      </c>
    </row>
    <row r="451">
      <c r="G451">
        <f>G450+0.0001</f>
        <v/>
      </c>
    </row>
    <row r="452">
      <c r="G452">
        <f>G451+0.0001</f>
        <v/>
      </c>
    </row>
    <row r="453">
      <c r="G453">
        <f>G452+0.0001</f>
        <v/>
      </c>
    </row>
    <row r="454">
      <c r="G454">
        <f>G453+0.0001</f>
        <v/>
      </c>
    </row>
    <row r="455">
      <c r="G455">
        <f>G454+0.0001</f>
        <v/>
      </c>
    </row>
    <row r="456">
      <c r="G456">
        <f>G455+0.0001</f>
        <v/>
      </c>
    </row>
    <row r="457">
      <c r="G457">
        <f>G456+0.0001</f>
        <v/>
      </c>
    </row>
    <row r="458">
      <c r="G458">
        <f>G457+0.0001</f>
        <v/>
      </c>
    </row>
    <row r="459">
      <c r="G459">
        <f>G458+0.0001</f>
        <v/>
      </c>
    </row>
    <row r="460">
      <c r="G460">
        <f>G459+0.0001</f>
        <v/>
      </c>
    </row>
    <row r="461">
      <c r="G461">
        <f>G460+0.0001</f>
        <v/>
      </c>
    </row>
    <row r="462">
      <c r="G462">
        <f>G461+0.0001</f>
        <v/>
      </c>
    </row>
    <row r="463">
      <c r="G463">
        <f>G462+0.0001</f>
        <v/>
      </c>
    </row>
    <row r="464">
      <c r="G464">
        <f>G463+0.0001</f>
        <v/>
      </c>
    </row>
    <row r="465">
      <c r="G465">
        <f>G464+0.0001</f>
        <v/>
      </c>
    </row>
    <row r="466">
      <c r="G466">
        <f>G465+0.0001</f>
        <v/>
      </c>
    </row>
    <row r="467">
      <c r="G467">
        <f>G466+0.0001</f>
        <v/>
      </c>
    </row>
    <row r="468">
      <c r="G468">
        <f>G467+0.0001</f>
        <v/>
      </c>
    </row>
    <row r="469">
      <c r="G469">
        <f>G468+0.0001</f>
        <v/>
      </c>
    </row>
    <row r="470">
      <c r="G470">
        <f>G469+0.0001</f>
        <v/>
      </c>
    </row>
    <row r="471">
      <c r="G471">
        <f>G470+0.0001</f>
        <v/>
      </c>
    </row>
    <row r="472">
      <c r="G472">
        <f>G471+0.0001</f>
        <v/>
      </c>
    </row>
    <row r="473">
      <c r="G473">
        <f>G472+0.0001</f>
        <v/>
      </c>
    </row>
    <row r="474">
      <c r="G474">
        <f>G473+0.0001</f>
        <v/>
      </c>
    </row>
    <row r="475">
      <c r="G475">
        <f>G474+0.0001</f>
        <v/>
      </c>
    </row>
    <row r="476">
      <c r="G476">
        <f>G475+0.0001</f>
        <v/>
      </c>
    </row>
    <row r="477">
      <c r="G477">
        <f>G476+0.0001</f>
        <v/>
      </c>
    </row>
    <row r="478">
      <c r="G478">
        <f>G477+0.0001</f>
        <v/>
      </c>
    </row>
    <row r="479">
      <c r="G479">
        <f>G478+0.0001</f>
        <v/>
      </c>
    </row>
    <row r="480">
      <c r="G480">
        <f>G479+0.0001</f>
        <v/>
      </c>
    </row>
    <row r="481">
      <c r="G481">
        <f>G480+0.0001</f>
        <v/>
      </c>
    </row>
    <row r="482">
      <c r="G482">
        <f>G481+0.0001</f>
        <v/>
      </c>
    </row>
    <row r="483">
      <c r="G483">
        <f>G482+0.0001</f>
        <v/>
      </c>
    </row>
    <row r="484">
      <c r="G484">
        <f>G483+0.0001</f>
        <v/>
      </c>
    </row>
    <row r="485">
      <c r="G485">
        <f>G484+0.0001</f>
        <v/>
      </c>
    </row>
    <row r="486">
      <c r="G486">
        <f>G485+0.0001</f>
        <v/>
      </c>
    </row>
    <row r="487">
      <c r="G487">
        <f>G486+0.0001</f>
        <v/>
      </c>
    </row>
    <row r="488">
      <c r="G488">
        <f>G487+0.0001</f>
        <v/>
      </c>
    </row>
    <row r="489">
      <c r="G489">
        <f>G488+0.0001</f>
        <v/>
      </c>
    </row>
    <row r="490">
      <c r="G490">
        <f>G489+0.0001</f>
        <v/>
      </c>
    </row>
    <row r="491">
      <c r="G491">
        <f>G490+0.0001</f>
        <v/>
      </c>
    </row>
    <row r="492">
      <c r="G492">
        <f>G491+0.0001</f>
        <v/>
      </c>
    </row>
    <row r="493">
      <c r="G493">
        <f>G492+0.0001</f>
        <v/>
      </c>
    </row>
    <row r="494">
      <c r="G494">
        <f>G493+0.0001</f>
        <v/>
      </c>
    </row>
    <row r="495">
      <c r="G495">
        <f>G494+0.0001</f>
        <v/>
      </c>
    </row>
    <row r="496">
      <c r="G496">
        <f>G495+0.0001</f>
        <v/>
      </c>
    </row>
    <row r="497">
      <c r="G497">
        <f>G496+0.0001</f>
        <v/>
      </c>
    </row>
    <row r="498">
      <c r="G498">
        <f>G497+0.0001</f>
        <v/>
      </c>
    </row>
    <row r="499">
      <c r="G499">
        <f>G498+0.0001</f>
        <v/>
      </c>
    </row>
    <row r="500">
      <c r="G500">
        <f>G499+0.0001</f>
        <v/>
      </c>
    </row>
    <row r="501">
      <c r="G501">
        <f>G500+0.0001</f>
        <v/>
      </c>
    </row>
    <row r="502">
      <c r="G502">
        <f>G501+0.0001</f>
        <v/>
      </c>
    </row>
    <row r="503">
      <c r="G503">
        <f>G502+0.0001</f>
        <v/>
      </c>
    </row>
    <row r="504">
      <c r="G504">
        <f>G503+0.0001</f>
        <v/>
      </c>
    </row>
    <row r="505">
      <c r="G505">
        <f>G504+0.0001</f>
        <v/>
      </c>
    </row>
    <row r="506">
      <c r="G506">
        <f>G505+0.0001</f>
        <v/>
      </c>
    </row>
    <row r="507">
      <c r="G507">
        <f>G506+0.0001</f>
        <v/>
      </c>
    </row>
    <row r="508">
      <c r="G508">
        <f>G507+0.0001</f>
        <v/>
      </c>
    </row>
    <row r="509">
      <c r="G509">
        <f>G508+0.0001</f>
        <v/>
      </c>
    </row>
    <row r="510">
      <c r="G510">
        <f>G509+0.0001</f>
        <v/>
      </c>
    </row>
    <row r="511">
      <c r="G511">
        <f>G510+0.0001</f>
        <v/>
      </c>
    </row>
    <row r="512">
      <c r="G512">
        <f>G511+0.0001</f>
        <v/>
      </c>
    </row>
    <row r="513">
      <c r="G513">
        <f>G512+0.0001</f>
        <v/>
      </c>
    </row>
    <row r="514">
      <c r="G514">
        <f>G513+0.0001</f>
        <v/>
      </c>
    </row>
    <row r="515">
      <c r="G515">
        <f>G514+0.0001</f>
        <v/>
      </c>
    </row>
    <row r="516">
      <c r="G516">
        <f>G515+0.0001</f>
        <v/>
      </c>
    </row>
    <row r="517">
      <c r="G517">
        <f>G516+0.0001</f>
        <v/>
      </c>
    </row>
    <row r="518">
      <c r="G518">
        <f>G517+0.0001</f>
        <v/>
      </c>
    </row>
    <row r="519">
      <c r="G519">
        <f>G518+0.0001</f>
        <v/>
      </c>
    </row>
    <row r="520">
      <c r="G520">
        <f>G519+0.0001</f>
        <v/>
      </c>
    </row>
    <row r="521">
      <c r="G521">
        <f>G520+0.0001</f>
        <v/>
      </c>
    </row>
    <row r="522">
      <c r="G522">
        <f>G521+0.0001</f>
        <v/>
      </c>
    </row>
    <row r="523">
      <c r="G523">
        <f>G522+0.0001</f>
        <v/>
      </c>
    </row>
    <row r="524">
      <c r="G524">
        <f>G523+0.0001</f>
        <v/>
      </c>
    </row>
    <row r="525">
      <c r="G525">
        <f>G524+0.0001</f>
        <v/>
      </c>
    </row>
    <row r="526">
      <c r="G526">
        <f>G525+0.0001</f>
        <v/>
      </c>
    </row>
    <row r="527">
      <c r="G527">
        <f>G526+0.0001</f>
        <v/>
      </c>
    </row>
    <row r="528">
      <c r="G528">
        <f>G527+0.0001</f>
        <v/>
      </c>
    </row>
    <row r="529">
      <c r="G529">
        <f>G528+0.0001</f>
        <v/>
      </c>
    </row>
    <row r="530">
      <c r="G530">
        <f>G529+0.0001</f>
        <v/>
      </c>
    </row>
    <row r="531">
      <c r="G531">
        <f>G530+0.0001</f>
        <v/>
      </c>
    </row>
    <row r="532">
      <c r="G532">
        <f>G531+0.0001</f>
        <v/>
      </c>
    </row>
    <row r="533">
      <c r="G533">
        <f>G532+0.0001</f>
        <v/>
      </c>
    </row>
    <row r="534">
      <c r="G534">
        <f>G533+0.0001</f>
        <v/>
      </c>
    </row>
    <row r="535">
      <c r="G535">
        <f>G534+0.0001</f>
        <v/>
      </c>
    </row>
    <row r="536">
      <c r="G536">
        <f>G535+0.0001</f>
        <v/>
      </c>
    </row>
    <row r="537">
      <c r="G537">
        <f>G536+0.0001</f>
        <v/>
      </c>
    </row>
    <row r="538">
      <c r="G538">
        <f>G537+0.0001</f>
        <v/>
      </c>
    </row>
    <row r="539">
      <c r="G539">
        <f>G538+0.0001</f>
        <v/>
      </c>
    </row>
    <row r="540">
      <c r="G540">
        <f>G539+0.0001</f>
        <v/>
      </c>
    </row>
    <row r="541">
      <c r="G541">
        <f>G540+0.0001</f>
        <v/>
      </c>
    </row>
    <row r="542">
      <c r="G542">
        <f>G541+0.0001</f>
        <v/>
      </c>
    </row>
    <row r="543">
      <c r="G543">
        <f>G542+0.0001</f>
        <v/>
      </c>
    </row>
    <row r="544">
      <c r="G544">
        <f>G543+0.0001</f>
        <v/>
      </c>
    </row>
    <row r="545">
      <c r="G545">
        <f>G544+0.0001</f>
        <v/>
      </c>
    </row>
    <row r="546">
      <c r="G546">
        <f>G545+0.0001</f>
        <v/>
      </c>
    </row>
    <row r="547">
      <c r="G547">
        <f>G546+0.0001</f>
        <v/>
      </c>
    </row>
    <row r="548">
      <c r="G548">
        <f>G547+0.0001</f>
        <v/>
      </c>
    </row>
    <row r="549">
      <c r="G549">
        <f>G548+0.0001</f>
        <v/>
      </c>
    </row>
    <row r="550">
      <c r="G550">
        <f>G549+0.0001</f>
        <v/>
      </c>
    </row>
    <row r="551">
      <c r="G551">
        <f>G550+0.0001</f>
        <v/>
      </c>
    </row>
    <row r="552">
      <c r="G552">
        <f>G551+0.0001</f>
        <v/>
      </c>
    </row>
    <row r="553">
      <c r="G553">
        <f>G552+0.0001</f>
        <v/>
      </c>
    </row>
    <row r="554">
      <c r="G554">
        <f>G553+0.0001</f>
        <v/>
      </c>
    </row>
    <row r="555">
      <c r="G555">
        <f>G554+0.0001</f>
        <v/>
      </c>
    </row>
    <row r="556">
      <c r="G556">
        <f>G555+0.0001</f>
        <v/>
      </c>
    </row>
    <row r="557">
      <c r="G557">
        <f>G556+0.0001</f>
        <v/>
      </c>
    </row>
    <row r="558">
      <c r="G558">
        <f>G557+0.0001</f>
        <v/>
      </c>
    </row>
    <row r="559">
      <c r="G559">
        <f>G558+0.0001</f>
        <v/>
      </c>
    </row>
    <row r="560">
      <c r="G560">
        <f>G559+0.0001</f>
        <v/>
      </c>
    </row>
    <row r="561">
      <c r="G561">
        <f>G560+0.0001</f>
        <v/>
      </c>
    </row>
    <row r="562">
      <c r="G562">
        <f>G561+0.0001</f>
        <v/>
      </c>
    </row>
    <row r="563">
      <c r="G563">
        <f>G562+0.0001</f>
        <v/>
      </c>
    </row>
    <row r="564">
      <c r="G564">
        <f>G563+0.0001</f>
        <v/>
      </c>
    </row>
    <row r="565">
      <c r="G565">
        <f>G564+0.0001</f>
        <v/>
      </c>
    </row>
    <row r="566">
      <c r="G566">
        <f>G565+0.0001</f>
        <v/>
      </c>
    </row>
    <row r="567">
      <c r="G567">
        <f>G566+0.0001</f>
        <v/>
      </c>
    </row>
    <row r="568">
      <c r="G568">
        <f>G567+0.0001</f>
        <v/>
      </c>
    </row>
    <row r="569">
      <c r="G569">
        <f>G568+0.0001</f>
        <v/>
      </c>
    </row>
    <row r="570">
      <c r="G570">
        <f>G569+0.0001</f>
        <v/>
      </c>
    </row>
    <row r="571">
      <c r="G571">
        <f>G570+0.0001</f>
        <v/>
      </c>
    </row>
    <row r="572">
      <c r="G572">
        <f>G571+0.0001</f>
        <v/>
      </c>
    </row>
    <row r="573">
      <c r="G573">
        <f>G572+0.0001</f>
        <v/>
      </c>
    </row>
    <row r="574">
      <c r="G574">
        <f>G573+0.0001</f>
        <v/>
      </c>
    </row>
    <row r="575">
      <c r="G575">
        <f>G574+0.0001</f>
        <v/>
      </c>
    </row>
    <row r="576">
      <c r="G576">
        <f>G575+0.0001</f>
        <v/>
      </c>
    </row>
    <row r="577">
      <c r="G577">
        <f>G576+0.0001</f>
        <v/>
      </c>
    </row>
    <row r="578">
      <c r="G578">
        <f>G577+0.0001</f>
        <v/>
      </c>
    </row>
    <row r="579">
      <c r="G579">
        <f>G578+0.0001</f>
        <v/>
      </c>
    </row>
    <row r="580">
      <c r="G580">
        <f>G579+0.0001</f>
        <v/>
      </c>
    </row>
    <row r="581">
      <c r="G581">
        <f>G580+0.0001</f>
        <v/>
      </c>
    </row>
    <row r="582">
      <c r="G582">
        <f>G581+0.0001</f>
        <v/>
      </c>
    </row>
    <row r="583">
      <c r="G583">
        <f>G582+0.0001</f>
        <v/>
      </c>
    </row>
    <row r="584">
      <c r="G584">
        <f>G583+0.0001</f>
        <v/>
      </c>
    </row>
    <row r="585">
      <c r="G585">
        <f>G584+0.0001</f>
        <v/>
      </c>
    </row>
    <row r="586">
      <c r="G586">
        <f>G585+0.0001</f>
        <v/>
      </c>
    </row>
    <row r="587">
      <c r="G587">
        <f>G586+0.0001</f>
        <v/>
      </c>
    </row>
    <row r="588">
      <c r="G588">
        <f>G587+0.0001</f>
        <v/>
      </c>
    </row>
    <row r="589">
      <c r="G589">
        <f>G588+0.0001</f>
        <v/>
      </c>
    </row>
    <row r="590">
      <c r="G590">
        <f>G589+0.0001</f>
        <v/>
      </c>
    </row>
    <row r="591">
      <c r="G591">
        <f>G590+0.0001</f>
        <v/>
      </c>
    </row>
    <row r="592">
      <c r="G592">
        <f>G591+0.0001</f>
        <v/>
      </c>
    </row>
    <row r="593">
      <c r="G593">
        <f>G592+0.0001</f>
        <v/>
      </c>
    </row>
    <row r="594">
      <c r="G594">
        <f>G593+0.0001</f>
        <v/>
      </c>
    </row>
    <row r="595">
      <c r="G595">
        <f>G594+0.0001</f>
        <v/>
      </c>
    </row>
    <row r="596">
      <c r="G596">
        <f>G595+0.0001</f>
        <v/>
      </c>
    </row>
    <row r="597">
      <c r="G597">
        <f>G596+0.0001</f>
        <v/>
      </c>
    </row>
    <row r="598">
      <c r="G598">
        <f>G597+0.0001</f>
        <v/>
      </c>
    </row>
    <row r="599">
      <c r="G599">
        <f>G598+0.0001</f>
        <v/>
      </c>
    </row>
    <row r="600">
      <c r="G600">
        <f>G599+0.0001</f>
        <v/>
      </c>
    </row>
    <row r="601">
      <c r="G601">
        <f>G600+0.0001</f>
        <v/>
      </c>
    </row>
    <row r="602">
      <c r="G602">
        <f>G601+0.0001</f>
        <v/>
      </c>
    </row>
    <row r="603">
      <c r="G603">
        <f>G602+0.0001</f>
        <v/>
      </c>
    </row>
    <row r="604">
      <c r="G604">
        <f>G603+0.0001</f>
        <v/>
      </c>
    </row>
    <row r="605">
      <c r="G605">
        <f>G604+0.0001</f>
        <v/>
      </c>
    </row>
    <row r="606">
      <c r="G606">
        <f>G605+0.0001</f>
        <v/>
      </c>
    </row>
    <row r="607">
      <c r="G607">
        <f>G606+0.0001</f>
        <v/>
      </c>
    </row>
    <row r="608">
      <c r="G608">
        <f>G607+0.0001</f>
        <v/>
      </c>
    </row>
    <row r="609">
      <c r="G609">
        <f>G608+0.0001</f>
        <v/>
      </c>
    </row>
    <row r="610">
      <c r="G610">
        <f>G609+0.0001</f>
        <v/>
      </c>
    </row>
    <row r="611">
      <c r="G611">
        <f>G610+0.0001</f>
        <v/>
      </c>
    </row>
    <row r="612">
      <c r="G612">
        <f>G611+0.0001</f>
        <v/>
      </c>
    </row>
    <row r="613">
      <c r="G613">
        <f>G612+0.0001</f>
        <v/>
      </c>
    </row>
    <row r="614">
      <c r="G614">
        <f>G613+0.0001</f>
        <v/>
      </c>
    </row>
    <row r="615">
      <c r="G615">
        <f>G614+0.0001</f>
        <v/>
      </c>
    </row>
    <row r="616">
      <c r="G616">
        <f>G615+0.0001</f>
        <v/>
      </c>
    </row>
    <row r="617">
      <c r="G617">
        <f>G616+0.0001</f>
        <v/>
      </c>
    </row>
    <row r="618">
      <c r="G618">
        <f>G617+0.0001</f>
        <v/>
      </c>
    </row>
    <row r="619">
      <c r="G619">
        <f>G618+0.0001</f>
        <v/>
      </c>
    </row>
    <row r="620">
      <c r="G620">
        <f>G619+0.0001</f>
        <v/>
      </c>
    </row>
    <row r="621">
      <c r="G621">
        <f>G620+0.0001</f>
        <v/>
      </c>
    </row>
    <row r="622">
      <c r="G622">
        <f>G621+0.0001</f>
        <v/>
      </c>
    </row>
    <row r="623">
      <c r="G623">
        <f>G622+0.0001</f>
        <v/>
      </c>
    </row>
    <row r="624">
      <c r="G624">
        <f>G623+0.0001</f>
        <v/>
      </c>
    </row>
    <row r="625">
      <c r="G625">
        <f>G624+0.0001</f>
        <v/>
      </c>
    </row>
    <row r="626">
      <c r="G626">
        <f>G625+0.0001</f>
        <v/>
      </c>
    </row>
    <row r="627">
      <c r="G627">
        <f>G626+0.0001</f>
        <v/>
      </c>
    </row>
    <row r="628">
      <c r="G628">
        <f>G627+0.0001</f>
        <v/>
      </c>
    </row>
    <row r="629">
      <c r="G629">
        <f>G628+0.0001</f>
        <v/>
      </c>
    </row>
    <row r="630">
      <c r="G630">
        <f>G629+0.0001</f>
        <v/>
      </c>
    </row>
    <row r="631">
      <c r="G631">
        <f>G630+0.0001</f>
        <v/>
      </c>
    </row>
    <row r="632">
      <c r="G632">
        <f>G631+0.0001</f>
        <v/>
      </c>
    </row>
    <row r="633">
      <c r="G633">
        <f>G632+0.0001</f>
        <v/>
      </c>
    </row>
    <row r="634">
      <c r="G634">
        <f>G633+0.0001</f>
        <v/>
      </c>
    </row>
    <row r="635">
      <c r="G635">
        <f>G634+0.0001</f>
        <v/>
      </c>
    </row>
    <row r="636">
      <c r="G636">
        <f>G635+0.0001</f>
        <v/>
      </c>
    </row>
    <row r="637">
      <c r="G637">
        <f>G636+0.0001</f>
        <v/>
      </c>
    </row>
    <row r="638">
      <c r="G638">
        <f>G637+0.0001</f>
        <v/>
      </c>
    </row>
    <row r="639">
      <c r="G639">
        <f>G638+0.0001</f>
        <v/>
      </c>
    </row>
    <row r="640">
      <c r="G640">
        <f>G639+0.0001</f>
        <v/>
      </c>
    </row>
    <row r="641">
      <c r="G641">
        <f>G640+0.0001</f>
        <v/>
      </c>
    </row>
    <row r="642">
      <c r="G642">
        <f>G641+0.0001</f>
        <v/>
      </c>
    </row>
    <row r="643">
      <c r="G643">
        <f>G642+0.0001</f>
        <v/>
      </c>
    </row>
    <row r="644">
      <c r="G644">
        <f>G643+0.0001</f>
        <v/>
      </c>
    </row>
    <row r="645">
      <c r="G645">
        <f>G644+0.0001</f>
        <v/>
      </c>
    </row>
    <row r="646">
      <c r="G646">
        <f>G645+0.0001</f>
        <v/>
      </c>
    </row>
    <row r="647">
      <c r="G647">
        <f>G646+0.0001</f>
        <v/>
      </c>
    </row>
    <row r="648">
      <c r="G648">
        <f>G647+0.0001</f>
        <v/>
      </c>
    </row>
    <row r="649">
      <c r="G649">
        <f>G648+0.0001</f>
        <v/>
      </c>
    </row>
    <row r="650">
      <c r="G650">
        <f>G649+0.0001</f>
        <v/>
      </c>
    </row>
    <row r="651">
      <c r="G651">
        <f>G650+0.0001</f>
        <v/>
      </c>
    </row>
    <row r="652">
      <c r="G652">
        <f>G651+0.0001</f>
        <v/>
      </c>
    </row>
    <row r="653">
      <c r="G653">
        <f>G652+0.0001</f>
        <v/>
      </c>
    </row>
    <row r="654">
      <c r="G654">
        <f>G653+0.0001</f>
        <v/>
      </c>
    </row>
    <row r="655">
      <c r="G655">
        <f>G654+0.0001</f>
        <v/>
      </c>
    </row>
    <row r="656">
      <c r="G656">
        <f>G655+0.0001</f>
        <v/>
      </c>
    </row>
    <row r="657">
      <c r="G657">
        <f>G656+0.0001</f>
        <v/>
      </c>
    </row>
    <row r="658">
      <c r="G658">
        <f>G657+0.0001</f>
        <v/>
      </c>
    </row>
    <row r="659">
      <c r="G659">
        <f>G658+0.0001</f>
        <v/>
      </c>
    </row>
    <row r="660">
      <c r="G660">
        <f>G659+0.0001</f>
        <v/>
      </c>
    </row>
    <row r="661">
      <c r="G661">
        <f>G660+0.0001</f>
        <v/>
      </c>
    </row>
    <row r="662">
      <c r="G662">
        <f>G661+0.0001</f>
        <v/>
      </c>
    </row>
    <row r="663">
      <c r="G663">
        <f>G662+0.0001</f>
        <v/>
      </c>
    </row>
    <row r="664">
      <c r="G664">
        <f>G663+0.0001</f>
        <v/>
      </c>
    </row>
    <row r="665">
      <c r="G665">
        <f>G664+0.0001</f>
        <v/>
      </c>
    </row>
    <row r="666">
      <c r="G666">
        <f>G665+0.0001</f>
        <v/>
      </c>
    </row>
    <row r="667">
      <c r="G667">
        <f>G666+0.0001</f>
        <v/>
      </c>
    </row>
    <row r="668">
      <c r="G668">
        <f>G667+0.0001</f>
        <v/>
      </c>
    </row>
    <row r="669">
      <c r="G669">
        <f>G668+0.0001</f>
        <v/>
      </c>
    </row>
    <row r="670">
      <c r="G670">
        <f>G669+0.0001</f>
        <v/>
      </c>
    </row>
    <row r="671">
      <c r="G671">
        <f>G670+0.0001</f>
        <v/>
      </c>
    </row>
    <row r="672">
      <c r="G672">
        <f>G671+0.0001</f>
        <v/>
      </c>
    </row>
    <row r="673">
      <c r="G673">
        <f>G672+0.0001</f>
        <v/>
      </c>
    </row>
    <row r="674">
      <c r="G674">
        <f>G673+0.0001</f>
        <v/>
      </c>
    </row>
    <row r="675">
      <c r="G675">
        <f>G674+0.0001</f>
        <v/>
      </c>
    </row>
    <row r="676">
      <c r="G676">
        <f>G675+0.0001</f>
        <v/>
      </c>
    </row>
    <row r="677">
      <c r="G677">
        <f>G676+0.0001</f>
        <v/>
      </c>
    </row>
    <row r="678">
      <c r="G678">
        <f>G677+0.0001</f>
        <v/>
      </c>
    </row>
    <row r="679">
      <c r="G679">
        <f>G678+0.0001</f>
        <v/>
      </c>
    </row>
    <row r="680">
      <c r="G680">
        <f>G679+0.0001</f>
        <v/>
      </c>
    </row>
    <row r="681">
      <c r="G681">
        <f>G680+0.0001</f>
        <v/>
      </c>
    </row>
    <row r="682">
      <c r="G682">
        <f>G681+0.0001</f>
        <v/>
      </c>
    </row>
    <row r="683">
      <c r="G683">
        <f>G682+0.0001</f>
        <v/>
      </c>
    </row>
    <row r="684">
      <c r="G684">
        <f>G683+0.0001</f>
        <v/>
      </c>
    </row>
    <row r="685">
      <c r="G685">
        <f>G684+0.0001</f>
        <v/>
      </c>
    </row>
    <row r="686">
      <c r="G686">
        <f>G685+0.0001</f>
        <v/>
      </c>
    </row>
    <row r="687">
      <c r="G687">
        <f>G686+0.0001</f>
        <v/>
      </c>
    </row>
    <row r="688">
      <c r="G688">
        <f>G687+0.0001</f>
        <v/>
      </c>
    </row>
    <row r="689">
      <c r="G689">
        <f>G688+0.0001</f>
        <v/>
      </c>
    </row>
    <row r="690">
      <c r="G690">
        <f>G689+0.0001</f>
        <v/>
      </c>
    </row>
    <row r="691">
      <c r="G691">
        <f>G690+0.0001</f>
        <v/>
      </c>
    </row>
    <row r="692">
      <c r="G692">
        <f>G691+0.0001</f>
        <v/>
      </c>
    </row>
    <row r="693">
      <c r="G693">
        <f>G692+0.0001</f>
        <v/>
      </c>
    </row>
    <row r="694">
      <c r="G694">
        <f>G693+0.0001</f>
        <v/>
      </c>
    </row>
    <row r="695">
      <c r="G695">
        <f>G694+0.0001</f>
        <v/>
      </c>
    </row>
    <row r="696">
      <c r="G696">
        <f>G695+0.0001</f>
        <v/>
      </c>
    </row>
    <row r="697">
      <c r="G697">
        <f>G696+0.0001</f>
        <v/>
      </c>
    </row>
    <row r="698">
      <c r="G698">
        <f>G697+0.0001</f>
        <v/>
      </c>
    </row>
    <row r="699">
      <c r="G699">
        <f>G698+0.0001</f>
        <v/>
      </c>
    </row>
    <row r="700">
      <c r="G700">
        <f>G699+0.0001</f>
        <v/>
      </c>
    </row>
    <row r="701">
      <c r="G701">
        <f>G700+0.0001</f>
        <v/>
      </c>
    </row>
    <row r="702">
      <c r="G702">
        <f>G701+0.0001</f>
        <v/>
      </c>
    </row>
    <row r="703">
      <c r="G703">
        <f>G702+0.0001</f>
        <v/>
      </c>
    </row>
    <row r="704">
      <c r="G704">
        <f>G703+0.0001</f>
        <v/>
      </c>
    </row>
    <row r="705">
      <c r="G705">
        <f>G704+0.0001</f>
        <v/>
      </c>
    </row>
    <row r="706">
      <c r="G706">
        <f>G705+0.0001</f>
        <v/>
      </c>
    </row>
    <row r="707">
      <c r="G707">
        <f>G706+0.0001</f>
        <v/>
      </c>
    </row>
    <row r="708">
      <c r="G708">
        <f>G707+0.0001</f>
        <v/>
      </c>
    </row>
    <row r="709">
      <c r="G709">
        <f>G708+0.0001</f>
        <v/>
      </c>
    </row>
    <row r="710">
      <c r="G710">
        <f>G709+0.0001</f>
        <v/>
      </c>
    </row>
    <row r="711">
      <c r="G711">
        <f>G710+0.0001</f>
        <v/>
      </c>
    </row>
    <row r="712">
      <c r="G712">
        <f>G711+0.0001</f>
        <v/>
      </c>
    </row>
    <row r="713">
      <c r="G713">
        <f>G712+0.0001</f>
        <v/>
      </c>
    </row>
    <row r="714">
      <c r="G714">
        <f>G713+0.0001</f>
        <v/>
      </c>
    </row>
    <row r="715">
      <c r="G715">
        <f>G714+0.0001</f>
        <v/>
      </c>
    </row>
    <row r="716">
      <c r="G716">
        <f>G715+0.0001</f>
        <v/>
      </c>
    </row>
    <row r="717">
      <c r="G717">
        <f>G716+0.0001</f>
        <v/>
      </c>
    </row>
    <row r="718">
      <c r="G718">
        <f>G717+0.0001</f>
        <v/>
      </c>
    </row>
    <row r="719">
      <c r="G719">
        <f>G718+0.0001</f>
        <v/>
      </c>
    </row>
    <row r="720">
      <c r="G720">
        <f>G719+0.0001</f>
        <v/>
      </c>
    </row>
    <row r="721">
      <c r="G721">
        <f>G720+0.0001</f>
        <v/>
      </c>
    </row>
    <row r="722">
      <c r="G722">
        <f>G721+0.0001</f>
        <v/>
      </c>
    </row>
    <row r="723">
      <c r="G723">
        <f>G722+0.0001</f>
        <v/>
      </c>
    </row>
    <row r="724">
      <c r="G724">
        <f>G723+0.0001</f>
        <v/>
      </c>
    </row>
    <row r="725">
      <c r="G725">
        <f>G724+0.0001</f>
        <v/>
      </c>
    </row>
    <row r="726">
      <c r="G726">
        <f>G725+0.0001</f>
        <v/>
      </c>
    </row>
    <row r="727">
      <c r="G727">
        <f>G726+0.0001</f>
        <v/>
      </c>
    </row>
    <row r="728">
      <c r="G728">
        <f>G727+0.0001</f>
        <v/>
      </c>
    </row>
    <row r="729">
      <c r="G729">
        <f>G728+0.0001</f>
        <v/>
      </c>
    </row>
    <row r="730">
      <c r="G730">
        <f>G729+0.0001</f>
        <v/>
      </c>
    </row>
    <row r="731">
      <c r="G731">
        <f>G730+0.0001</f>
        <v/>
      </c>
    </row>
    <row r="732">
      <c r="G732">
        <f>G731+0.0001</f>
        <v/>
      </c>
    </row>
    <row r="733">
      <c r="G733">
        <f>G732+0.0001</f>
        <v/>
      </c>
    </row>
    <row r="734">
      <c r="G734">
        <f>G733+0.0001</f>
        <v/>
      </c>
    </row>
    <row r="735">
      <c r="G735">
        <f>G734+0.0001</f>
        <v/>
      </c>
    </row>
    <row r="736">
      <c r="G736">
        <f>G735+0.0001</f>
        <v/>
      </c>
    </row>
    <row r="737">
      <c r="G737">
        <f>G736+0.0001</f>
        <v/>
      </c>
    </row>
    <row r="738">
      <c r="G738">
        <f>G737+0.0001</f>
        <v/>
      </c>
    </row>
    <row r="739">
      <c r="G739">
        <f>G738+0.0001</f>
        <v/>
      </c>
    </row>
    <row r="740">
      <c r="G740">
        <f>G739+0.0001</f>
        <v/>
      </c>
    </row>
    <row r="741">
      <c r="G741">
        <f>G740+0.0001</f>
        <v/>
      </c>
    </row>
    <row r="742">
      <c r="G742">
        <f>G741+0.0001</f>
        <v/>
      </c>
    </row>
    <row r="743">
      <c r="G743">
        <f>G742+0.0001</f>
        <v/>
      </c>
    </row>
    <row r="744">
      <c r="G744">
        <f>G743+0.0001</f>
        <v/>
      </c>
    </row>
    <row r="745">
      <c r="G745">
        <f>G744+0.0001</f>
        <v/>
      </c>
    </row>
    <row r="746">
      <c r="G746">
        <f>G745+0.0001</f>
        <v/>
      </c>
    </row>
    <row r="747">
      <c r="G747">
        <f>G746+0.0001</f>
        <v/>
      </c>
    </row>
    <row r="748">
      <c r="G748">
        <f>G747+0.0001</f>
        <v/>
      </c>
    </row>
    <row r="749">
      <c r="G749">
        <f>G748+0.0001</f>
        <v/>
      </c>
    </row>
    <row r="750">
      <c r="G750">
        <f>G749+0.0001</f>
        <v/>
      </c>
    </row>
    <row r="751">
      <c r="G751">
        <f>G750+0.0001</f>
        <v/>
      </c>
    </row>
    <row r="752">
      <c r="G752">
        <f>G751+0.0001</f>
        <v/>
      </c>
    </row>
    <row r="753">
      <c r="G753">
        <f>G752+0.0001</f>
        <v/>
      </c>
    </row>
    <row r="754">
      <c r="G754">
        <f>G753+0.0001</f>
        <v/>
      </c>
    </row>
    <row r="755">
      <c r="G755">
        <f>G754+0.0001</f>
        <v/>
      </c>
    </row>
    <row r="756">
      <c r="G756">
        <f>G755+0.0001</f>
        <v/>
      </c>
    </row>
    <row r="757">
      <c r="G757">
        <f>G756+0.0001</f>
        <v/>
      </c>
    </row>
    <row r="758">
      <c r="G758">
        <f>G757+0.0001</f>
        <v/>
      </c>
    </row>
    <row r="759">
      <c r="G759">
        <f>G758+0.0001</f>
        <v/>
      </c>
    </row>
    <row r="760">
      <c r="G760">
        <f>G759+0.0001</f>
        <v/>
      </c>
    </row>
    <row r="761">
      <c r="G761">
        <f>G760+0.0001</f>
        <v/>
      </c>
    </row>
    <row r="762">
      <c r="G762">
        <f>G761+0.0001</f>
        <v/>
      </c>
    </row>
    <row r="763">
      <c r="G763">
        <f>G762+0.0001</f>
        <v/>
      </c>
    </row>
    <row r="764">
      <c r="G764">
        <f>G763+0.0001</f>
        <v/>
      </c>
    </row>
    <row r="765">
      <c r="G765">
        <f>G764+0.0001</f>
        <v/>
      </c>
    </row>
    <row r="766">
      <c r="G766">
        <f>G765+0.0001</f>
        <v/>
      </c>
    </row>
    <row r="767">
      <c r="G767">
        <f>G766+0.0001</f>
        <v/>
      </c>
    </row>
    <row r="768">
      <c r="G768">
        <f>G767+0.0001</f>
        <v/>
      </c>
    </row>
    <row r="769">
      <c r="G769">
        <f>G768+0.0001</f>
        <v/>
      </c>
    </row>
    <row r="770">
      <c r="G770">
        <f>G769+0.0001</f>
        <v/>
      </c>
    </row>
    <row r="771">
      <c r="G771">
        <f>G770+0.0001</f>
        <v/>
      </c>
    </row>
    <row r="772">
      <c r="G772">
        <f>G771+0.0001</f>
        <v/>
      </c>
    </row>
    <row r="773">
      <c r="G773">
        <f>G772+0.0001</f>
        <v/>
      </c>
    </row>
    <row r="774">
      <c r="G774">
        <f>G773+0.0001</f>
        <v/>
      </c>
    </row>
    <row r="775">
      <c r="G775">
        <f>G774+0.0001</f>
        <v/>
      </c>
    </row>
    <row r="776">
      <c r="G776">
        <f>G775+0.0001</f>
        <v/>
      </c>
    </row>
    <row r="777">
      <c r="G777">
        <f>G776+0.0001</f>
        <v/>
      </c>
    </row>
    <row r="778">
      <c r="G778">
        <f>G777+0.0001</f>
        <v/>
      </c>
    </row>
    <row r="779">
      <c r="G779">
        <f>G778+0.0001</f>
        <v/>
      </c>
    </row>
    <row r="780">
      <c r="G780">
        <f>G779+0.0001</f>
        <v/>
      </c>
    </row>
    <row r="781">
      <c r="G781">
        <f>G780+0.0001</f>
        <v/>
      </c>
    </row>
    <row r="782">
      <c r="G782">
        <f>G781+0.0001</f>
        <v/>
      </c>
    </row>
    <row r="783">
      <c r="G783">
        <f>G782+0.0001</f>
        <v/>
      </c>
    </row>
    <row r="784">
      <c r="G784">
        <f>G783+0.0001</f>
        <v/>
      </c>
    </row>
    <row r="785">
      <c r="G785">
        <f>G784+0.0001</f>
        <v/>
      </c>
    </row>
    <row r="786">
      <c r="G786">
        <f>G785+0.0001</f>
        <v/>
      </c>
    </row>
    <row r="787">
      <c r="G787">
        <f>G786+0.0001</f>
        <v/>
      </c>
    </row>
    <row r="788">
      <c r="G788">
        <f>G787+0.0001</f>
        <v/>
      </c>
    </row>
    <row r="789">
      <c r="G789">
        <f>G788+0.0001</f>
        <v/>
      </c>
    </row>
    <row r="790">
      <c r="G790">
        <f>G789+0.0001</f>
        <v/>
      </c>
    </row>
    <row r="791">
      <c r="G791">
        <f>G790+0.0001</f>
        <v/>
      </c>
    </row>
    <row r="792">
      <c r="G792">
        <f>G791+0.0001</f>
        <v/>
      </c>
    </row>
    <row r="793">
      <c r="G793">
        <f>G792+0.0001</f>
        <v/>
      </c>
    </row>
    <row r="794">
      <c r="G794">
        <f>G793+0.0001</f>
        <v/>
      </c>
    </row>
    <row r="795">
      <c r="G795">
        <f>G794+0.0001</f>
        <v/>
      </c>
    </row>
    <row r="796">
      <c r="G796">
        <f>G795+0.0001</f>
        <v/>
      </c>
    </row>
    <row r="797">
      <c r="G797">
        <f>G796+0.0001</f>
        <v/>
      </c>
    </row>
    <row r="798">
      <c r="G798">
        <f>G797+0.0001</f>
        <v/>
      </c>
    </row>
    <row r="799">
      <c r="G799">
        <f>G798+0.0001</f>
        <v/>
      </c>
    </row>
    <row r="800">
      <c r="G800">
        <f>G799+0.0001</f>
        <v/>
      </c>
    </row>
    <row r="801">
      <c r="G801">
        <f>G800+0.0001</f>
        <v/>
      </c>
    </row>
    <row r="802">
      <c r="G802">
        <f>G801+0.0001</f>
        <v/>
      </c>
    </row>
    <row r="803">
      <c r="G803">
        <f>G802+0.0001</f>
        <v/>
      </c>
    </row>
    <row r="804">
      <c r="G804">
        <f>G803+0.0001</f>
        <v/>
      </c>
    </row>
    <row r="805">
      <c r="G805">
        <f>G804+0.0001</f>
        <v/>
      </c>
    </row>
    <row r="806">
      <c r="G806">
        <f>G805+0.0001</f>
        <v/>
      </c>
    </row>
    <row r="807">
      <c r="G807">
        <f>G806+0.0001</f>
        <v/>
      </c>
    </row>
    <row r="808">
      <c r="G808">
        <f>G807+0.0001</f>
        <v/>
      </c>
    </row>
    <row r="809">
      <c r="G809">
        <f>G808+0.0001</f>
        <v/>
      </c>
    </row>
    <row r="810">
      <c r="G810">
        <f>G809+0.0001</f>
        <v/>
      </c>
    </row>
    <row r="811">
      <c r="G811">
        <f>G810+0.0001</f>
        <v/>
      </c>
    </row>
    <row r="812">
      <c r="G812">
        <f>G811+0.0001</f>
        <v/>
      </c>
    </row>
    <row r="813">
      <c r="G813">
        <f>G812+0.0001</f>
        <v/>
      </c>
    </row>
    <row r="814">
      <c r="G814">
        <f>G813+0.0001</f>
        <v/>
      </c>
    </row>
    <row r="815">
      <c r="G815">
        <f>G814+0.0001</f>
        <v/>
      </c>
    </row>
    <row r="816">
      <c r="G816">
        <f>G815+0.0001</f>
        <v/>
      </c>
    </row>
    <row r="817">
      <c r="G817">
        <f>G816+0.0001</f>
        <v/>
      </c>
    </row>
    <row r="818">
      <c r="G818">
        <f>G817+0.0001</f>
        <v/>
      </c>
    </row>
    <row r="819">
      <c r="G819">
        <f>G818+0.0001</f>
        <v/>
      </c>
    </row>
    <row r="820">
      <c r="G820">
        <f>G819+0.0001</f>
        <v/>
      </c>
    </row>
    <row r="821">
      <c r="G821">
        <f>G820+0.0001</f>
        <v/>
      </c>
    </row>
    <row r="822">
      <c r="G822">
        <f>G821+0.0001</f>
        <v/>
      </c>
    </row>
    <row r="823">
      <c r="G823">
        <f>G822+0.0001</f>
        <v/>
      </c>
    </row>
    <row r="824">
      <c r="G824">
        <f>G823+0.0001</f>
        <v/>
      </c>
    </row>
    <row r="825">
      <c r="G825">
        <f>G824+0.0001</f>
        <v/>
      </c>
    </row>
    <row r="826">
      <c r="G826">
        <f>G825+0.0001</f>
        <v/>
      </c>
    </row>
    <row r="827">
      <c r="G827">
        <f>G826+0.0001</f>
        <v/>
      </c>
    </row>
    <row r="828">
      <c r="G828">
        <f>G827+0.0001</f>
        <v/>
      </c>
    </row>
    <row r="829">
      <c r="G829">
        <f>G828+0.0001</f>
        <v/>
      </c>
    </row>
    <row r="830">
      <c r="G830">
        <f>G829+0.0001</f>
        <v/>
      </c>
    </row>
    <row r="831">
      <c r="G831">
        <f>G830+0.0001</f>
        <v/>
      </c>
    </row>
    <row r="832">
      <c r="G832">
        <f>G831+0.0001</f>
        <v/>
      </c>
    </row>
    <row r="833">
      <c r="G833">
        <f>G832+0.0001</f>
        <v/>
      </c>
    </row>
    <row r="834">
      <c r="G834">
        <f>G833+0.0001</f>
        <v/>
      </c>
    </row>
    <row r="835">
      <c r="G835">
        <f>G834+0.0001</f>
        <v/>
      </c>
    </row>
    <row r="836">
      <c r="G836">
        <f>G835+0.0001</f>
        <v/>
      </c>
    </row>
    <row r="837">
      <c r="G837">
        <f>G836+0.0001</f>
        <v/>
      </c>
    </row>
    <row r="838">
      <c r="G838">
        <f>G837+0.0001</f>
        <v/>
      </c>
    </row>
    <row r="839">
      <c r="G839">
        <f>G838+0.0001</f>
        <v/>
      </c>
    </row>
    <row r="840">
      <c r="G840">
        <f>G839+0.0001</f>
        <v/>
      </c>
    </row>
    <row r="841">
      <c r="G841">
        <f>G840+0.0001</f>
        <v/>
      </c>
    </row>
    <row r="842">
      <c r="G842">
        <f>G841+0.0001</f>
        <v/>
      </c>
    </row>
    <row r="843">
      <c r="G843">
        <f>G842+0.0001</f>
        <v/>
      </c>
    </row>
    <row r="844">
      <c r="G844">
        <f>G843+0.0001</f>
        <v/>
      </c>
    </row>
    <row r="845">
      <c r="G845">
        <f>G844+0.0001</f>
        <v/>
      </c>
    </row>
    <row r="846">
      <c r="G846">
        <f>G845+0.0001</f>
        <v/>
      </c>
    </row>
    <row r="847">
      <c r="G847">
        <f>G846+0.0001</f>
        <v/>
      </c>
    </row>
    <row r="848">
      <c r="G848">
        <f>G847+0.0001</f>
        <v/>
      </c>
    </row>
    <row r="849">
      <c r="G849">
        <f>G848+0.0001</f>
        <v/>
      </c>
    </row>
    <row r="850">
      <c r="G850">
        <f>G849+0.0001</f>
        <v/>
      </c>
    </row>
    <row r="851">
      <c r="G851">
        <f>G850+0.0001</f>
        <v/>
      </c>
    </row>
    <row r="852">
      <c r="G852">
        <f>G851+0.0001</f>
        <v/>
      </c>
    </row>
    <row r="853">
      <c r="G853">
        <f>G852+0.0001</f>
        <v/>
      </c>
    </row>
    <row r="854">
      <c r="G854">
        <f>G853+0.0001</f>
        <v/>
      </c>
    </row>
    <row r="855">
      <c r="G855">
        <f>G854+0.0001</f>
        <v/>
      </c>
    </row>
    <row r="856">
      <c r="G856">
        <f>G855+0.0001</f>
        <v/>
      </c>
    </row>
    <row r="857">
      <c r="G857">
        <f>G856+0.0001</f>
        <v/>
      </c>
    </row>
    <row r="858">
      <c r="G858">
        <f>G857+0.0001</f>
        <v/>
      </c>
    </row>
    <row r="859">
      <c r="G859">
        <f>G858+0.0001</f>
        <v/>
      </c>
    </row>
    <row r="860">
      <c r="G860">
        <f>G859+0.0001</f>
        <v/>
      </c>
    </row>
    <row r="861">
      <c r="G861">
        <f>G860+0.0001</f>
        <v/>
      </c>
    </row>
    <row r="862">
      <c r="G862">
        <f>G861+0.0001</f>
        <v/>
      </c>
    </row>
    <row r="863">
      <c r="G863">
        <f>G862+0.0001</f>
        <v/>
      </c>
    </row>
    <row r="864">
      <c r="G864">
        <f>G863+0.0001</f>
        <v/>
      </c>
    </row>
    <row r="865">
      <c r="G865">
        <f>G864+0.0001</f>
        <v/>
      </c>
    </row>
    <row r="866">
      <c r="G866">
        <f>G865+0.0001</f>
        <v/>
      </c>
    </row>
    <row r="867">
      <c r="G867">
        <f>G866+0.0001</f>
        <v/>
      </c>
    </row>
    <row r="868">
      <c r="G868">
        <f>G867+0.0001</f>
        <v/>
      </c>
    </row>
    <row r="869">
      <c r="G869">
        <f>G868+0.0001</f>
        <v/>
      </c>
    </row>
    <row r="870">
      <c r="G870">
        <f>G869+0.0001</f>
        <v/>
      </c>
    </row>
    <row r="871">
      <c r="G871">
        <f>G870+0.0001</f>
        <v/>
      </c>
    </row>
    <row r="872">
      <c r="G872">
        <f>G871+0.0001</f>
        <v/>
      </c>
    </row>
    <row r="873">
      <c r="G873">
        <f>G872+0.0001</f>
        <v/>
      </c>
    </row>
    <row r="874">
      <c r="G874">
        <f>G873+0.0001</f>
        <v/>
      </c>
    </row>
    <row r="875">
      <c r="G875">
        <f>G874+0.0001</f>
        <v/>
      </c>
    </row>
    <row r="876">
      <c r="G876">
        <f>G875+0.0001</f>
        <v/>
      </c>
    </row>
    <row r="877">
      <c r="G877">
        <f>G876+0.0001</f>
        <v/>
      </c>
    </row>
    <row r="878">
      <c r="G878">
        <f>G877+0.0001</f>
        <v/>
      </c>
    </row>
    <row r="879">
      <c r="G879">
        <f>G878+0.0001</f>
        <v/>
      </c>
    </row>
    <row r="880">
      <c r="G880">
        <f>G879+0.0001</f>
        <v/>
      </c>
    </row>
    <row r="881">
      <c r="G881">
        <f>G880+0.0001</f>
        <v/>
      </c>
    </row>
    <row r="882">
      <c r="G882">
        <f>G881+0.0001</f>
        <v/>
      </c>
    </row>
    <row r="883">
      <c r="G883">
        <f>G882+0.0001</f>
        <v/>
      </c>
    </row>
    <row r="884">
      <c r="G884">
        <f>G883+0.0001</f>
        <v/>
      </c>
    </row>
    <row r="885">
      <c r="G885">
        <f>G884+0.0001</f>
        <v/>
      </c>
    </row>
    <row r="886">
      <c r="G886">
        <f>G885+0.0001</f>
        <v/>
      </c>
    </row>
    <row r="887">
      <c r="G887">
        <f>G886+0.0001</f>
        <v/>
      </c>
    </row>
    <row r="888">
      <c r="G888">
        <f>G887+0.0001</f>
        <v/>
      </c>
    </row>
    <row r="889">
      <c r="G889">
        <f>G888+0.0001</f>
        <v/>
      </c>
    </row>
    <row r="890">
      <c r="G890">
        <f>G889+0.0001</f>
        <v/>
      </c>
    </row>
    <row r="891">
      <c r="G891">
        <f>G890+0.0001</f>
        <v/>
      </c>
    </row>
    <row r="892">
      <c r="G892">
        <f>G891+0.0001</f>
        <v/>
      </c>
    </row>
    <row r="893">
      <c r="G893">
        <f>G892+0.0001</f>
        <v/>
      </c>
    </row>
    <row r="894">
      <c r="G894">
        <f>G893+0.0001</f>
        <v/>
      </c>
    </row>
    <row r="895">
      <c r="G895">
        <f>G894+0.0001</f>
        <v/>
      </c>
    </row>
    <row r="896">
      <c r="G896">
        <f>G895+0.0001</f>
        <v/>
      </c>
    </row>
    <row r="897">
      <c r="G897">
        <f>G896+0.0001</f>
        <v/>
      </c>
    </row>
    <row r="898">
      <c r="G898">
        <f>G897+0.0001</f>
        <v/>
      </c>
    </row>
    <row r="899">
      <c r="G899">
        <f>G898+0.0001</f>
        <v/>
      </c>
    </row>
    <row r="900">
      <c r="G900">
        <f>G899+0.0001</f>
        <v/>
      </c>
    </row>
    <row r="901">
      <c r="G901">
        <f>G900+0.0001</f>
        <v/>
      </c>
    </row>
    <row r="902">
      <c r="G902">
        <f>G901+0.0001</f>
        <v/>
      </c>
    </row>
    <row r="903">
      <c r="G903">
        <f>G902+0.0001</f>
        <v/>
      </c>
    </row>
    <row r="904">
      <c r="G904">
        <f>G903+0.0001</f>
        <v/>
      </c>
    </row>
    <row r="905">
      <c r="G905">
        <f>G904+0.0001</f>
        <v/>
      </c>
    </row>
    <row r="906">
      <c r="G906">
        <f>G905+0.0001</f>
        <v/>
      </c>
    </row>
    <row r="907">
      <c r="G907">
        <f>G906+0.0001</f>
        <v/>
      </c>
    </row>
    <row r="908">
      <c r="G908">
        <f>G907+0.0001</f>
        <v/>
      </c>
    </row>
    <row r="909">
      <c r="G909">
        <f>G908+0.0001</f>
        <v/>
      </c>
    </row>
    <row r="910">
      <c r="G910">
        <f>G909+0.0001</f>
        <v/>
      </c>
    </row>
    <row r="911">
      <c r="G911">
        <f>G910+0.0001</f>
        <v/>
      </c>
    </row>
    <row r="912">
      <c r="G912">
        <f>G911+0.0001</f>
        <v/>
      </c>
    </row>
    <row r="913">
      <c r="G913">
        <f>G912+0.0001</f>
        <v/>
      </c>
    </row>
    <row r="914">
      <c r="G914">
        <f>G913+0.0001</f>
        <v/>
      </c>
    </row>
    <row r="915">
      <c r="G915">
        <f>G914+0.0001</f>
        <v/>
      </c>
    </row>
    <row r="916">
      <c r="G916">
        <f>G915+0.0001</f>
        <v/>
      </c>
    </row>
    <row r="917">
      <c r="G917">
        <f>G916+0.0001</f>
        <v/>
      </c>
    </row>
    <row r="918">
      <c r="G918">
        <f>G917+0.0001</f>
        <v/>
      </c>
    </row>
    <row r="919">
      <c r="G919">
        <f>G918+0.0001</f>
        <v/>
      </c>
    </row>
    <row r="920">
      <c r="G920">
        <f>G919+0.0001</f>
        <v/>
      </c>
    </row>
    <row r="921">
      <c r="G921">
        <f>G920+0.0001</f>
        <v/>
      </c>
    </row>
    <row r="922">
      <c r="G922">
        <f>G921+0.0001</f>
        <v/>
      </c>
    </row>
    <row r="923">
      <c r="G923">
        <f>G922+0.0001</f>
        <v/>
      </c>
    </row>
    <row r="924">
      <c r="G924">
        <f>G923+0.0001</f>
        <v/>
      </c>
    </row>
    <row r="925">
      <c r="G925">
        <f>G924+0.0001</f>
        <v/>
      </c>
    </row>
    <row r="926">
      <c r="G926">
        <f>G925+0.0001</f>
        <v/>
      </c>
    </row>
    <row r="927">
      <c r="G927">
        <f>G926+0.0001</f>
        <v/>
      </c>
    </row>
    <row r="928">
      <c r="G928">
        <f>G927+0.0001</f>
        <v/>
      </c>
    </row>
    <row r="929">
      <c r="G929">
        <f>G928+0.0001</f>
        <v/>
      </c>
    </row>
    <row r="930">
      <c r="G930">
        <f>G929+0.0001</f>
        <v/>
      </c>
    </row>
    <row r="931">
      <c r="G931">
        <f>G930+0.0001</f>
        <v/>
      </c>
    </row>
    <row r="932">
      <c r="G932">
        <f>G931+0.0001</f>
        <v/>
      </c>
    </row>
    <row r="933">
      <c r="G933">
        <f>G932+0.0001</f>
        <v/>
      </c>
    </row>
    <row r="934">
      <c r="G934">
        <f>G933+0.0001</f>
        <v/>
      </c>
    </row>
    <row r="935">
      <c r="G935">
        <f>G934+0.0001</f>
        <v/>
      </c>
    </row>
    <row r="936">
      <c r="G936">
        <f>G935+0.0001</f>
        <v/>
      </c>
    </row>
    <row r="937">
      <c r="G937">
        <f>G936+0.0001</f>
        <v/>
      </c>
    </row>
    <row r="938">
      <c r="G938">
        <f>G937+0.0001</f>
        <v/>
      </c>
    </row>
    <row r="939">
      <c r="G939">
        <f>G938+0.0001</f>
        <v/>
      </c>
    </row>
    <row r="940">
      <c r="G940">
        <f>G939+0.0001</f>
        <v/>
      </c>
    </row>
    <row r="941">
      <c r="G941">
        <f>G940+0.0001</f>
        <v/>
      </c>
    </row>
    <row r="942">
      <c r="G942">
        <f>G941+0.0001</f>
        <v/>
      </c>
    </row>
    <row r="943">
      <c r="G943">
        <f>G942+0.0001</f>
        <v/>
      </c>
    </row>
    <row r="944">
      <c r="G944">
        <f>G943+0.0001</f>
        <v/>
      </c>
    </row>
    <row r="945">
      <c r="G945">
        <f>G944+0.0001</f>
        <v/>
      </c>
    </row>
    <row r="946">
      <c r="G946">
        <f>G945+0.0001</f>
        <v/>
      </c>
    </row>
    <row r="947">
      <c r="G947">
        <f>G946+0.0001</f>
        <v/>
      </c>
    </row>
    <row r="948">
      <c r="G948">
        <f>G947+0.0001</f>
        <v/>
      </c>
    </row>
    <row r="949">
      <c r="G949">
        <f>G948+0.0001</f>
        <v/>
      </c>
    </row>
    <row r="950">
      <c r="G950">
        <f>G949+0.0001</f>
        <v/>
      </c>
    </row>
    <row r="951">
      <c r="G951">
        <f>G950+0.0001</f>
        <v/>
      </c>
    </row>
    <row r="952">
      <c r="G952">
        <f>G951+0.0001</f>
        <v/>
      </c>
    </row>
    <row r="953">
      <c r="G953">
        <f>G952+0.0001</f>
        <v/>
      </c>
    </row>
    <row r="954">
      <c r="G954">
        <f>G953+0.0001</f>
        <v/>
      </c>
    </row>
    <row r="955">
      <c r="G955">
        <f>G954+0.0001</f>
        <v/>
      </c>
    </row>
    <row r="956">
      <c r="G956">
        <f>G955+0.0001</f>
        <v/>
      </c>
    </row>
    <row r="957">
      <c r="G957">
        <f>G956+0.0001</f>
        <v/>
      </c>
    </row>
    <row r="958">
      <c r="G958">
        <f>G957+0.0001</f>
        <v/>
      </c>
    </row>
    <row r="959">
      <c r="G959">
        <f>G958+0.0001</f>
        <v/>
      </c>
    </row>
    <row r="960">
      <c r="G960">
        <f>G959+0.0001</f>
        <v/>
      </c>
    </row>
    <row r="961">
      <c r="G961">
        <f>G960+0.0001</f>
        <v/>
      </c>
    </row>
    <row r="962">
      <c r="G962">
        <f>G961+0.0001</f>
        <v/>
      </c>
    </row>
    <row r="963">
      <c r="G963">
        <f>G962+0.0001</f>
        <v/>
      </c>
    </row>
    <row r="964">
      <c r="G964">
        <f>G963+0.0001</f>
        <v/>
      </c>
    </row>
    <row r="965">
      <c r="G965">
        <f>G964+0.0001</f>
        <v/>
      </c>
    </row>
    <row r="966">
      <c r="G966">
        <f>G965+0.0001</f>
        <v/>
      </c>
    </row>
    <row r="967">
      <c r="G967">
        <f>G966+0.0001</f>
        <v/>
      </c>
    </row>
    <row r="968">
      <c r="G968">
        <f>G967+0.0001</f>
        <v/>
      </c>
    </row>
    <row r="969">
      <c r="G969">
        <f>G968+0.0001</f>
        <v/>
      </c>
    </row>
    <row r="970">
      <c r="G970">
        <f>G969+0.0001</f>
        <v/>
      </c>
    </row>
    <row r="971">
      <c r="G971">
        <f>G970+0.0001</f>
        <v/>
      </c>
    </row>
    <row r="972">
      <c r="G972">
        <f>G971+0.0001</f>
        <v/>
      </c>
    </row>
    <row r="973">
      <c r="G973">
        <f>G972+0.0001</f>
        <v/>
      </c>
    </row>
    <row r="974">
      <c r="G974">
        <f>G973+0.0001</f>
        <v/>
      </c>
    </row>
    <row r="975">
      <c r="G975">
        <f>G974+0.0001</f>
        <v/>
      </c>
    </row>
    <row r="976">
      <c r="G976">
        <f>G975+0.0001</f>
        <v/>
      </c>
    </row>
    <row r="977">
      <c r="G977">
        <f>G976+0.0001</f>
        <v/>
      </c>
    </row>
    <row r="978">
      <c r="G978">
        <f>G977+0.0001</f>
        <v/>
      </c>
    </row>
    <row r="979">
      <c r="G979">
        <f>G978+0.0001</f>
        <v/>
      </c>
    </row>
    <row r="980">
      <c r="G980">
        <f>G979+0.0001</f>
        <v/>
      </c>
    </row>
    <row r="981">
      <c r="G981">
        <f>G980+0.0001</f>
        <v/>
      </c>
    </row>
    <row r="982">
      <c r="G982">
        <f>G981+0.0001</f>
        <v/>
      </c>
    </row>
    <row r="983">
      <c r="G983">
        <f>G982+0.0001</f>
        <v/>
      </c>
    </row>
    <row r="984">
      <c r="G984">
        <f>G983+0.0001</f>
        <v/>
      </c>
    </row>
    <row r="985">
      <c r="G985">
        <f>G984+0.0001</f>
        <v/>
      </c>
    </row>
    <row r="986">
      <c r="G986">
        <f>G985+0.0001</f>
        <v/>
      </c>
    </row>
    <row r="987">
      <c r="G987">
        <f>G986+0.0001</f>
        <v/>
      </c>
    </row>
    <row r="988">
      <c r="G988">
        <f>G987+0.0001</f>
        <v/>
      </c>
    </row>
    <row r="989">
      <c r="G989">
        <f>G988+0.0001</f>
        <v/>
      </c>
    </row>
    <row r="990">
      <c r="G990">
        <f>G989+0.0001</f>
        <v/>
      </c>
    </row>
    <row r="991">
      <c r="G991">
        <f>G990+0.0001</f>
        <v/>
      </c>
    </row>
    <row r="992">
      <c r="G992">
        <f>G991+0.0001</f>
        <v/>
      </c>
    </row>
    <row r="993">
      <c r="G993">
        <f>G992+0.0001</f>
        <v/>
      </c>
    </row>
    <row r="994">
      <c r="G994">
        <f>G993+0.0001</f>
        <v/>
      </c>
    </row>
    <row r="995">
      <c r="G995">
        <f>G994+0.0001</f>
        <v/>
      </c>
    </row>
    <row r="996">
      <c r="G996">
        <f>G995+0.0001</f>
        <v/>
      </c>
    </row>
    <row r="997">
      <c r="G997">
        <f>G996+0.0001</f>
        <v/>
      </c>
    </row>
    <row r="998">
      <c r="G998">
        <f>G997+0.0001</f>
        <v/>
      </c>
    </row>
    <row r="999">
      <c r="G999">
        <f>G998+0.0001</f>
        <v/>
      </c>
    </row>
    <row r="1000">
      <c r="G1000">
        <f>G999+0.0001</f>
        <v/>
      </c>
    </row>
    <row r="1001">
      <c r="G1001">
        <f>G1000+0.0001</f>
        <v/>
      </c>
    </row>
    <row r="1002">
      <c r="G1002">
        <f>G1001+0.0001</f>
        <v/>
      </c>
    </row>
    <row r="1003">
      <c r="G1003">
        <f>G1002+0.0001</f>
        <v/>
      </c>
    </row>
    <row r="1004">
      <c r="G1004">
        <f>G1003+0.0001</f>
        <v/>
      </c>
    </row>
    <row r="1005">
      <c r="G1005">
        <f>G1004+0.0001</f>
        <v/>
      </c>
    </row>
    <row r="1006">
      <c r="G1006">
        <f>G1005+0.0001</f>
        <v/>
      </c>
    </row>
    <row r="1007">
      <c r="G1007">
        <f>G1006+0.0001</f>
        <v/>
      </c>
    </row>
    <row r="1008">
      <c r="G1008">
        <f>G1007+0.0001</f>
        <v/>
      </c>
    </row>
    <row r="1009">
      <c r="G1009">
        <f>G1008+0.0001</f>
        <v/>
      </c>
    </row>
    <row r="1010">
      <c r="G1010">
        <f>G1009+0.0001</f>
        <v/>
      </c>
    </row>
    <row r="1011">
      <c r="G1011">
        <f>G1010+0.0001</f>
        <v/>
      </c>
    </row>
    <row r="1012">
      <c r="G1012">
        <f>G1011+0.0001</f>
        <v/>
      </c>
    </row>
    <row r="1013">
      <c r="G1013">
        <f>G1012+0.0001</f>
        <v/>
      </c>
    </row>
    <row r="1014">
      <c r="G1014">
        <f>G1013+0.0001</f>
        <v/>
      </c>
    </row>
    <row r="1015">
      <c r="G1015">
        <f>G1014+0.0001</f>
        <v/>
      </c>
    </row>
    <row r="1016">
      <c r="G1016">
        <f>G1015+0.0001</f>
        <v/>
      </c>
    </row>
    <row r="1017">
      <c r="G1017">
        <f>G1016+0.0001</f>
        <v/>
      </c>
    </row>
    <row r="1018">
      <c r="G1018">
        <f>G1017+0.0001</f>
        <v/>
      </c>
    </row>
    <row r="1019">
      <c r="G1019">
        <f>G1018+0.0001</f>
        <v/>
      </c>
    </row>
    <row r="1020">
      <c r="G1020">
        <f>G1019+0.0001</f>
        <v/>
      </c>
    </row>
    <row r="1021">
      <c r="G1021">
        <f>G1020+0.0001</f>
        <v/>
      </c>
    </row>
    <row r="1022">
      <c r="G1022">
        <f>G1021+0.0001</f>
        <v/>
      </c>
    </row>
    <row r="1023">
      <c r="G1023">
        <f>G1022+0.0001</f>
        <v/>
      </c>
    </row>
    <row r="1024">
      <c r="G1024">
        <f>G1023+0.0001</f>
        <v/>
      </c>
    </row>
    <row r="1025">
      <c r="G1025">
        <f>G1024+0.0001</f>
        <v/>
      </c>
    </row>
    <row r="1026">
      <c r="G1026">
        <f>G1025+0.0001</f>
        <v/>
      </c>
    </row>
    <row r="1027">
      <c r="G1027">
        <f>G1026+0.0001</f>
        <v/>
      </c>
    </row>
    <row r="1028">
      <c r="G1028">
        <f>G1027+0.0001</f>
        <v/>
      </c>
    </row>
    <row r="1029">
      <c r="G1029">
        <f>G1028+0.0001</f>
        <v/>
      </c>
    </row>
    <row r="1030">
      <c r="G1030">
        <f>G1029+0.0001</f>
        <v/>
      </c>
    </row>
    <row r="1031">
      <c r="G1031">
        <f>G1030+0.0001</f>
        <v/>
      </c>
    </row>
    <row r="1032">
      <c r="G1032">
        <f>G1031+0.0001</f>
        <v/>
      </c>
    </row>
    <row r="1033">
      <c r="G1033">
        <f>G1032+0.0001</f>
        <v/>
      </c>
    </row>
    <row r="1034">
      <c r="G1034">
        <f>G1033+0.0001</f>
        <v/>
      </c>
    </row>
    <row r="1035">
      <c r="G1035">
        <f>G1034+0.0001</f>
        <v/>
      </c>
    </row>
    <row r="1036">
      <c r="G1036">
        <f>G1035+0.0001</f>
        <v/>
      </c>
    </row>
    <row r="1037">
      <c r="G1037">
        <f>G1036+0.0001</f>
        <v/>
      </c>
    </row>
    <row r="1038">
      <c r="G1038">
        <f>G1037+0.0001</f>
        <v/>
      </c>
    </row>
    <row r="1039">
      <c r="G1039">
        <f>G1038+0.0001</f>
        <v/>
      </c>
    </row>
    <row r="1040">
      <c r="G1040">
        <f>G1039+0.0001</f>
        <v/>
      </c>
    </row>
    <row r="1041">
      <c r="G1041">
        <f>G1040+0.0001</f>
        <v/>
      </c>
    </row>
    <row r="1042">
      <c r="G1042">
        <f>G1041+0.0001</f>
        <v/>
      </c>
    </row>
    <row r="1043">
      <c r="G1043">
        <f>G1042+0.0001</f>
        <v/>
      </c>
    </row>
    <row r="1044">
      <c r="G1044">
        <f>G1043+0.0001</f>
        <v/>
      </c>
    </row>
    <row r="1045">
      <c r="G1045">
        <f>G1044+0.0001</f>
        <v/>
      </c>
    </row>
    <row r="1046">
      <c r="G1046">
        <f>G1045+0.0001</f>
        <v/>
      </c>
    </row>
    <row r="1047">
      <c r="G1047">
        <f>G1046+0.0001</f>
        <v/>
      </c>
    </row>
    <row r="1048">
      <c r="G1048">
        <f>G1047+0.0001</f>
        <v/>
      </c>
    </row>
    <row r="1049">
      <c r="G1049">
        <f>G1048+0.0001</f>
        <v/>
      </c>
    </row>
    <row r="1050">
      <c r="G1050">
        <f>G1049+0.0001</f>
        <v/>
      </c>
    </row>
    <row r="1051">
      <c r="G1051">
        <f>G1050+0.0001</f>
        <v/>
      </c>
    </row>
    <row r="1052">
      <c r="G1052">
        <f>G1051+0.0001</f>
        <v/>
      </c>
    </row>
    <row r="1053">
      <c r="G1053">
        <f>G1052+0.0001</f>
        <v/>
      </c>
    </row>
    <row r="1054">
      <c r="G1054">
        <f>G1053+0.0001</f>
        <v/>
      </c>
    </row>
    <row r="1055">
      <c r="G1055">
        <f>G1054+0.0001</f>
        <v/>
      </c>
    </row>
    <row r="1056">
      <c r="G1056">
        <f>G1055+0.0001</f>
        <v/>
      </c>
    </row>
    <row r="1057">
      <c r="G1057">
        <f>G1056+0.0001</f>
        <v/>
      </c>
    </row>
    <row r="1058">
      <c r="G1058">
        <f>G1057+0.0001</f>
        <v/>
      </c>
    </row>
    <row r="1059">
      <c r="G1059">
        <f>G1058+0.0001</f>
        <v/>
      </c>
    </row>
    <row r="1060">
      <c r="G1060">
        <f>G1059+0.0001</f>
        <v/>
      </c>
    </row>
    <row r="1061">
      <c r="G1061">
        <f>G1060+0.0001</f>
        <v/>
      </c>
    </row>
    <row r="1062">
      <c r="G1062">
        <f>G1061+0.0001</f>
        <v/>
      </c>
    </row>
    <row r="1063">
      <c r="G1063">
        <f>G1062+0.0001</f>
        <v/>
      </c>
    </row>
    <row r="1064">
      <c r="G1064">
        <f>G1063+0.0001</f>
        <v/>
      </c>
    </row>
    <row r="1065">
      <c r="G1065">
        <f>G1064+0.0001</f>
        <v/>
      </c>
    </row>
    <row r="1066">
      <c r="G1066">
        <f>G1065+0.0001</f>
        <v/>
      </c>
    </row>
    <row r="1067">
      <c r="G1067">
        <f>G1066+0.0001</f>
        <v/>
      </c>
    </row>
    <row r="1068">
      <c r="G1068">
        <f>G1067+0.0001</f>
        <v/>
      </c>
    </row>
    <row r="1069">
      <c r="G1069">
        <f>G1068+0.0001</f>
        <v/>
      </c>
    </row>
    <row r="1070">
      <c r="G1070">
        <f>G1069+0.0001</f>
        <v/>
      </c>
    </row>
    <row r="1071">
      <c r="G1071">
        <f>G1070+0.0001</f>
        <v/>
      </c>
    </row>
    <row r="1072">
      <c r="G1072">
        <f>G1071+0.0001</f>
        <v/>
      </c>
    </row>
    <row r="1073">
      <c r="G1073">
        <f>G1072+0.0001</f>
        <v/>
      </c>
    </row>
    <row r="1074">
      <c r="G1074">
        <f>G1073+0.0001</f>
        <v/>
      </c>
    </row>
    <row r="1075">
      <c r="G1075">
        <f>G1074+0.0001</f>
        <v/>
      </c>
    </row>
    <row r="1076">
      <c r="G1076">
        <f>G1075+0.0001</f>
        <v/>
      </c>
    </row>
    <row r="1077">
      <c r="G1077">
        <f>G1076+0.0001</f>
        <v/>
      </c>
    </row>
    <row r="1078">
      <c r="G1078">
        <f>G1077+0.0001</f>
        <v/>
      </c>
    </row>
    <row r="1079">
      <c r="G1079">
        <f>G1078+0.0001</f>
        <v/>
      </c>
    </row>
    <row r="1080">
      <c r="G1080">
        <f>G1079+0.0001</f>
        <v/>
      </c>
    </row>
    <row r="1081">
      <c r="G1081">
        <f>G1080+0.0001</f>
        <v/>
      </c>
    </row>
    <row r="1082">
      <c r="G1082">
        <f>G1081+0.0001</f>
        <v/>
      </c>
    </row>
    <row r="1083">
      <c r="G1083">
        <f>G1082+0.0001</f>
        <v/>
      </c>
    </row>
    <row r="1084">
      <c r="G1084">
        <f>G1083+0.0001</f>
        <v/>
      </c>
    </row>
    <row r="1085">
      <c r="G1085">
        <f>G1084+0.0001</f>
        <v/>
      </c>
    </row>
    <row r="1086">
      <c r="G1086">
        <f>G1085+0.0001</f>
        <v/>
      </c>
    </row>
    <row r="1087">
      <c r="G1087">
        <f>G1086+0.0001</f>
        <v/>
      </c>
    </row>
    <row r="1088">
      <c r="G1088">
        <f>G1087+0.0001</f>
        <v/>
      </c>
    </row>
    <row r="1089">
      <c r="G1089">
        <f>G1088+0.0001</f>
        <v/>
      </c>
    </row>
    <row r="1090">
      <c r="G1090">
        <f>G1089+0.0001</f>
        <v/>
      </c>
    </row>
    <row r="1091">
      <c r="G1091">
        <f>G1090+0.0001</f>
        <v/>
      </c>
    </row>
    <row r="1092">
      <c r="G1092">
        <f>G1091+0.0001</f>
        <v/>
      </c>
    </row>
    <row r="1093">
      <c r="G1093">
        <f>G1092+0.0001</f>
        <v/>
      </c>
    </row>
    <row r="1094">
      <c r="G1094">
        <f>G1093+0.0001</f>
        <v/>
      </c>
    </row>
    <row r="1095">
      <c r="G1095">
        <f>G1094+0.0001</f>
        <v/>
      </c>
    </row>
    <row r="1096">
      <c r="G1096">
        <f>G1095+0.0001</f>
        <v/>
      </c>
    </row>
    <row r="1097">
      <c r="G1097">
        <f>G1096+0.0001</f>
        <v/>
      </c>
    </row>
    <row r="1098">
      <c r="G1098">
        <f>G1097+0.0001</f>
        <v/>
      </c>
    </row>
    <row r="1099">
      <c r="G1099">
        <f>G1098+0.0001</f>
        <v/>
      </c>
    </row>
    <row r="1100">
      <c r="G1100">
        <f>G1099+0.0001</f>
        <v/>
      </c>
    </row>
    <row r="1101">
      <c r="G1101">
        <f>G1100+0.0001</f>
        <v/>
      </c>
    </row>
    <row r="1102">
      <c r="G1102">
        <f>G1101+0.0001</f>
        <v/>
      </c>
    </row>
    <row r="1103">
      <c r="G1103">
        <f>G1102+0.0001</f>
        <v/>
      </c>
    </row>
    <row r="1104">
      <c r="G1104">
        <f>G1103+0.0001</f>
        <v/>
      </c>
    </row>
    <row r="1105">
      <c r="G1105">
        <f>G1104+0.0001</f>
        <v/>
      </c>
    </row>
    <row r="1106">
      <c r="G1106">
        <f>G1105+0.0001</f>
        <v/>
      </c>
    </row>
    <row r="1107">
      <c r="G1107">
        <f>G1106+0.0001</f>
        <v/>
      </c>
    </row>
    <row r="1108">
      <c r="G1108">
        <f>G1107+0.0001</f>
        <v/>
      </c>
    </row>
    <row r="1109">
      <c r="G1109">
        <f>G1108+0.0001</f>
        <v/>
      </c>
    </row>
    <row r="1110">
      <c r="G1110">
        <f>G1109+0.0001</f>
        <v/>
      </c>
    </row>
    <row r="1111">
      <c r="G1111">
        <f>G1110+0.0001</f>
        <v/>
      </c>
    </row>
    <row r="1112">
      <c r="G1112">
        <f>G1111+0.0001</f>
        <v/>
      </c>
    </row>
    <row r="1113">
      <c r="G1113">
        <f>G1112+0.0001</f>
        <v/>
      </c>
    </row>
    <row r="1114">
      <c r="G1114">
        <f>G1113+0.0001</f>
        <v/>
      </c>
    </row>
    <row r="1115">
      <c r="G1115">
        <f>G1114+0.0001</f>
        <v/>
      </c>
    </row>
    <row r="1116">
      <c r="G1116">
        <f>G1115+0.0001</f>
        <v/>
      </c>
    </row>
    <row r="1117">
      <c r="G1117">
        <f>G1116+0.0001</f>
        <v/>
      </c>
    </row>
    <row r="1118">
      <c r="G1118">
        <f>G1117+0.0001</f>
        <v/>
      </c>
    </row>
    <row r="1119">
      <c r="G1119">
        <f>G1118+0.0001</f>
        <v/>
      </c>
    </row>
    <row r="1120">
      <c r="G1120">
        <f>G1119+0.0001</f>
        <v/>
      </c>
    </row>
    <row r="1121">
      <c r="G1121">
        <f>G1120+0.0001</f>
        <v/>
      </c>
    </row>
    <row r="1122">
      <c r="G1122">
        <f>G1121+0.0001</f>
        <v/>
      </c>
    </row>
    <row r="1123">
      <c r="G1123">
        <f>G1122+0.0001</f>
        <v/>
      </c>
    </row>
    <row r="1124">
      <c r="G1124">
        <f>G1123+0.0001</f>
        <v/>
      </c>
    </row>
    <row r="1125">
      <c r="G1125">
        <f>G1124+0.0001</f>
        <v/>
      </c>
    </row>
    <row r="1126">
      <c r="G1126">
        <f>G1125+0.0001</f>
        <v/>
      </c>
    </row>
    <row r="1127">
      <c r="G1127">
        <f>G1126+0.0001</f>
        <v/>
      </c>
    </row>
    <row r="1128">
      <c r="G1128">
        <f>G1127+0.0001</f>
        <v/>
      </c>
    </row>
    <row r="1129">
      <c r="G1129">
        <f>G1128+0.0001</f>
        <v/>
      </c>
    </row>
    <row r="1130">
      <c r="G1130">
        <f>G1129+0.0001</f>
        <v/>
      </c>
    </row>
    <row r="1131">
      <c r="G1131">
        <f>G1130+0.0001</f>
        <v/>
      </c>
    </row>
    <row r="1132">
      <c r="G1132">
        <f>G1131+0.0001</f>
        <v/>
      </c>
    </row>
    <row r="1133">
      <c r="G1133">
        <f>G1132+0.0001</f>
        <v/>
      </c>
    </row>
    <row r="1134">
      <c r="G1134">
        <f>G1133+0.0001</f>
        <v/>
      </c>
    </row>
    <row r="1135">
      <c r="G1135">
        <f>G1134+0.0001</f>
        <v/>
      </c>
    </row>
    <row r="1136">
      <c r="G1136">
        <f>G1135+0.0001</f>
        <v/>
      </c>
    </row>
    <row r="1137">
      <c r="G1137">
        <f>G1136+0.0001</f>
        <v/>
      </c>
    </row>
    <row r="1138">
      <c r="G1138">
        <f>G1137+0.0001</f>
        <v/>
      </c>
    </row>
    <row r="1139">
      <c r="G1139">
        <f>G1138+0.0001</f>
        <v/>
      </c>
    </row>
    <row r="1140">
      <c r="G1140">
        <f>G1139+0.0001</f>
        <v/>
      </c>
    </row>
    <row r="1141">
      <c r="G1141">
        <f>G1140+0.0001</f>
        <v/>
      </c>
    </row>
    <row r="1142">
      <c r="G1142">
        <f>G1141+0.0001</f>
        <v/>
      </c>
    </row>
    <row r="1143">
      <c r="G1143">
        <f>G1142+0.0001</f>
        <v/>
      </c>
    </row>
    <row r="1144">
      <c r="G1144">
        <f>G1143+0.0001</f>
        <v/>
      </c>
    </row>
    <row r="1145">
      <c r="G1145">
        <f>G1144+0.0001</f>
        <v/>
      </c>
    </row>
    <row r="1146">
      <c r="G1146">
        <f>G1145+0.0001</f>
        <v/>
      </c>
    </row>
    <row r="1147">
      <c r="G1147">
        <f>G1146+0.0001</f>
        <v/>
      </c>
    </row>
    <row r="1148">
      <c r="G1148">
        <f>G1147+0.0001</f>
        <v/>
      </c>
    </row>
    <row r="1149">
      <c r="G1149">
        <f>G1148+0.0001</f>
        <v/>
      </c>
    </row>
    <row r="1150">
      <c r="G1150">
        <f>G1149+0.0001</f>
        <v/>
      </c>
    </row>
    <row r="1151">
      <c r="G1151">
        <f>G1150+0.0001</f>
        <v/>
      </c>
    </row>
    <row r="1152">
      <c r="G1152">
        <f>G1151+0.0001</f>
        <v/>
      </c>
    </row>
    <row r="1153">
      <c r="G1153">
        <f>G1152+0.0001</f>
        <v/>
      </c>
    </row>
    <row r="1154">
      <c r="G1154">
        <f>G1153+0.0001</f>
        <v/>
      </c>
    </row>
    <row r="1155">
      <c r="G1155">
        <f>G1154+0.0001</f>
        <v/>
      </c>
    </row>
    <row r="1156">
      <c r="G1156">
        <f>G1155+0.0001</f>
        <v/>
      </c>
    </row>
    <row r="1157">
      <c r="G1157">
        <f>G1156+0.0001</f>
        <v/>
      </c>
    </row>
    <row r="1158">
      <c r="G1158">
        <f>G1157+0.0001</f>
        <v/>
      </c>
    </row>
    <row r="1159">
      <c r="G1159">
        <f>G1158+0.0001</f>
        <v/>
      </c>
    </row>
    <row r="1160">
      <c r="G1160">
        <f>G1159+0.0001</f>
        <v/>
      </c>
    </row>
    <row r="1161">
      <c r="G1161">
        <f>G1160+0.0001</f>
        <v/>
      </c>
    </row>
    <row r="1162">
      <c r="G1162">
        <f>G1161+0.0001</f>
        <v/>
      </c>
    </row>
    <row r="1163">
      <c r="G1163">
        <f>G1162+0.0001</f>
        <v/>
      </c>
    </row>
    <row r="1164">
      <c r="G1164">
        <f>G1163+0.0001</f>
        <v/>
      </c>
    </row>
    <row r="1165">
      <c r="G1165">
        <f>G1164+0.0001</f>
        <v/>
      </c>
    </row>
    <row r="1166">
      <c r="G1166">
        <f>G1165+0.0001</f>
        <v/>
      </c>
    </row>
    <row r="1167">
      <c r="G1167">
        <f>G1166+0.0001</f>
        <v/>
      </c>
    </row>
    <row r="1168">
      <c r="G1168">
        <f>G1167+0.0001</f>
        <v/>
      </c>
    </row>
    <row r="1169">
      <c r="G1169">
        <f>G1168+0.0001</f>
        <v/>
      </c>
    </row>
    <row r="1170">
      <c r="G1170">
        <f>G1169+0.0001</f>
        <v/>
      </c>
    </row>
    <row r="1171">
      <c r="G1171">
        <f>G1170+0.0001</f>
        <v/>
      </c>
    </row>
    <row r="1172">
      <c r="G1172">
        <f>G1171+0.0001</f>
        <v/>
      </c>
    </row>
    <row r="1173">
      <c r="G1173">
        <f>G1172+0.0001</f>
        <v/>
      </c>
    </row>
    <row r="1174">
      <c r="G1174">
        <f>G1173+0.0001</f>
        <v/>
      </c>
    </row>
    <row r="1175">
      <c r="G1175">
        <f>G1174+0.0001</f>
        <v/>
      </c>
    </row>
    <row r="1176">
      <c r="G1176">
        <f>G1175+0.0001</f>
        <v/>
      </c>
    </row>
    <row r="1177">
      <c r="G1177">
        <f>G1176+0.0001</f>
        <v/>
      </c>
    </row>
    <row r="1178">
      <c r="G1178">
        <f>G1177+0.0001</f>
        <v/>
      </c>
    </row>
    <row r="1179">
      <c r="G1179">
        <f>G1178+0.0001</f>
        <v/>
      </c>
    </row>
    <row r="1180">
      <c r="G1180">
        <f>G1179+0.0001</f>
        <v/>
      </c>
    </row>
    <row r="1181">
      <c r="G1181">
        <f>G1180+0.0001</f>
        <v/>
      </c>
    </row>
    <row r="1182">
      <c r="G1182">
        <f>G1181+0.0001</f>
        <v/>
      </c>
    </row>
    <row r="1183">
      <c r="G1183">
        <f>G1182+0.0001</f>
        <v/>
      </c>
    </row>
    <row r="1184">
      <c r="G1184">
        <f>G1183+0.0001</f>
        <v/>
      </c>
    </row>
    <row r="1185">
      <c r="G1185">
        <f>G1184+0.0001</f>
        <v/>
      </c>
    </row>
    <row r="1186">
      <c r="G1186">
        <f>G1185+0.0001</f>
        <v/>
      </c>
    </row>
    <row r="1187">
      <c r="G1187">
        <f>G1186+0.0001</f>
        <v/>
      </c>
    </row>
    <row r="1188">
      <c r="G1188">
        <f>G1187+0.0001</f>
        <v/>
      </c>
    </row>
    <row r="1189">
      <c r="G1189">
        <f>G1188+0.0001</f>
        <v/>
      </c>
    </row>
    <row r="1190">
      <c r="G1190">
        <f>G1189+0.0001</f>
        <v/>
      </c>
    </row>
    <row r="1191">
      <c r="G1191">
        <f>G1190+0.0001</f>
        <v/>
      </c>
    </row>
    <row r="1192">
      <c r="G1192">
        <f>G1191+0.0001</f>
        <v/>
      </c>
    </row>
    <row r="1193">
      <c r="G1193">
        <f>G1192+0.0001</f>
        <v/>
      </c>
    </row>
    <row r="1194">
      <c r="G1194">
        <f>G1193+0.0001</f>
        <v/>
      </c>
    </row>
    <row r="1195">
      <c r="G1195">
        <f>G1194+0.0001</f>
        <v/>
      </c>
    </row>
    <row r="1196">
      <c r="G1196">
        <f>G1195+0.0001</f>
        <v/>
      </c>
    </row>
    <row r="1197">
      <c r="G1197">
        <f>G1196+0.0001</f>
        <v/>
      </c>
    </row>
    <row r="1198">
      <c r="G1198">
        <f>G1197+0.0001</f>
        <v/>
      </c>
    </row>
    <row r="1199">
      <c r="G1199">
        <f>G1198+0.0001</f>
        <v/>
      </c>
    </row>
    <row r="1200">
      <c r="G1200">
        <f>G1199+0.0001</f>
        <v/>
      </c>
    </row>
    <row r="1201">
      <c r="G1201">
        <f>G1200+0.0001</f>
        <v/>
      </c>
    </row>
    <row r="1202">
      <c r="G1202">
        <f>G1201+0.0001</f>
        <v/>
      </c>
    </row>
    <row r="1203">
      <c r="G1203">
        <f>G1202+0.0001</f>
        <v/>
      </c>
    </row>
    <row r="1204">
      <c r="G1204">
        <f>G1203+0.0001</f>
        <v/>
      </c>
    </row>
    <row r="1205">
      <c r="G1205">
        <f>G1204+0.0001</f>
        <v/>
      </c>
    </row>
    <row r="1206">
      <c r="G1206">
        <f>G1205+0.0001</f>
        <v/>
      </c>
    </row>
    <row r="1207">
      <c r="G1207">
        <f>G1206+0.0001</f>
        <v/>
      </c>
    </row>
    <row r="1208">
      <c r="G1208">
        <f>G1207+0.0001</f>
        <v/>
      </c>
    </row>
    <row r="1209">
      <c r="G1209">
        <f>G1208+0.0001</f>
        <v/>
      </c>
    </row>
    <row r="1210">
      <c r="G1210">
        <f>G1209+0.0001</f>
        <v/>
      </c>
    </row>
    <row r="1211">
      <c r="G1211">
        <f>G1210+0.0001</f>
        <v/>
      </c>
    </row>
    <row r="1212">
      <c r="G1212">
        <f>G1211+0.0001</f>
        <v/>
      </c>
    </row>
    <row r="1213">
      <c r="G1213">
        <f>G1212+0.0001</f>
        <v/>
      </c>
    </row>
    <row r="1214">
      <c r="G1214">
        <f>G1213+0.0001</f>
        <v/>
      </c>
    </row>
    <row r="1215">
      <c r="G1215">
        <f>G1214+0.0001</f>
        <v/>
      </c>
    </row>
    <row r="1216">
      <c r="G1216">
        <f>G1215+0.0001</f>
        <v/>
      </c>
    </row>
    <row r="1217">
      <c r="G1217">
        <f>G1216+0.0001</f>
        <v/>
      </c>
    </row>
    <row r="1218">
      <c r="G1218">
        <f>G1217+0.0001</f>
        <v/>
      </c>
    </row>
    <row r="1219">
      <c r="G1219">
        <f>G1218+0.0001</f>
        <v/>
      </c>
    </row>
    <row r="1220">
      <c r="G1220">
        <f>G1219+0.0001</f>
        <v/>
      </c>
    </row>
    <row r="1221">
      <c r="G1221">
        <f>G1220+0.0001</f>
        <v/>
      </c>
    </row>
    <row r="1222">
      <c r="G1222">
        <f>G1221+0.0001</f>
        <v/>
      </c>
    </row>
    <row r="1223">
      <c r="G1223">
        <f>G1222+0.0001</f>
        <v/>
      </c>
    </row>
    <row r="1224">
      <c r="G1224">
        <f>G1223+0.0001</f>
        <v/>
      </c>
    </row>
    <row r="1225">
      <c r="G1225">
        <f>G1224+0.0001</f>
        <v/>
      </c>
    </row>
    <row r="1226">
      <c r="G1226">
        <f>G1225+0.0001</f>
        <v/>
      </c>
    </row>
    <row r="1227">
      <c r="G1227">
        <f>G1226+0.0001</f>
        <v/>
      </c>
    </row>
    <row r="1228">
      <c r="G1228">
        <f>G1227+0.0001</f>
        <v/>
      </c>
    </row>
    <row r="1229">
      <c r="G1229">
        <f>G1228+0.0001</f>
        <v/>
      </c>
    </row>
    <row r="1230">
      <c r="G1230">
        <f>G1229+0.0001</f>
        <v/>
      </c>
    </row>
    <row r="1231">
      <c r="G1231">
        <f>G1230+0.0001</f>
        <v/>
      </c>
    </row>
    <row r="1232">
      <c r="G1232">
        <f>G1231+0.0001</f>
        <v/>
      </c>
    </row>
    <row r="1233">
      <c r="G1233">
        <f>G1232+0.0001</f>
        <v/>
      </c>
    </row>
    <row r="1234">
      <c r="G1234">
        <f>G1233+0.0001</f>
        <v/>
      </c>
    </row>
    <row r="1235">
      <c r="G1235">
        <f>G1234+0.0001</f>
        <v/>
      </c>
    </row>
    <row r="1236">
      <c r="G1236">
        <f>G1235+0.0001</f>
        <v/>
      </c>
    </row>
    <row r="1237">
      <c r="G1237">
        <f>G1236+0.0001</f>
        <v/>
      </c>
    </row>
    <row r="1238">
      <c r="G1238">
        <f>G1237+0.0001</f>
        <v/>
      </c>
    </row>
    <row r="1239">
      <c r="G1239">
        <f>G1238+0.0001</f>
        <v/>
      </c>
    </row>
    <row r="1240">
      <c r="G1240">
        <f>G1239+0.0001</f>
        <v/>
      </c>
    </row>
    <row r="1241">
      <c r="G1241">
        <f>G1240+0.0001</f>
        <v/>
      </c>
    </row>
    <row r="1242">
      <c r="G1242">
        <f>G1241+0.0001</f>
        <v/>
      </c>
    </row>
    <row r="1243">
      <c r="G1243">
        <f>G1242+0.0001</f>
        <v/>
      </c>
    </row>
    <row r="1244">
      <c r="G1244">
        <f>G1243+0.0001</f>
        <v/>
      </c>
    </row>
    <row r="1245">
      <c r="G1245">
        <f>G1244+0.0001</f>
        <v/>
      </c>
    </row>
    <row r="1246">
      <c r="G1246">
        <f>G1245+0.0001</f>
        <v/>
      </c>
    </row>
    <row r="1247">
      <c r="G1247">
        <f>G1246+0.0001</f>
        <v/>
      </c>
    </row>
    <row r="1248">
      <c r="G1248">
        <f>G1247+0.0001</f>
        <v/>
      </c>
    </row>
    <row r="1249">
      <c r="G1249">
        <f>G1248+0.0001</f>
        <v/>
      </c>
    </row>
    <row r="1250">
      <c r="G1250">
        <f>G1249+0.0001</f>
        <v/>
      </c>
    </row>
    <row r="1251">
      <c r="G1251">
        <f>G1250+0.0001</f>
        <v/>
      </c>
    </row>
    <row r="1252">
      <c r="G1252">
        <f>G1251+0.0001</f>
        <v/>
      </c>
    </row>
    <row r="1253">
      <c r="G1253">
        <f>G1252+0.0001</f>
        <v/>
      </c>
    </row>
    <row r="1254">
      <c r="G1254">
        <f>G1253+0.0001</f>
        <v/>
      </c>
    </row>
    <row r="1255">
      <c r="G1255">
        <f>G1254+0.0001</f>
        <v/>
      </c>
    </row>
    <row r="1256">
      <c r="G1256">
        <f>G1255+0.0001</f>
        <v/>
      </c>
    </row>
    <row r="1257">
      <c r="G1257">
        <f>G1256+0.0001</f>
        <v/>
      </c>
    </row>
    <row r="1258">
      <c r="G1258">
        <f>G1257+0.0001</f>
        <v/>
      </c>
    </row>
    <row r="1259">
      <c r="G1259">
        <f>G1258+0.0001</f>
        <v/>
      </c>
    </row>
    <row r="1260">
      <c r="G1260">
        <f>G1259+0.0001</f>
        <v/>
      </c>
    </row>
    <row r="1261">
      <c r="G1261">
        <f>G1260+0.0001</f>
        <v/>
      </c>
    </row>
    <row r="1262">
      <c r="G1262">
        <f>G1261+0.0001</f>
        <v/>
      </c>
    </row>
    <row r="1263">
      <c r="G1263">
        <f>G1262+0.0001</f>
        <v/>
      </c>
    </row>
    <row r="1264">
      <c r="G1264">
        <f>G1263+0.0001</f>
        <v/>
      </c>
    </row>
    <row r="1265">
      <c r="G1265">
        <f>G1264+0.0001</f>
        <v/>
      </c>
    </row>
    <row r="1266">
      <c r="G1266">
        <f>G1265+0.0001</f>
        <v/>
      </c>
    </row>
    <row r="1267">
      <c r="G1267">
        <f>G1266+0.0001</f>
        <v/>
      </c>
    </row>
    <row r="1268">
      <c r="G1268">
        <f>G1267+0.0001</f>
        <v/>
      </c>
    </row>
    <row r="1269">
      <c r="G1269">
        <f>G1268+0.0001</f>
        <v/>
      </c>
    </row>
    <row r="1270">
      <c r="G1270">
        <f>G1269+0.0001</f>
        <v/>
      </c>
    </row>
    <row r="1271">
      <c r="G1271">
        <f>G1270+0.0001</f>
        <v/>
      </c>
    </row>
    <row r="1272">
      <c r="G1272">
        <f>G1271+0.0001</f>
        <v/>
      </c>
    </row>
    <row r="1273">
      <c r="G1273">
        <f>G1272+0.0001</f>
        <v/>
      </c>
    </row>
    <row r="1274">
      <c r="G1274">
        <f>G1273+0.0001</f>
        <v/>
      </c>
    </row>
    <row r="1275">
      <c r="G1275">
        <f>G1274+0.0001</f>
        <v/>
      </c>
    </row>
    <row r="1276">
      <c r="G1276">
        <f>G1275+0.0001</f>
        <v/>
      </c>
    </row>
    <row r="1277">
      <c r="G1277">
        <f>G1276+0.0001</f>
        <v/>
      </c>
    </row>
    <row r="1278">
      <c r="G1278">
        <f>G1277+0.0001</f>
        <v/>
      </c>
    </row>
    <row r="1279">
      <c r="G1279">
        <f>G1278+0.0001</f>
        <v/>
      </c>
    </row>
    <row r="1280">
      <c r="G1280">
        <f>G1279+0.0001</f>
        <v/>
      </c>
    </row>
    <row r="1281">
      <c r="G1281">
        <f>G1280+0.0001</f>
        <v/>
      </c>
    </row>
    <row r="1282">
      <c r="G1282">
        <f>G1281+0.0001</f>
        <v/>
      </c>
    </row>
    <row r="1283">
      <c r="G1283">
        <f>G1282+0.0001</f>
        <v/>
      </c>
    </row>
    <row r="1284">
      <c r="G1284">
        <f>G1283+0.0001</f>
        <v/>
      </c>
    </row>
    <row r="1285">
      <c r="G1285">
        <f>G1284+0.0001</f>
        <v/>
      </c>
    </row>
    <row r="1286">
      <c r="G1286">
        <f>G1285+0.0001</f>
        <v/>
      </c>
    </row>
    <row r="1287">
      <c r="G1287">
        <f>G1286+0.0001</f>
        <v/>
      </c>
    </row>
    <row r="1288">
      <c r="G1288">
        <f>G1287+0.0001</f>
        <v/>
      </c>
    </row>
    <row r="1289">
      <c r="G1289">
        <f>G1288+0.0001</f>
        <v/>
      </c>
    </row>
    <row r="1290">
      <c r="G1290">
        <f>G1289+0.0001</f>
        <v/>
      </c>
    </row>
    <row r="1291">
      <c r="G1291">
        <f>G1290+0.0001</f>
        <v/>
      </c>
    </row>
    <row r="1292">
      <c r="G1292">
        <f>G1291+0.0001</f>
        <v/>
      </c>
    </row>
    <row r="1293">
      <c r="G1293">
        <f>G1292+0.0001</f>
        <v/>
      </c>
    </row>
    <row r="1294">
      <c r="G1294">
        <f>G1293+0.0001</f>
        <v/>
      </c>
    </row>
    <row r="1295">
      <c r="G1295">
        <f>G1294+0.0001</f>
        <v/>
      </c>
    </row>
    <row r="1296">
      <c r="G1296">
        <f>G1295+0.0001</f>
        <v/>
      </c>
    </row>
    <row r="1297">
      <c r="G1297">
        <f>G1296+0.0001</f>
        <v/>
      </c>
    </row>
    <row r="1298">
      <c r="G1298">
        <f>G1297+0.0001</f>
        <v/>
      </c>
    </row>
    <row r="1299">
      <c r="G1299">
        <f>G1298+0.0001</f>
        <v/>
      </c>
    </row>
    <row r="1300">
      <c r="G1300">
        <f>G1299+0.0001</f>
        <v/>
      </c>
    </row>
    <row r="1301">
      <c r="G1301">
        <f>G1300+0.0001</f>
        <v/>
      </c>
    </row>
    <row r="1302">
      <c r="G1302">
        <f>G1301+0.0001</f>
        <v/>
      </c>
    </row>
    <row r="1303">
      <c r="G1303">
        <f>G1302+0.0001</f>
        <v/>
      </c>
    </row>
    <row r="1304">
      <c r="G1304">
        <f>G1303+0.0001</f>
        <v/>
      </c>
    </row>
    <row r="1305">
      <c r="G1305">
        <f>G1304+0.0001</f>
        <v/>
      </c>
    </row>
    <row r="1306">
      <c r="G1306">
        <f>G1305+0.0001</f>
        <v/>
      </c>
    </row>
    <row r="1307">
      <c r="G1307">
        <f>G1306+0.0001</f>
        <v/>
      </c>
    </row>
    <row r="1308">
      <c r="G1308">
        <f>G1307+0.0001</f>
        <v/>
      </c>
    </row>
    <row r="1309">
      <c r="G1309">
        <f>G1308+0.0001</f>
        <v/>
      </c>
    </row>
    <row r="1310">
      <c r="G1310">
        <f>G1309+0.0001</f>
        <v/>
      </c>
    </row>
    <row r="1311">
      <c r="G1311">
        <f>G1310+0.0001</f>
        <v/>
      </c>
    </row>
    <row r="1312">
      <c r="G1312">
        <f>G1311+0.0001</f>
        <v/>
      </c>
    </row>
    <row r="1313">
      <c r="G1313">
        <f>G1312+0.0001</f>
        <v/>
      </c>
    </row>
    <row r="1314">
      <c r="G1314">
        <f>G1313+0.0001</f>
        <v/>
      </c>
    </row>
    <row r="1315">
      <c r="G1315">
        <f>G1314+0.0001</f>
        <v/>
      </c>
    </row>
    <row r="1316">
      <c r="G1316">
        <f>G1315+0.0001</f>
        <v/>
      </c>
    </row>
    <row r="1317">
      <c r="G1317">
        <f>G1316+0.0001</f>
        <v/>
      </c>
    </row>
    <row r="1318">
      <c r="G1318">
        <f>G1317+0.0001</f>
        <v/>
      </c>
    </row>
    <row r="1319">
      <c r="G1319">
        <f>G1318+0.0001</f>
        <v/>
      </c>
    </row>
    <row r="1320">
      <c r="G1320">
        <f>G1319+0.0001</f>
        <v/>
      </c>
    </row>
    <row r="1321">
      <c r="G1321">
        <f>G1320+0.0001</f>
        <v/>
      </c>
    </row>
    <row r="1322">
      <c r="G1322">
        <f>G1321+0.0001</f>
        <v/>
      </c>
    </row>
    <row r="1323">
      <c r="G1323">
        <f>G1322+0.0001</f>
        <v/>
      </c>
    </row>
    <row r="1324">
      <c r="G1324">
        <f>G1323+0.0001</f>
        <v/>
      </c>
    </row>
    <row r="1325">
      <c r="G1325">
        <f>G1324+0.0001</f>
        <v/>
      </c>
    </row>
    <row r="1326">
      <c r="G1326">
        <f>G1325+0.0001</f>
        <v/>
      </c>
    </row>
    <row r="1327">
      <c r="G1327">
        <f>G1326+0.0001</f>
        <v/>
      </c>
    </row>
    <row r="1328">
      <c r="G1328">
        <f>G1327+0.0001</f>
        <v/>
      </c>
    </row>
    <row r="1329">
      <c r="G1329">
        <f>G1328+0.0001</f>
        <v/>
      </c>
    </row>
    <row r="1330">
      <c r="G1330">
        <f>G1329+0.0001</f>
        <v/>
      </c>
    </row>
    <row r="1331">
      <c r="G1331">
        <f>G1330+0.0001</f>
        <v/>
      </c>
    </row>
    <row r="1332">
      <c r="G1332">
        <f>G1331+0.0001</f>
        <v/>
      </c>
    </row>
    <row r="1333">
      <c r="G1333">
        <f>G1332+0.0001</f>
        <v/>
      </c>
    </row>
    <row r="1334">
      <c r="G1334">
        <f>G1333+0.0001</f>
        <v/>
      </c>
    </row>
    <row r="1335">
      <c r="G1335">
        <f>G1334+0.0001</f>
        <v/>
      </c>
    </row>
    <row r="1336">
      <c r="G1336">
        <f>G1335+0.0001</f>
        <v/>
      </c>
    </row>
    <row r="1337">
      <c r="G1337">
        <f>G1336+0.0001</f>
        <v/>
      </c>
    </row>
    <row r="1338">
      <c r="G1338">
        <f>G1337+0.0001</f>
        <v/>
      </c>
    </row>
    <row r="1339">
      <c r="G1339">
        <f>G1338+0.0001</f>
        <v/>
      </c>
    </row>
    <row r="1340">
      <c r="G1340">
        <f>G1339+0.0001</f>
        <v/>
      </c>
    </row>
    <row r="1341">
      <c r="G1341">
        <f>G1340+0.0001</f>
        <v/>
      </c>
    </row>
    <row r="1342">
      <c r="G1342">
        <f>G1341+0.0001</f>
        <v/>
      </c>
    </row>
    <row r="1343">
      <c r="G1343">
        <f>G1342+0.0001</f>
        <v/>
      </c>
    </row>
    <row r="1344">
      <c r="G1344">
        <f>G1343+0.0001</f>
        <v/>
      </c>
    </row>
    <row r="1345">
      <c r="G1345">
        <f>G1344+0.0001</f>
        <v/>
      </c>
    </row>
    <row r="1346">
      <c r="G1346">
        <f>G1345+0.0001</f>
        <v/>
      </c>
    </row>
    <row r="1347">
      <c r="G1347">
        <f>G1346+0.0001</f>
        <v/>
      </c>
    </row>
    <row r="1348">
      <c r="G1348">
        <f>G1347+0.0001</f>
        <v/>
      </c>
    </row>
    <row r="1349">
      <c r="G1349">
        <f>G1348+0.0001</f>
        <v/>
      </c>
    </row>
    <row r="1350">
      <c r="G1350">
        <f>G1349+0.0001</f>
        <v/>
      </c>
    </row>
    <row r="1351">
      <c r="G1351">
        <f>G1350+0.0001</f>
        <v/>
      </c>
    </row>
    <row r="1352">
      <c r="G1352">
        <f>G1351+0.0001</f>
        <v/>
      </c>
    </row>
    <row r="1353">
      <c r="G1353">
        <f>G1352+0.0001</f>
        <v/>
      </c>
    </row>
    <row r="1354">
      <c r="G1354">
        <f>G1353+0.0001</f>
        <v/>
      </c>
    </row>
    <row r="1355">
      <c r="G1355">
        <f>G1354+0.0001</f>
        <v/>
      </c>
    </row>
    <row r="1356">
      <c r="G1356">
        <f>G1355+0.0001</f>
        <v/>
      </c>
    </row>
    <row r="1357">
      <c r="G1357">
        <f>G1356+0.0001</f>
        <v/>
      </c>
    </row>
    <row r="1358">
      <c r="G1358">
        <f>G1357+0.0001</f>
        <v/>
      </c>
    </row>
    <row r="1359">
      <c r="G1359">
        <f>G1358+0.0001</f>
        <v/>
      </c>
    </row>
    <row r="1360">
      <c r="G1360">
        <f>G1359+0.0001</f>
        <v/>
      </c>
    </row>
    <row r="1361">
      <c r="G1361">
        <f>G1360+0.0001</f>
        <v/>
      </c>
    </row>
    <row r="1362">
      <c r="G1362">
        <f>G1361+0.0001</f>
        <v/>
      </c>
    </row>
    <row r="1363">
      <c r="G1363">
        <f>G1362+0.0001</f>
        <v/>
      </c>
    </row>
    <row r="1364">
      <c r="G1364">
        <f>G1363+0.0001</f>
        <v/>
      </c>
    </row>
    <row r="1365">
      <c r="G1365">
        <f>G1364+0.0001</f>
        <v/>
      </c>
    </row>
    <row r="1366">
      <c r="G1366">
        <f>G1365+0.0001</f>
        <v/>
      </c>
    </row>
    <row r="1367">
      <c r="G1367">
        <f>G1366+0.0001</f>
        <v/>
      </c>
    </row>
    <row r="1368">
      <c r="G1368">
        <f>G1367+0.0001</f>
        <v/>
      </c>
    </row>
    <row r="1369">
      <c r="G1369">
        <f>G1368+0.0001</f>
        <v/>
      </c>
    </row>
    <row r="1370">
      <c r="G1370">
        <f>G1369+0.0001</f>
        <v/>
      </c>
    </row>
    <row r="1371">
      <c r="G1371">
        <f>G1370+0.0001</f>
        <v/>
      </c>
    </row>
    <row r="1372">
      <c r="G1372">
        <f>G1371+0.0001</f>
        <v/>
      </c>
    </row>
    <row r="1373">
      <c r="G1373">
        <f>G1372+0.0001</f>
        <v/>
      </c>
    </row>
    <row r="1374">
      <c r="G1374">
        <f>G1373+0.0001</f>
        <v/>
      </c>
    </row>
    <row r="1375">
      <c r="G1375">
        <f>G1374+0.0001</f>
        <v/>
      </c>
    </row>
    <row r="1376">
      <c r="G1376">
        <f>G1375+0.0001</f>
        <v/>
      </c>
    </row>
    <row r="1377">
      <c r="G1377">
        <f>G1376+0.0001</f>
        <v/>
      </c>
    </row>
    <row r="1378">
      <c r="G1378">
        <f>G1377+0.0001</f>
        <v/>
      </c>
    </row>
    <row r="1379">
      <c r="G1379">
        <f>G1378+0.0001</f>
        <v/>
      </c>
    </row>
    <row r="1380">
      <c r="G1380">
        <f>G1379+0.0001</f>
        <v/>
      </c>
    </row>
    <row r="1381">
      <c r="G1381">
        <f>G1380+0.0001</f>
        <v/>
      </c>
    </row>
    <row r="1382">
      <c r="G1382">
        <f>G1381+0.0001</f>
        <v/>
      </c>
    </row>
    <row r="1383">
      <c r="G1383">
        <f>G1382+0.0001</f>
        <v/>
      </c>
    </row>
    <row r="1384">
      <c r="G1384">
        <f>G1383+0.0001</f>
        <v/>
      </c>
    </row>
    <row r="1385">
      <c r="G1385">
        <f>G1384+0.0001</f>
        <v/>
      </c>
    </row>
    <row r="1386">
      <c r="G1386">
        <f>G1385+0.0001</f>
        <v/>
      </c>
    </row>
    <row r="1387">
      <c r="G1387">
        <f>G1386+0.0001</f>
        <v/>
      </c>
    </row>
    <row r="1388">
      <c r="G1388">
        <f>G1387+0.0001</f>
        <v/>
      </c>
    </row>
    <row r="1389">
      <c r="G1389">
        <f>G1388+0.0001</f>
        <v/>
      </c>
    </row>
    <row r="1390">
      <c r="G1390">
        <f>G1389+0.0001</f>
        <v/>
      </c>
    </row>
    <row r="1391">
      <c r="G1391">
        <f>G1390+0.0001</f>
        <v/>
      </c>
    </row>
    <row r="1392">
      <c r="G1392">
        <f>G1391+0.0001</f>
        <v/>
      </c>
    </row>
    <row r="1393">
      <c r="G1393">
        <f>G1392+0.0001</f>
        <v/>
      </c>
    </row>
    <row r="1394">
      <c r="G1394">
        <f>G1393+0.0001</f>
        <v/>
      </c>
    </row>
    <row r="1395">
      <c r="G1395">
        <f>G1394+0.0001</f>
        <v/>
      </c>
    </row>
    <row r="1396">
      <c r="G1396">
        <f>G1395+0.0001</f>
        <v/>
      </c>
    </row>
    <row r="1397">
      <c r="G1397">
        <f>G1396+0.0001</f>
        <v/>
      </c>
    </row>
    <row r="1398">
      <c r="G1398">
        <f>G1397+0.0001</f>
        <v/>
      </c>
    </row>
    <row r="1399">
      <c r="G1399">
        <f>G1398+0.0001</f>
        <v/>
      </c>
    </row>
    <row r="1400">
      <c r="G1400">
        <f>G1399+0.0001</f>
        <v/>
      </c>
    </row>
    <row r="1401">
      <c r="G1401">
        <f>G1400+0.0001</f>
        <v/>
      </c>
    </row>
    <row r="1402">
      <c r="G1402">
        <f>G1401+0.0001</f>
        <v/>
      </c>
    </row>
    <row r="1403">
      <c r="G1403">
        <f>G1402+0.0001</f>
        <v/>
      </c>
    </row>
    <row r="1404">
      <c r="G1404">
        <f>G1403+0.0001</f>
        <v/>
      </c>
    </row>
    <row r="1405">
      <c r="G1405">
        <f>G1404+0.0001</f>
        <v/>
      </c>
    </row>
    <row r="1406">
      <c r="G1406">
        <f>G1405+0.0001</f>
        <v/>
      </c>
    </row>
    <row r="1407">
      <c r="G1407">
        <f>G1406+0.0001</f>
        <v/>
      </c>
    </row>
    <row r="1408">
      <c r="G1408">
        <f>G1407+0.0001</f>
        <v/>
      </c>
    </row>
    <row r="1409">
      <c r="G1409">
        <f>G1408+0.0001</f>
        <v/>
      </c>
    </row>
    <row r="1410">
      <c r="G1410">
        <f>G1409+0.0001</f>
        <v/>
      </c>
    </row>
    <row r="1411">
      <c r="G1411">
        <f>G1410+0.0001</f>
        <v/>
      </c>
    </row>
    <row r="1412">
      <c r="G1412">
        <f>G1411+0.0001</f>
        <v/>
      </c>
    </row>
    <row r="1413">
      <c r="G1413">
        <f>G1412+0.0001</f>
        <v/>
      </c>
    </row>
    <row r="1414">
      <c r="G1414">
        <f>G1413+0.0001</f>
        <v/>
      </c>
    </row>
    <row r="1415">
      <c r="G1415">
        <f>G1414+0.0001</f>
        <v/>
      </c>
    </row>
    <row r="1416">
      <c r="G1416">
        <f>G1415+0.0001</f>
        <v/>
      </c>
    </row>
    <row r="1417">
      <c r="G1417">
        <f>G1416+0.0001</f>
        <v/>
      </c>
    </row>
    <row r="1418">
      <c r="G1418">
        <f>G1417+0.0001</f>
        <v/>
      </c>
    </row>
    <row r="1419">
      <c r="G1419">
        <f>G1418+0.0001</f>
        <v/>
      </c>
    </row>
    <row r="1420">
      <c r="G1420">
        <f>G1419+0.0001</f>
        <v/>
      </c>
    </row>
    <row r="1421">
      <c r="G1421">
        <f>G1420+0.0001</f>
        <v/>
      </c>
    </row>
    <row r="1422">
      <c r="G1422">
        <f>G1421+0.0001</f>
        <v/>
      </c>
    </row>
    <row r="1423">
      <c r="G1423">
        <f>G1422+0.0001</f>
        <v/>
      </c>
    </row>
    <row r="1424">
      <c r="G1424">
        <f>G1423+0.0001</f>
        <v/>
      </c>
    </row>
    <row r="1425">
      <c r="G1425">
        <f>G1424+0.0001</f>
        <v/>
      </c>
    </row>
    <row r="1426">
      <c r="G1426">
        <f>G1425+0.0001</f>
        <v/>
      </c>
    </row>
    <row r="1427">
      <c r="G1427">
        <f>G1426+0.0001</f>
        <v/>
      </c>
    </row>
    <row r="1428">
      <c r="G1428">
        <f>G1427+0.0001</f>
        <v/>
      </c>
    </row>
    <row r="1429">
      <c r="G1429">
        <f>G1428+0.0001</f>
        <v/>
      </c>
    </row>
    <row r="1430">
      <c r="G1430">
        <f>G1429+0.0001</f>
        <v/>
      </c>
    </row>
    <row r="1431">
      <c r="G1431">
        <f>G1430+0.0001</f>
        <v/>
      </c>
    </row>
    <row r="1432">
      <c r="G1432">
        <f>G1431+0.0001</f>
        <v/>
      </c>
    </row>
    <row r="1433">
      <c r="G1433">
        <f>G1432+0.0001</f>
        <v/>
      </c>
    </row>
    <row r="1434">
      <c r="G1434">
        <f>G1433+0.0001</f>
        <v/>
      </c>
    </row>
    <row r="1435">
      <c r="G1435">
        <f>G1434+0.0001</f>
        <v/>
      </c>
    </row>
    <row r="1436">
      <c r="G1436">
        <f>G1435+0.0001</f>
        <v/>
      </c>
    </row>
    <row r="1437">
      <c r="G1437">
        <f>G1436+0.0001</f>
        <v/>
      </c>
    </row>
    <row r="1438">
      <c r="G1438">
        <f>G1437+0.0001</f>
        <v/>
      </c>
    </row>
    <row r="1439">
      <c r="G1439">
        <f>G1438+0.0001</f>
        <v/>
      </c>
    </row>
    <row r="1440">
      <c r="G1440">
        <f>G1439+0.0001</f>
        <v/>
      </c>
    </row>
    <row r="1441">
      <c r="G1441">
        <f>G1440+0.0001</f>
        <v/>
      </c>
    </row>
    <row r="1442">
      <c r="G1442">
        <f>G1441+0.0001</f>
        <v/>
      </c>
    </row>
    <row r="1443">
      <c r="G1443">
        <f>G1442+0.0001</f>
        <v/>
      </c>
    </row>
    <row r="1444">
      <c r="G1444">
        <f>G1443+0.0001</f>
        <v/>
      </c>
    </row>
    <row r="1445">
      <c r="G1445">
        <f>G1444+0.0001</f>
        <v/>
      </c>
    </row>
    <row r="1446">
      <c r="G1446">
        <f>G1445+0.0001</f>
        <v/>
      </c>
    </row>
    <row r="1447">
      <c r="G1447">
        <f>G1446+0.0001</f>
        <v/>
      </c>
    </row>
    <row r="1448">
      <c r="G1448">
        <f>G1447+0.0001</f>
        <v/>
      </c>
    </row>
    <row r="1449">
      <c r="G1449">
        <f>G1448+0.0001</f>
        <v/>
      </c>
    </row>
    <row r="1450">
      <c r="G1450">
        <f>G1449+0.0001</f>
        <v/>
      </c>
    </row>
    <row r="1451">
      <c r="G1451">
        <f>G1450+0.0001</f>
        <v/>
      </c>
    </row>
    <row r="1452">
      <c r="G1452">
        <f>G1451+0.0001</f>
        <v/>
      </c>
    </row>
    <row r="1453">
      <c r="G1453">
        <f>G1452+0.0001</f>
        <v/>
      </c>
    </row>
    <row r="1454">
      <c r="G1454">
        <f>G1453+0.0001</f>
        <v/>
      </c>
    </row>
    <row r="1455">
      <c r="G1455">
        <f>G1454+0.0001</f>
        <v/>
      </c>
    </row>
    <row r="1456">
      <c r="G1456">
        <f>G1455+0.0001</f>
        <v/>
      </c>
    </row>
    <row r="1457">
      <c r="G1457">
        <f>G1456+0.0001</f>
        <v/>
      </c>
    </row>
    <row r="1458">
      <c r="G1458">
        <f>G1457+0.0001</f>
        <v/>
      </c>
    </row>
    <row r="1459">
      <c r="G1459">
        <f>G1458+0.0001</f>
        <v/>
      </c>
    </row>
    <row r="1460">
      <c r="G1460">
        <f>G1459+0.0001</f>
        <v/>
      </c>
    </row>
    <row r="1461">
      <c r="G1461">
        <f>G1460+0.0001</f>
        <v/>
      </c>
    </row>
    <row r="1462">
      <c r="G1462">
        <f>G1461+0.0001</f>
        <v/>
      </c>
    </row>
    <row r="1463">
      <c r="G1463">
        <f>G1462+0.0001</f>
        <v/>
      </c>
    </row>
    <row r="1464">
      <c r="G1464">
        <f>G1463+0.0001</f>
        <v/>
      </c>
    </row>
    <row r="1465">
      <c r="G1465">
        <f>G1464+0.0001</f>
        <v/>
      </c>
    </row>
    <row r="1466">
      <c r="G1466">
        <f>G1465+0.0001</f>
        <v/>
      </c>
    </row>
    <row r="1467">
      <c r="G1467">
        <f>G1466+0.0001</f>
        <v/>
      </c>
    </row>
    <row r="1468">
      <c r="G1468">
        <f>G1467+0.0001</f>
        <v/>
      </c>
    </row>
    <row r="1469">
      <c r="G1469">
        <f>G1468+0.0001</f>
        <v/>
      </c>
    </row>
    <row r="1470">
      <c r="G1470">
        <f>G1469+0.0001</f>
        <v/>
      </c>
    </row>
    <row r="1471">
      <c r="G1471">
        <f>G1470+0.0001</f>
        <v/>
      </c>
    </row>
    <row r="1472">
      <c r="G1472">
        <f>G1471+0.0001</f>
        <v/>
      </c>
    </row>
    <row r="1473">
      <c r="G1473">
        <f>G1472+0.0001</f>
        <v/>
      </c>
    </row>
    <row r="1474">
      <c r="G1474">
        <f>G1473+0.0001</f>
        <v/>
      </c>
    </row>
    <row r="1475">
      <c r="G1475">
        <f>G1474+0.0001</f>
        <v/>
      </c>
    </row>
    <row r="1476">
      <c r="G1476">
        <f>G1475+0.0001</f>
        <v/>
      </c>
    </row>
    <row r="1477">
      <c r="G1477">
        <f>G1476+0.0001</f>
        <v/>
      </c>
    </row>
    <row r="1478">
      <c r="G1478">
        <f>G1477+0.0001</f>
        <v/>
      </c>
    </row>
    <row r="1479">
      <c r="G1479">
        <f>G1478+0.0001</f>
        <v/>
      </c>
    </row>
    <row r="1480">
      <c r="G1480">
        <f>G1479+0.0001</f>
        <v/>
      </c>
    </row>
    <row r="1481">
      <c r="G1481">
        <f>G1480+0.0001</f>
        <v/>
      </c>
    </row>
    <row r="1482">
      <c r="G1482">
        <f>G1481+0.0001</f>
        <v/>
      </c>
    </row>
    <row r="1483">
      <c r="G1483">
        <f>G1482+0.0001</f>
        <v/>
      </c>
    </row>
    <row r="1484">
      <c r="G1484">
        <f>G1483+0.0001</f>
        <v/>
      </c>
    </row>
    <row r="1485">
      <c r="G1485">
        <f>G1484+0.0001</f>
        <v/>
      </c>
    </row>
    <row r="1486">
      <c r="G1486">
        <f>G1485+0.0001</f>
        <v/>
      </c>
    </row>
    <row r="1487">
      <c r="G1487">
        <f>G1486+0.0001</f>
        <v/>
      </c>
    </row>
    <row r="1488">
      <c r="G1488">
        <f>G1487+0.0001</f>
        <v/>
      </c>
    </row>
    <row r="1489">
      <c r="G1489">
        <f>G1488+0.0001</f>
        <v/>
      </c>
    </row>
    <row r="1490">
      <c r="G1490">
        <f>G1489+0.0001</f>
        <v/>
      </c>
    </row>
    <row r="1491">
      <c r="G1491">
        <f>G1490+0.0001</f>
        <v/>
      </c>
    </row>
    <row r="1492">
      <c r="G1492">
        <f>G1491+0.0001</f>
        <v/>
      </c>
    </row>
    <row r="1493">
      <c r="G1493">
        <f>G1492+0.0001</f>
        <v/>
      </c>
    </row>
    <row r="1494">
      <c r="G1494">
        <f>G1493+0.0001</f>
        <v/>
      </c>
    </row>
    <row r="1495">
      <c r="G1495">
        <f>G1494+0.0001</f>
        <v/>
      </c>
    </row>
    <row r="1496">
      <c r="G1496">
        <f>G1495+0.0001</f>
        <v/>
      </c>
    </row>
    <row r="1497">
      <c r="G1497">
        <f>G1496+0.0001</f>
        <v/>
      </c>
    </row>
    <row r="1498">
      <c r="G1498">
        <f>G1497+0.0001</f>
        <v/>
      </c>
    </row>
    <row r="1499">
      <c r="G1499">
        <f>G1498+0.0001</f>
        <v/>
      </c>
    </row>
    <row r="1500">
      <c r="G1500">
        <f>G1499+0.0001</f>
        <v/>
      </c>
    </row>
    <row r="1501">
      <c r="G1501">
        <f>G1500+0.0001</f>
        <v/>
      </c>
    </row>
    <row r="1502">
      <c r="G1502">
        <f>G1501+0.0001</f>
        <v/>
      </c>
    </row>
    <row r="1503">
      <c r="G1503">
        <f>G1502+0.0001</f>
        <v/>
      </c>
    </row>
    <row r="1504">
      <c r="G1504">
        <f>G1503+0.0001</f>
        <v/>
      </c>
    </row>
    <row r="1505">
      <c r="G1505">
        <f>G1504+0.0001</f>
        <v/>
      </c>
    </row>
    <row r="1506">
      <c r="G1506">
        <f>G1505+0.0001</f>
        <v/>
      </c>
    </row>
    <row r="1507">
      <c r="G1507">
        <f>G1506+0.0001</f>
        <v/>
      </c>
    </row>
    <row r="1508">
      <c r="G1508">
        <f>G1507+0.0001</f>
        <v/>
      </c>
    </row>
    <row r="1509">
      <c r="G1509">
        <f>G1508+0.0001</f>
        <v/>
      </c>
    </row>
    <row r="1510">
      <c r="G1510">
        <f>G1509+0.0001</f>
        <v/>
      </c>
    </row>
    <row r="1511">
      <c r="G1511">
        <f>G1510+0.0001</f>
        <v/>
      </c>
    </row>
    <row r="1512">
      <c r="G1512">
        <f>G1511+0.0001</f>
        <v/>
      </c>
    </row>
    <row r="1513">
      <c r="G1513">
        <f>G1512+0.0001</f>
        <v/>
      </c>
    </row>
    <row r="1514">
      <c r="G1514">
        <f>G1513+0.0001</f>
        <v/>
      </c>
    </row>
    <row r="1515">
      <c r="G1515">
        <f>G1514+0.0001</f>
        <v/>
      </c>
    </row>
    <row r="1516">
      <c r="G1516">
        <f>G1515+0.0001</f>
        <v/>
      </c>
    </row>
    <row r="1517">
      <c r="G1517">
        <f>G1516+0.0001</f>
        <v/>
      </c>
    </row>
    <row r="1518">
      <c r="G1518">
        <f>G1517+0.0001</f>
        <v/>
      </c>
    </row>
    <row r="1519">
      <c r="G1519">
        <f>G1518+0.0001</f>
        <v/>
      </c>
    </row>
    <row r="1520">
      <c r="G1520">
        <f>G1519+0.0001</f>
        <v/>
      </c>
    </row>
    <row r="1521">
      <c r="G1521">
        <f>G1520+0.0001</f>
        <v/>
      </c>
    </row>
    <row r="1522">
      <c r="G1522">
        <f>G1521+0.0001</f>
        <v/>
      </c>
    </row>
    <row r="1523">
      <c r="G1523">
        <f>G1522+0.0001</f>
        <v/>
      </c>
    </row>
    <row r="1524">
      <c r="G1524">
        <f>G1523+0.0001</f>
        <v/>
      </c>
    </row>
    <row r="1525">
      <c r="G1525">
        <f>G1524+0.0001</f>
        <v/>
      </c>
    </row>
    <row r="1526">
      <c r="G1526">
        <f>G1525+0.0001</f>
        <v/>
      </c>
    </row>
    <row r="1527">
      <c r="G1527">
        <f>G1526+0.0001</f>
        <v/>
      </c>
    </row>
    <row r="1528">
      <c r="G1528">
        <f>G1527+0.0001</f>
        <v/>
      </c>
    </row>
    <row r="1529">
      <c r="G1529">
        <f>G1528+0.0001</f>
        <v/>
      </c>
    </row>
    <row r="1530">
      <c r="G1530">
        <f>G1529+0.0001</f>
        <v/>
      </c>
    </row>
    <row r="1531">
      <c r="G1531">
        <f>G1530+0.0001</f>
        <v/>
      </c>
    </row>
    <row r="1532">
      <c r="G1532">
        <f>G1531+0.0001</f>
        <v/>
      </c>
    </row>
    <row r="1533">
      <c r="G1533">
        <f>G1532+0.0001</f>
        <v/>
      </c>
    </row>
    <row r="1534">
      <c r="G1534">
        <f>G1533+0.0001</f>
        <v/>
      </c>
    </row>
    <row r="1535">
      <c r="G1535">
        <f>G1534+0.0001</f>
        <v/>
      </c>
    </row>
    <row r="1536">
      <c r="G1536">
        <f>G1535+0.0001</f>
        <v/>
      </c>
    </row>
    <row r="1537">
      <c r="G1537">
        <f>G1536+0.0001</f>
        <v/>
      </c>
    </row>
    <row r="1538">
      <c r="G1538">
        <f>G1537+0.0001</f>
        <v/>
      </c>
    </row>
    <row r="1539">
      <c r="G1539">
        <f>G1538+0.0001</f>
        <v/>
      </c>
    </row>
    <row r="1540">
      <c r="G1540">
        <f>G1539+0.0001</f>
        <v/>
      </c>
    </row>
    <row r="1541">
      <c r="G1541">
        <f>G1540+0.0001</f>
        <v/>
      </c>
    </row>
    <row r="1542">
      <c r="G1542">
        <f>G1541+0.0001</f>
        <v/>
      </c>
    </row>
    <row r="1543">
      <c r="G1543">
        <f>G1542+0.0001</f>
        <v/>
      </c>
    </row>
    <row r="1544">
      <c r="G1544">
        <f>G1543+0.0001</f>
        <v/>
      </c>
    </row>
    <row r="1545">
      <c r="G1545">
        <f>G1544+0.0001</f>
        <v/>
      </c>
    </row>
    <row r="1546">
      <c r="G1546">
        <f>G1545+0.0001</f>
        <v/>
      </c>
    </row>
    <row r="1547">
      <c r="G1547">
        <f>G1546+0.0001</f>
        <v/>
      </c>
    </row>
    <row r="1548">
      <c r="G1548">
        <f>G1547+0.0001</f>
        <v/>
      </c>
    </row>
    <row r="1549">
      <c r="G1549">
        <f>G1548+0.0001</f>
        <v/>
      </c>
    </row>
    <row r="1550">
      <c r="G1550">
        <f>G1549+0.0001</f>
        <v/>
      </c>
    </row>
    <row r="1551">
      <c r="G1551">
        <f>G1550+0.0001</f>
        <v/>
      </c>
    </row>
    <row r="1552">
      <c r="G1552">
        <f>G1551+0.0001</f>
        <v/>
      </c>
    </row>
    <row r="1553">
      <c r="G1553">
        <f>G1552+0.0001</f>
        <v/>
      </c>
    </row>
    <row r="1554">
      <c r="G1554">
        <f>G1553+0.0001</f>
        <v/>
      </c>
    </row>
    <row r="1555">
      <c r="G1555">
        <f>G1554+0.0001</f>
        <v/>
      </c>
    </row>
    <row r="1556">
      <c r="G1556">
        <f>G1555+0.0001</f>
        <v/>
      </c>
    </row>
    <row r="1557">
      <c r="G1557">
        <f>G1556+0.0001</f>
        <v/>
      </c>
    </row>
    <row r="1558">
      <c r="G1558">
        <f>G1557+0.0001</f>
        <v/>
      </c>
    </row>
    <row r="1559">
      <c r="G1559">
        <f>G1558+0.0001</f>
        <v/>
      </c>
    </row>
    <row r="1560">
      <c r="G1560">
        <f>G1559+0.0001</f>
        <v/>
      </c>
    </row>
    <row r="1561">
      <c r="G1561">
        <f>G1560+0.0001</f>
        <v/>
      </c>
    </row>
    <row r="1562">
      <c r="G1562">
        <f>G1561+0.0001</f>
        <v/>
      </c>
    </row>
    <row r="1563">
      <c r="G1563">
        <f>G1562+0.0001</f>
        <v/>
      </c>
    </row>
    <row r="1564">
      <c r="G1564">
        <f>G1563+0.0001</f>
        <v/>
      </c>
    </row>
    <row r="1565">
      <c r="G1565">
        <f>G1564+0.0001</f>
        <v/>
      </c>
    </row>
    <row r="1566">
      <c r="G1566">
        <f>G1565+0.0001</f>
        <v/>
      </c>
    </row>
    <row r="1567">
      <c r="G1567">
        <f>G1566+0.0001</f>
        <v/>
      </c>
    </row>
    <row r="1568">
      <c r="G1568">
        <f>G1567+0.0001</f>
        <v/>
      </c>
    </row>
    <row r="1569">
      <c r="G1569">
        <f>G1568+0.0001</f>
        <v/>
      </c>
    </row>
    <row r="1570">
      <c r="G1570">
        <f>G1569+0.0001</f>
        <v/>
      </c>
    </row>
    <row r="1571">
      <c r="G1571">
        <f>G1570+0.0001</f>
        <v/>
      </c>
    </row>
    <row r="1572">
      <c r="G1572">
        <f>G1571+0.0001</f>
        <v/>
      </c>
    </row>
    <row r="1573">
      <c r="G1573">
        <f>G1572+0.0001</f>
        <v/>
      </c>
    </row>
    <row r="1574">
      <c r="G1574">
        <f>G1573+0.0001</f>
        <v/>
      </c>
    </row>
    <row r="1575">
      <c r="G1575">
        <f>G1574+0.0001</f>
        <v/>
      </c>
    </row>
    <row r="1576">
      <c r="G1576">
        <f>G1575+0.0001</f>
        <v/>
      </c>
    </row>
    <row r="1577">
      <c r="G1577">
        <f>G1576+0.0001</f>
        <v/>
      </c>
    </row>
    <row r="1578">
      <c r="G1578">
        <f>G1577+0.0001</f>
        <v/>
      </c>
    </row>
    <row r="1579">
      <c r="G1579">
        <f>G1578+0.0001</f>
        <v/>
      </c>
    </row>
    <row r="1580">
      <c r="G1580">
        <f>G1579+0.0001</f>
        <v/>
      </c>
    </row>
    <row r="1581">
      <c r="G1581">
        <f>G1580+0.0001</f>
        <v/>
      </c>
    </row>
    <row r="1582">
      <c r="G1582">
        <f>G1581+0.0001</f>
        <v/>
      </c>
    </row>
    <row r="1583">
      <c r="G1583">
        <f>G1582+0.0001</f>
        <v/>
      </c>
    </row>
    <row r="1584">
      <c r="G1584">
        <f>G1583+0.0001</f>
        <v/>
      </c>
    </row>
    <row r="1585">
      <c r="G1585">
        <f>G1584+0.0001</f>
        <v/>
      </c>
    </row>
    <row r="1586">
      <c r="G1586">
        <f>G1585+0.0001</f>
        <v/>
      </c>
    </row>
    <row r="1587">
      <c r="G1587">
        <f>G1586+0.0001</f>
        <v/>
      </c>
    </row>
    <row r="1588">
      <c r="G1588">
        <f>G1587+0.0001</f>
        <v/>
      </c>
    </row>
    <row r="1589">
      <c r="G1589">
        <f>G1588+0.0001</f>
        <v/>
      </c>
    </row>
    <row r="1590">
      <c r="G1590">
        <f>G1589+0.0001</f>
        <v/>
      </c>
    </row>
    <row r="1591">
      <c r="G1591">
        <f>G1590+0.0001</f>
        <v/>
      </c>
    </row>
    <row r="1592">
      <c r="G1592">
        <f>G1591+0.0001</f>
        <v/>
      </c>
    </row>
    <row r="1593">
      <c r="G1593">
        <f>G1592+0.0001</f>
        <v/>
      </c>
    </row>
    <row r="1594">
      <c r="G1594">
        <f>G1593+0.0001</f>
        <v/>
      </c>
    </row>
    <row r="1595">
      <c r="G1595">
        <f>G1594+0.0001</f>
        <v/>
      </c>
    </row>
    <row r="1596">
      <c r="G1596">
        <f>G1595+0.0001</f>
        <v/>
      </c>
    </row>
    <row r="1597">
      <c r="G1597">
        <f>G1596+0.0001</f>
        <v/>
      </c>
    </row>
    <row r="1598">
      <c r="G1598">
        <f>G1597+0.0001</f>
        <v/>
      </c>
    </row>
    <row r="1599">
      <c r="G1599">
        <f>G1598+0.0001</f>
        <v/>
      </c>
    </row>
    <row r="1600">
      <c r="G1600">
        <f>G1599+0.0001</f>
        <v/>
      </c>
    </row>
    <row r="1601">
      <c r="G1601">
        <f>G1600+0.0001</f>
        <v/>
      </c>
    </row>
    <row r="1602">
      <c r="G1602">
        <f>G1601+0.0001</f>
        <v/>
      </c>
    </row>
    <row r="1603">
      <c r="G1603">
        <f>G1602+0.0001</f>
        <v/>
      </c>
    </row>
    <row r="1604">
      <c r="G1604">
        <f>G1603+0.0001</f>
        <v/>
      </c>
    </row>
    <row r="1605">
      <c r="G1605">
        <f>G1604+0.0001</f>
        <v/>
      </c>
    </row>
    <row r="1606">
      <c r="G1606">
        <f>G1605+0.0001</f>
        <v/>
      </c>
    </row>
    <row r="1607">
      <c r="G1607">
        <f>G1606+0.0001</f>
        <v/>
      </c>
    </row>
    <row r="1608">
      <c r="G1608">
        <f>G1607+0.0001</f>
        <v/>
      </c>
    </row>
    <row r="1609">
      <c r="G1609">
        <f>G1608+0.0001</f>
        <v/>
      </c>
    </row>
    <row r="1610">
      <c r="G1610">
        <f>G1609+0.0001</f>
        <v/>
      </c>
    </row>
    <row r="1611">
      <c r="G1611">
        <f>G1610+0.0001</f>
        <v/>
      </c>
    </row>
    <row r="1612">
      <c r="G1612">
        <f>G1611+0.0001</f>
        <v/>
      </c>
    </row>
    <row r="1613">
      <c r="G1613">
        <f>G1612+0.0001</f>
        <v/>
      </c>
    </row>
    <row r="1614">
      <c r="G1614">
        <f>G1613+0.0001</f>
        <v/>
      </c>
    </row>
    <row r="1615">
      <c r="G1615">
        <f>G1614+0.0001</f>
        <v/>
      </c>
    </row>
    <row r="1616">
      <c r="G1616">
        <f>G1615+0.0001</f>
        <v/>
      </c>
    </row>
    <row r="1617">
      <c r="G1617">
        <f>G1616+0.0001</f>
        <v/>
      </c>
    </row>
    <row r="1618">
      <c r="G1618">
        <f>G1617+0.0001</f>
        <v/>
      </c>
    </row>
    <row r="1619">
      <c r="G1619">
        <f>G1618+0.0001</f>
        <v/>
      </c>
    </row>
    <row r="1620">
      <c r="G1620">
        <f>G1619+0.0001</f>
        <v/>
      </c>
    </row>
    <row r="1621">
      <c r="G1621">
        <f>G1620+0.0001</f>
        <v/>
      </c>
    </row>
    <row r="1622">
      <c r="G1622">
        <f>G1621+0.0001</f>
        <v/>
      </c>
    </row>
    <row r="1623">
      <c r="G1623">
        <f>G1622+0.0001</f>
        <v/>
      </c>
    </row>
    <row r="1624">
      <c r="G1624">
        <f>G1623+0.0001</f>
        <v/>
      </c>
    </row>
    <row r="1625">
      <c r="G1625">
        <f>G1624+0.0001</f>
        <v/>
      </c>
    </row>
    <row r="1626">
      <c r="G1626">
        <f>G1625+0.0001</f>
        <v/>
      </c>
    </row>
    <row r="1627">
      <c r="G1627">
        <f>G1626+0.0001</f>
        <v/>
      </c>
    </row>
    <row r="1628">
      <c r="G1628">
        <f>G1627+0.0001</f>
        <v/>
      </c>
    </row>
    <row r="1629">
      <c r="G1629">
        <f>G1628+0.0001</f>
        <v/>
      </c>
    </row>
    <row r="1630">
      <c r="G1630">
        <f>G1629+0.0001</f>
        <v/>
      </c>
    </row>
    <row r="1631">
      <c r="G1631">
        <f>G1630+0.0001</f>
        <v/>
      </c>
    </row>
    <row r="1632">
      <c r="G1632">
        <f>G1631+0.0001</f>
        <v/>
      </c>
    </row>
    <row r="1633">
      <c r="G1633">
        <f>G1632+0.0001</f>
        <v/>
      </c>
    </row>
    <row r="1634">
      <c r="G1634">
        <f>G1633+0.0001</f>
        <v/>
      </c>
    </row>
    <row r="1635">
      <c r="G1635">
        <f>G1634+0.0001</f>
        <v/>
      </c>
    </row>
    <row r="1636">
      <c r="G1636">
        <f>G1635+0.0001</f>
        <v/>
      </c>
    </row>
    <row r="1637">
      <c r="G1637">
        <f>G1636+0.0001</f>
        <v/>
      </c>
    </row>
    <row r="1638">
      <c r="G1638">
        <f>G1637+0.0001</f>
        <v/>
      </c>
    </row>
    <row r="1639">
      <c r="G1639">
        <f>G1638+0.0001</f>
        <v/>
      </c>
    </row>
    <row r="1640">
      <c r="G1640">
        <f>G1639+0.0001</f>
        <v/>
      </c>
    </row>
    <row r="1641">
      <c r="G1641">
        <f>G1640+0.0001</f>
        <v/>
      </c>
    </row>
    <row r="1642">
      <c r="G1642">
        <f>G1641+0.0001</f>
        <v/>
      </c>
    </row>
    <row r="1643">
      <c r="G1643">
        <f>G1642+0.0001</f>
        <v/>
      </c>
    </row>
    <row r="1644">
      <c r="G1644">
        <f>G1643+0.0001</f>
        <v/>
      </c>
    </row>
    <row r="1645">
      <c r="G1645">
        <f>G1644+0.0001</f>
        <v/>
      </c>
    </row>
    <row r="1646">
      <c r="G1646">
        <f>G1645+0.0001</f>
        <v/>
      </c>
    </row>
    <row r="1647">
      <c r="G1647">
        <f>G1646+0.0001</f>
        <v/>
      </c>
    </row>
    <row r="1648">
      <c r="G1648">
        <f>G1647+0.0001</f>
        <v/>
      </c>
    </row>
    <row r="1649">
      <c r="G1649">
        <f>G1648+0.0001</f>
        <v/>
      </c>
    </row>
    <row r="1650">
      <c r="G1650">
        <f>G1649+0.0001</f>
        <v/>
      </c>
    </row>
    <row r="1651">
      <c r="G1651">
        <f>G1650+0.0001</f>
        <v/>
      </c>
    </row>
    <row r="1652">
      <c r="G1652">
        <f>G1651+0.0001</f>
        <v/>
      </c>
    </row>
    <row r="1653">
      <c r="G1653">
        <f>G1652+0.0001</f>
        <v/>
      </c>
    </row>
    <row r="1654">
      <c r="G1654">
        <f>G1653+0.0001</f>
        <v/>
      </c>
    </row>
    <row r="1655">
      <c r="G1655">
        <f>G1654+0.0001</f>
        <v/>
      </c>
    </row>
    <row r="1656">
      <c r="G1656">
        <f>G1655+0.0001</f>
        <v/>
      </c>
    </row>
    <row r="1657">
      <c r="G1657">
        <f>G1656+0.0001</f>
        <v/>
      </c>
    </row>
    <row r="1658">
      <c r="G1658">
        <f>G1657+0.0001</f>
        <v/>
      </c>
    </row>
    <row r="1659">
      <c r="G1659">
        <f>G1658+0.0001</f>
        <v/>
      </c>
    </row>
    <row r="1660">
      <c r="G1660">
        <f>G1659+0.0001</f>
        <v/>
      </c>
    </row>
    <row r="1661">
      <c r="G1661">
        <f>G1660+0.0001</f>
        <v/>
      </c>
    </row>
    <row r="1662">
      <c r="G1662">
        <f>G1661+0.0001</f>
        <v/>
      </c>
    </row>
    <row r="1663">
      <c r="G1663">
        <f>G1662+0.0001</f>
        <v/>
      </c>
    </row>
    <row r="1664">
      <c r="G1664">
        <f>G1663+0.0001</f>
        <v/>
      </c>
    </row>
    <row r="1665">
      <c r="G1665">
        <f>G1664+0.0001</f>
        <v/>
      </c>
    </row>
    <row r="1666">
      <c r="G1666">
        <f>G1665+0.0001</f>
        <v/>
      </c>
    </row>
    <row r="1667">
      <c r="G1667">
        <f>G1666+0.0001</f>
        <v/>
      </c>
    </row>
    <row r="1668">
      <c r="G1668">
        <f>G1667+0.0001</f>
        <v/>
      </c>
    </row>
    <row r="1669">
      <c r="G1669">
        <f>G1668+0.0001</f>
        <v/>
      </c>
    </row>
    <row r="1670">
      <c r="G1670">
        <f>G1669+0.0001</f>
        <v/>
      </c>
    </row>
    <row r="1671">
      <c r="G1671">
        <f>G1670+0.0001</f>
        <v/>
      </c>
    </row>
    <row r="1672">
      <c r="G1672">
        <f>G1671+0.0001</f>
        <v/>
      </c>
    </row>
    <row r="1673">
      <c r="G1673">
        <f>G1672+0.0001</f>
        <v/>
      </c>
    </row>
    <row r="1674">
      <c r="G1674">
        <f>G1673+0.0001</f>
        <v/>
      </c>
    </row>
    <row r="1675">
      <c r="G1675">
        <f>G1674+0.0001</f>
        <v/>
      </c>
    </row>
    <row r="1676">
      <c r="G1676">
        <f>G1675+0.0001</f>
        <v/>
      </c>
    </row>
    <row r="1677">
      <c r="G1677">
        <f>G1676+0.0001</f>
        <v/>
      </c>
    </row>
    <row r="1678">
      <c r="G1678">
        <f>G1677+0.0001</f>
        <v/>
      </c>
    </row>
    <row r="1679">
      <c r="G1679">
        <f>G1678+0.0001</f>
        <v/>
      </c>
    </row>
    <row r="1680">
      <c r="G1680">
        <f>G1679+0.0001</f>
        <v/>
      </c>
    </row>
    <row r="1681">
      <c r="G1681">
        <f>G1680+0.0001</f>
        <v/>
      </c>
    </row>
    <row r="1682">
      <c r="G1682">
        <f>G1681+0.0001</f>
        <v/>
      </c>
    </row>
    <row r="1683">
      <c r="G1683">
        <f>G1682+0.0001</f>
        <v/>
      </c>
    </row>
    <row r="1684">
      <c r="G1684">
        <f>G1683+0.0001</f>
        <v/>
      </c>
    </row>
    <row r="1685">
      <c r="G1685">
        <f>G1684+0.0001</f>
        <v/>
      </c>
    </row>
    <row r="1686">
      <c r="G1686">
        <f>G1685+0.0001</f>
        <v/>
      </c>
    </row>
    <row r="1687">
      <c r="G1687">
        <f>G1686+0.0001</f>
        <v/>
      </c>
    </row>
    <row r="1688">
      <c r="G1688">
        <f>G1687+0.0001</f>
        <v/>
      </c>
    </row>
    <row r="1689">
      <c r="G1689">
        <f>G1688+0.0001</f>
        <v/>
      </c>
    </row>
    <row r="1690">
      <c r="G1690">
        <f>G1689+0.0001</f>
        <v/>
      </c>
    </row>
    <row r="1691">
      <c r="G1691">
        <f>G1690+0.0001</f>
        <v/>
      </c>
    </row>
    <row r="1692">
      <c r="G1692">
        <f>G1691+0.0001</f>
        <v/>
      </c>
    </row>
    <row r="1693">
      <c r="G1693">
        <f>G1692+0.0001</f>
        <v/>
      </c>
    </row>
    <row r="1694">
      <c r="G1694">
        <f>G1693+0.0001</f>
        <v/>
      </c>
    </row>
    <row r="1695">
      <c r="G1695">
        <f>G1694+0.0001</f>
        <v/>
      </c>
    </row>
    <row r="1696">
      <c r="G1696">
        <f>G1695+0.0001</f>
        <v/>
      </c>
    </row>
    <row r="1697">
      <c r="G1697">
        <f>G1696+0.0001</f>
        <v/>
      </c>
    </row>
    <row r="1698">
      <c r="G1698">
        <f>G1697+0.0001</f>
        <v/>
      </c>
    </row>
    <row r="1699">
      <c r="G1699">
        <f>G1698+0.0001</f>
        <v/>
      </c>
    </row>
    <row r="1700">
      <c r="G1700">
        <f>G1699+0.0001</f>
        <v/>
      </c>
    </row>
    <row r="1701">
      <c r="G1701">
        <f>G1700+0.0001</f>
        <v/>
      </c>
    </row>
    <row r="1702">
      <c r="G1702">
        <f>G1701+0.0001</f>
        <v/>
      </c>
    </row>
    <row r="1703">
      <c r="G1703">
        <f>G1702+0.0001</f>
        <v/>
      </c>
    </row>
    <row r="1704">
      <c r="G1704">
        <f>G1703+0.0001</f>
        <v/>
      </c>
    </row>
    <row r="1705">
      <c r="G1705">
        <f>G1704+0.0001</f>
        <v/>
      </c>
    </row>
    <row r="1706">
      <c r="G1706">
        <f>G1705+0.0001</f>
        <v/>
      </c>
    </row>
    <row r="1707">
      <c r="G1707">
        <f>G1706+0.0001</f>
        <v/>
      </c>
    </row>
    <row r="1708">
      <c r="G1708">
        <f>G1707+0.0001</f>
        <v/>
      </c>
    </row>
    <row r="1709">
      <c r="G1709">
        <f>G1708+0.0001</f>
        <v/>
      </c>
    </row>
    <row r="1710">
      <c r="G1710">
        <f>G1709+0.0001</f>
        <v/>
      </c>
    </row>
    <row r="1711">
      <c r="G1711">
        <f>G1710+0.0001</f>
        <v/>
      </c>
    </row>
    <row r="1712">
      <c r="G1712">
        <f>G1711+0.0001</f>
        <v/>
      </c>
    </row>
    <row r="1713">
      <c r="G1713">
        <f>G1712+0.0001</f>
        <v/>
      </c>
    </row>
    <row r="1714">
      <c r="G1714">
        <f>G1713+0.0001</f>
        <v/>
      </c>
    </row>
    <row r="1715">
      <c r="G1715">
        <f>G1714+0.0001</f>
        <v/>
      </c>
    </row>
    <row r="1716">
      <c r="G1716">
        <f>G1715+0.0001</f>
        <v/>
      </c>
    </row>
    <row r="1717">
      <c r="G1717">
        <f>G1716+0.0001</f>
        <v/>
      </c>
    </row>
    <row r="1718">
      <c r="G1718">
        <f>G1717+0.0001</f>
        <v/>
      </c>
    </row>
    <row r="1719">
      <c r="G1719">
        <f>G1718+0.0001</f>
        <v/>
      </c>
    </row>
    <row r="1720">
      <c r="G1720">
        <f>G1719+0.0001</f>
        <v/>
      </c>
    </row>
    <row r="1721">
      <c r="G1721">
        <f>G1720+0.0001</f>
        <v/>
      </c>
    </row>
    <row r="1722">
      <c r="G1722">
        <f>G1721+0.0001</f>
        <v/>
      </c>
    </row>
    <row r="1723">
      <c r="G1723">
        <f>G1722+0.0001</f>
        <v/>
      </c>
    </row>
    <row r="1724">
      <c r="G1724">
        <f>G1723+0.0001</f>
        <v/>
      </c>
    </row>
    <row r="1725">
      <c r="G1725">
        <f>G1724+0.0001</f>
        <v/>
      </c>
    </row>
    <row r="1726">
      <c r="G1726">
        <f>G1725+0.0001</f>
        <v/>
      </c>
    </row>
    <row r="1727">
      <c r="G1727">
        <f>G1726+0.0001</f>
        <v/>
      </c>
    </row>
    <row r="1728">
      <c r="G1728">
        <f>G1727+0.0001</f>
        <v/>
      </c>
    </row>
    <row r="1729">
      <c r="G1729">
        <f>G1728+0.0001</f>
        <v/>
      </c>
    </row>
    <row r="1730">
      <c r="G1730">
        <f>G1729+0.0001</f>
        <v/>
      </c>
    </row>
    <row r="1731">
      <c r="G1731">
        <f>G1730+0.0001</f>
        <v/>
      </c>
    </row>
    <row r="1732">
      <c r="G1732">
        <f>G1731+0.0001</f>
        <v/>
      </c>
    </row>
    <row r="1733">
      <c r="G1733">
        <f>G1732+0.0001</f>
        <v/>
      </c>
    </row>
    <row r="1734">
      <c r="G1734">
        <f>G1733+0.0001</f>
        <v/>
      </c>
    </row>
    <row r="1735">
      <c r="G1735">
        <f>G1734+0.0001</f>
        <v/>
      </c>
    </row>
    <row r="1736">
      <c r="G1736">
        <f>G1735+0.0001</f>
        <v/>
      </c>
    </row>
    <row r="1737">
      <c r="G1737">
        <f>G1736+0.0001</f>
        <v/>
      </c>
    </row>
    <row r="1738">
      <c r="G1738">
        <f>G1737+0.0001</f>
        <v/>
      </c>
    </row>
    <row r="1739">
      <c r="G1739">
        <f>G1738+0.0001</f>
        <v/>
      </c>
    </row>
    <row r="1740">
      <c r="G1740">
        <f>G1739+0.0001</f>
        <v/>
      </c>
    </row>
    <row r="1741">
      <c r="G1741">
        <f>G1740+0.0001</f>
        <v/>
      </c>
    </row>
    <row r="1742">
      <c r="G1742">
        <f>G1741+0.0001</f>
        <v/>
      </c>
    </row>
    <row r="1743">
      <c r="G1743">
        <f>G1742+0.0001</f>
        <v/>
      </c>
    </row>
    <row r="1744">
      <c r="G1744">
        <f>G1743+0.0001</f>
        <v/>
      </c>
    </row>
    <row r="1745">
      <c r="G1745">
        <f>G1744+0.0001</f>
        <v/>
      </c>
    </row>
    <row r="1746">
      <c r="G1746">
        <f>G1745+0.0001</f>
        <v/>
      </c>
    </row>
    <row r="1747">
      <c r="G1747">
        <f>G1746+0.0001</f>
        <v/>
      </c>
    </row>
    <row r="1748">
      <c r="G1748">
        <f>G1747+0.0001</f>
        <v/>
      </c>
    </row>
    <row r="1749">
      <c r="G1749">
        <f>G1748+0.0001</f>
        <v/>
      </c>
    </row>
    <row r="1750">
      <c r="G1750">
        <f>G1749+0.0001</f>
        <v/>
      </c>
    </row>
    <row r="1751">
      <c r="G1751">
        <f>G1750+0.0001</f>
        <v/>
      </c>
    </row>
    <row r="1752">
      <c r="G1752">
        <f>G1751+0.0001</f>
        <v/>
      </c>
    </row>
    <row r="1753">
      <c r="G1753">
        <f>G1752+0.0001</f>
        <v/>
      </c>
    </row>
    <row r="1754">
      <c r="G1754">
        <f>G1753+0.0001</f>
        <v/>
      </c>
    </row>
    <row r="1755">
      <c r="G1755">
        <f>G1754+0.0001</f>
        <v/>
      </c>
    </row>
    <row r="1756">
      <c r="G1756">
        <f>G1755+0.0001</f>
        <v/>
      </c>
    </row>
    <row r="1757">
      <c r="G1757">
        <f>G1756+0.0001</f>
        <v/>
      </c>
    </row>
    <row r="1758">
      <c r="G1758">
        <f>G1757+0.0001</f>
        <v/>
      </c>
    </row>
    <row r="1759">
      <c r="G1759">
        <f>G1758+0.0001</f>
        <v/>
      </c>
    </row>
    <row r="1760">
      <c r="G1760">
        <f>G1759+0.0001</f>
        <v/>
      </c>
    </row>
    <row r="1761">
      <c r="G1761">
        <f>G1760+0.0001</f>
        <v/>
      </c>
    </row>
    <row r="1762">
      <c r="G1762">
        <f>G1761+0.0001</f>
        <v/>
      </c>
    </row>
    <row r="1763">
      <c r="G1763">
        <f>G1762+0.0001</f>
        <v/>
      </c>
    </row>
    <row r="1764">
      <c r="G1764">
        <f>G1763+0.0001</f>
        <v/>
      </c>
    </row>
    <row r="1765">
      <c r="G1765">
        <f>G1764+0.0001</f>
        <v/>
      </c>
    </row>
    <row r="1766">
      <c r="G1766">
        <f>G1765+0.0001</f>
        <v/>
      </c>
    </row>
    <row r="1767">
      <c r="G1767">
        <f>G1766+0.0001</f>
        <v/>
      </c>
    </row>
    <row r="1768">
      <c r="G1768">
        <f>G1767+0.0001</f>
        <v/>
      </c>
    </row>
    <row r="1769">
      <c r="G1769">
        <f>G1768+0.0001</f>
        <v/>
      </c>
    </row>
    <row r="1770">
      <c r="G1770">
        <f>G1769+0.0001</f>
        <v/>
      </c>
    </row>
    <row r="1771">
      <c r="G1771">
        <f>G1770+0.0001</f>
        <v/>
      </c>
    </row>
    <row r="1772">
      <c r="G1772">
        <f>G1771+0.0001</f>
        <v/>
      </c>
    </row>
    <row r="1773">
      <c r="G1773">
        <f>G1772+0.0001</f>
        <v/>
      </c>
    </row>
    <row r="1774">
      <c r="G1774">
        <f>G1773+0.0001</f>
        <v/>
      </c>
    </row>
    <row r="1775">
      <c r="G1775">
        <f>G1774+0.0001</f>
        <v/>
      </c>
    </row>
    <row r="1776">
      <c r="G1776">
        <f>G1775+0.0001</f>
        <v/>
      </c>
    </row>
    <row r="1777">
      <c r="G1777">
        <f>G1776+0.0001</f>
        <v/>
      </c>
    </row>
    <row r="1778">
      <c r="G1778">
        <f>G1777+0.0001</f>
        <v/>
      </c>
    </row>
    <row r="1779">
      <c r="G1779">
        <f>G1778+0.0001</f>
        <v/>
      </c>
    </row>
    <row r="1780">
      <c r="G1780">
        <f>G1779+0.0001</f>
        <v/>
      </c>
    </row>
    <row r="1781">
      <c r="G1781">
        <f>G1780+0.0001</f>
        <v/>
      </c>
    </row>
    <row r="1782">
      <c r="G1782">
        <f>G1781+0.0001</f>
        <v/>
      </c>
    </row>
    <row r="1783">
      <c r="G1783">
        <f>G1782+0.0001</f>
        <v/>
      </c>
    </row>
    <row r="1784">
      <c r="G1784">
        <f>G1783+0.0001</f>
        <v/>
      </c>
    </row>
    <row r="1785">
      <c r="G1785">
        <f>G1784+0.0001</f>
        <v/>
      </c>
    </row>
    <row r="1786">
      <c r="G1786">
        <f>G1785+0.0001</f>
        <v/>
      </c>
    </row>
    <row r="1787">
      <c r="G1787">
        <f>G1786+0.0001</f>
        <v/>
      </c>
    </row>
    <row r="1788">
      <c r="G1788">
        <f>G1787+0.0001</f>
        <v/>
      </c>
    </row>
    <row r="1789">
      <c r="G1789">
        <f>G1788+0.0001</f>
        <v/>
      </c>
    </row>
    <row r="1790">
      <c r="G1790">
        <f>G1789+0.0001</f>
        <v/>
      </c>
    </row>
    <row r="1791">
      <c r="G1791">
        <f>G1790+0.0001</f>
        <v/>
      </c>
    </row>
    <row r="1792">
      <c r="G1792">
        <f>G1791+0.0001</f>
        <v/>
      </c>
    </row>
    <row r="1793">
      <c r="G1793">
        <f>G1792+0.0001</f>
        <v/>
      </c>
    </row>
    <row r="1794">
      <c r="G1794">
        <f>G1793+0.0001</f>
        <v/>
      </c>
    </row>
    <row r="1795">
      <c r="G1795">
        <f>G1794+0.0001</f>
        <v/>
      </c>
    </row>
    <row r="1796">
      <c r="G1796">
        <f>G1795+0.0001</f>
        <v/>
      </c>
    </row>
    <row r="1797">
      <c r="G1797">
        <f>G1796+0.0001</f>
        <v/>
      </c>
    </row>
    <row r="1798">
      <c r="G1798">
        <f>G1797+0.0001</f>
        <v/>
      </c>
    </row>
    <row r="1799">
      <c r="G1799">
        <f>G1798+0.0001</f>
        <v/>
      </c>
    </row>
    <row r="1800">
      <c r="G1800">
        <f>G1799+0.0001</f>
        <v/>
      </c>
    </row>
    <row r="1801">
      <c r="G1801">
        <f>G1800+0.0001</f>
        <v/>
      </c>
    </row>
    <row r="1802">
      <c r="G1802">
        <f>G1801+0.0001</f>
        <v/>
      </c>
    </row>
    <row r="1803">
      <c r="G1803">
        <f>G1802+0.0001</f>
        <v/>
      </c>
    </row>
    <row r="1804">
      <c r="G1804">
        <f>G1803+0.0001</f>
        <v/>
      </c>
    </row>
    <row r="1805">
      <c r="G1805">
        <f>G1804+0.0001</f>
        <v/>
      </c>
    </row>
    <row r="1806">
      <c r="G1806">
        <f>G1805+0.0001</f>
        <v/>
      </c>
    </row>
    <row r="1807">
      <c r="G1807">
        <f>G1806+0.0001</f>
        <v/>
      </c>
    </row>
    <row r="1808">
      <c r="G1808">
        <f>G1807+0.0001</f>
        <v/>
      </c>
    </row>
    <row r="1809">
      <c r="G1809">
        <f>G1808+0.0001</f>
        <v/>
      </c>
    </row>
    <row r="1810">
      <c r="G1810">
        <f>G1809+0.0001</f>
        <v/>
      </c>
    </row>
    <row r="1811">
      <c r="G1811">
        <f>G1810+0.0001</f>
        <v/>
      </c>
    </row>
    <row r="1812">
      <c r="G1812">
        <f>G1811+0.0001</f>
        <v/>
      </c>
    </row>
    <row r="1813">
      <c r="G1813">
        <f>G1812+0.0001</f>
        <v/>
      </c>
    </row>
    <row r="1814">
      <c r="G1814">
        <f>G1813+0.0001</f>
        <v/>
      </c>
    </row>
    <row r="1815">
      <c r="G1815">
        <f>G1814+0.0001</f>
        <v/>
      </c>
    </row>
    <row r="1816">
      <c r="G1816">
        <f>G1815+0.0001</f>
        <v/>
      </c>
    </row>
    <row r="1817">
      <c r="G1817">
        <f>G1816+0.0001</f>
        <v/>
      </c>
    </row>
    <row r="1818">
      <c r="G1818">
        <f>G1817+0.0001</f>
        <v/>
      </c>
    </row>
    <row r="1819">
      <c r="G1819">
        <f>G1818+0.0001</f>
        <v/>
      </c>
    </row>
    <row r="1820">
      <c r="G1820">
        <f>G1819+0.0001</f>
        <v/>
      </c>
    </row>
    <row r="1821">
      <c r="G1821">
        <f>G1820+0.0001</f>
        <v/>
      </c>
    </row>
    <row r="1822">
      <c r="G1822">
        <f>G1821+0.0001</f>
        <v/>
      </c>
    </row>
    <row r="1823">
      <c r="G1823">
        <f>G1822+0.0001</f>
        <v/>
      </c>
    </row>
    <row r="1824">
      <c r="G1824">
        <f>G1823+0.0001</f>
        <v/>
      </c>
    </row>
    <row r="1825">
      <c r="G1825">
        <f>G1824+0.0001</f>
        <v/>
      </c>
    </row>
    <row r="1826">
      <c r="G1826">
        <f>G1825+0.0001</f>
        <v/>
      </c>
    </row>
    <row r="1827">
      <c r="G1827">
        <f>G1826+0.0001</f>
        <v/>
      </c>
    </row>
    <row r="1828">
      <c r="G1828">
        <f>G1827+0.0001</f>
        <v/>
      </c>
    </row>
    <row r="1829">
      <c r="G1829">
        <f>G1828+0.0001</f>
        <v/>
      </c>
    </row>
    <row r="1830">
      <c r="G1830">
        <f>G1829+0.0001</f>
        <v/>
      </c>
    </row>
    <row r="1831">
      <c r="G1831">
        <f>G1830+0.0001</f>
        <v/>
      </c>
    </row>
    <row r="1832">
      <c r="G1832">
        <f>G1831+0.0001</f>
        <v/>
      </c>
    </row>
    <row r="1833">
      <c r="G1833">
        <f>G1832+0.0001</f>
        <v/>
      </c>
    </row>
    <row r="1834">
      <c r="G1834">
        <f>G1833+0.0001</f>
        <v/>
      </c>
    </row>
    <row r="1835">
      <c r="G1835">
        <f>G1834+0.0001</f>
        <v/>
      </c>
    </row>
    <row r="1836">
      <c r="G1836">
        <f>G1835+0.0001</f>
        <v/>
      </c>
    </row>
    <row r="1837">
      <c r="G1837">
        <f>G1836+0.0001</f>
        <v/>
      </c>
    </row>
    <row r="1838">
      <c r="G1838">
        <f>G1837+0.0001</f>
        <v/>
      </c>
    </row>
    <row r="1839">
      <c r="G1839">
        <f>G1838+0.0001</f>
        <v/>
      </c>
    </row>
    <row r="1840">
      <c r="G1840">
        <f>G1839+0.0001</f>
        <v/>
      </c>
    </row>
    <row r="1841">
      <c r="G1841">
        <f>G1840+0.0001</f>
        <v/>
      </c>
    </row>
    <row r="1842">
      <c r="G1842">
        <f>G1841+0.0001</f>
        <v/>
      </c>
    </row>
    <row r="1843">
      <c r="G1843">
        <f>G1842+0.0001</f>
        <v/>
      </c>
    </row>
    <row r="1844">
      <c r="G1844">
        <f>G1843+0.0001</f>
        <v/>
      </c>
    </row>
    <row r="1845">
      <c r="G1845">
        <f>G1844+0.0001</f>
        <v/>
      </c>
    </row>
    <row r="1846">
      <c r="G1846">
        <f>G1845+0.0001</f>
        <v/>
      </c>
    </row>
    <row r="1847">
      <c r="G1847">
        <f>G1846+0.0001</f>
        <v/>
      </c>
    </row>
    <row r="1848">
      <c r="G1848">
        <f>G1847+0.0001</f>
        <v/>
      </c>
    </row>
    <row r="1849">
      <c r="G1849">
        <f>G1848+0.0001</f>
        <v/>
      </c>
    </row>
    <row r="1850">
      <c r="G1850">
        <f>G1849+0.0001</f>
        <v/>
      </c>
    </row>
    <row r="1851">
      <c r="G1851">
        <f>G1850+0.0001</f>
        <v/>
      </c>
    </row>
    <row r="1852">
      <c r="G1852">
        <f>G1851+0.0001</f>
        <v/>
      </c>
    </row>
    <row r="1853">
      <c r="G1853">
        <f>G1852+0.0001</f>
        <v/>
      </c>
    </row>
    <row r="1854">
      <c r="G1854">
        <f>G1853+0.0001</f>
        <v/>
      </c>
    </row>
    <row r="1855">
      <c r="G1855">
        <f>G1854+0.0001</f>
        <v/>
      </c>
    </row>
    <row r="1856">
      <c r="G1856">
        <f>G1855+0.0001</f>
        <v/>
      </c>
    </row>
    <row r="1857">
      <c r="G1857">
        <f>G1856+0.0001</f>
        <v/>
      </c>
    </row>
    <row r="1858">
      <c r="G1858">
        <f>G1857+0.0001</f>
        <v/>
      </c>
    </row>
    <row r="1859">
      <c r="G1859">
        <f>G1858+0.0001</f>
        <v/>
      </c>
    </row>
    <row r="1860">
      <c r="G1860">
        <f>G1859+0.0001</f>
        <v/>
      </c>
    </row>
    <row r="1861">
      <c r="G1861">
        <f>G1860+0.0001</f>
        <v/>
      </c>
    </row>
    <row r="1862">
      <c r="G1862">
        <f>G1861+0.0001</f>
        <v/>
      </c>
    </row>
    <row r="1863">
      <c r="G1863">
        <f>G1862+0.0001</f>
        <v/>
      </c>
    </row>
    <row r="1864">
      <c r="G1864">
        <f>G1863+0.0001</f>
        <v/>
      </c>
    </row>
    <row r="1865">
      <c r="G1865">
        <f>G1864+0.0001</f>
        <v/>
      </c>
    </row>
    <row r="1866">
      <c r="G1866">
        <f>G1865+0.0001</f>
        <v/>
      </c>
    </row>
    <row r="1867">
      <c r="G1867">
        <f>G1866+0.0001</f>
        <v/>
      </c>
    </row>
    <row r="1868">
      <c r="G1868">
        <f>G1867+0.0001</f>
        <v/>
      </c>
    </row>
    <row r="1869">
      <c r="G1869">
        <f>G1868+0.0001</f>
        <v/>
      </c>
    </row>
    <row r="1870">
      <c r="G1870">
        <f>G1869+0.0001</f>
        <v/>
      </c>
    </row>
    <row r="1871">
      <c r="G1871">
        <f>G1870+0.0001</f>
        <v/>
      </c>
    </row>
    <row r="1872">
      <c r="G1872">
        <f>G1871+0.0001</f>
        <v/>
      </c>
    </row>
    <row r="1873">
      <c r="G1873">
        <f>G1872+0.0001</f>
        <v/>
      </c>
    </row>
    <row r="1874">
      <c r="G1874">
        <f>G1873+0.0001</f>
        <v/>
      </c>
    </row>
    <row r="1875">
      <c r="G1875">
        <f>G1874+0.0001</f>
        <v/>
      </c>
    </row>
    <row r="1876">
      <c r="G1876">
        <f>G1875+0.0001</f>
        <v/>
      </c>
    </row>
    <row r="1877">
      <c r="G1877">
        <f>G1876+0.0001</f>
        <v/>
      </c>
    </row>
    <row r="1878">
      <c r="G1878">
        <f>G1877+0.0001</f>
        <v/>
      </c>
    </row>
    <row r="1879">
      <c r="G1879">
        <f>G1878+0.0001</f>
        <v/>
      </c>
    </row>
    <row r="1880">
      <c r="G1880">
        <f>G1879+0.0001</f>
        <v/>
      </c>
    </row>
    <row r="1881">
      <c r="G1881">
        <f>G1880+0.0001</f>
        <v/>
      </c>
    </row>
    <row r="1882">
      <c r="G1882">
        <f>G1881+0.0001</f>
        <v/>
      </c>
    </row>
    <row r="1883">
      <c r="G1883">
        <f>G1882+0.0001</f>
        <v/>
      </c>
    </row>
    <row r="1884">
      <c r="G1884">
        <f>G1883+0.0001</f>
        <v/>
      </c>
    </row>
    <row r="1885">
      <c r="G1885">
        <f>G1884+0.0001</f>
        <v/>
      </c>
    </row>
    <row r="1886">
      <c r="G1886">
        <f>G1885+0.0001</f>
        <v/>
      </c>
    </row>
    <row r="1887">
      <c r="G1887">
        <f>G1886+0.0001</f>
        <v/>
      </c>
    </row>
    <row r="1888">
      <c r="G1888">
        <f>G1887+0.0001</f>
        <v/>
      </c>
    </row>
    <row r="1889">
      <c r="G1889">
        <f>G1888+0.0001</f>
        <v/>
      </c>
    </row>
    <row r="1890">
      <c r="G1890">
        <f>G1889+0.0001</f>
        <v/>
      </c>
    </row>
    <row r="1891">
      <c r="G1891">
        <f>G1890+0.0001</f>
        <v/>
      </c>
    </row>
    <row r="1892">
      <c r="G1892">
        <f>G1891+0.0001</f>
        <v/>
      </c>
    </row>
    <row r="1893">
      <c r="G1893">
        <f>G1892+0.0001</f>
        <v/>
      </c>
    </row>
    <row r="1894">
      <c r="G1894">
        <f>G1893+0.0001</f>
        <v/>
      </c>
    </row>
    <row r="1895">
      <c r="G1895">
        <f>G1894+0.0001</f>
        <v/>
      </c>
    </row>
    <row r="1896">
      <c r="G1896">
        <f>G1895+0.0001</f>
        <v/>
      </c>
    </row>
    <row r="1897">
      <c r="G1897">
        <f>G1896+0.0001</f>
        <v/>
      </c>
    </row>
    <row r="1898">
      <c r="G1898">
        <f>G1897+0.0001</f>
        <v/>
      </c>
    </row>
    <row r="1899">
      <c r="G1899">
        <f>G1898+0.0001</f>
        <v/>
      </c>
    </row>
    <row r="1900">
      <c r="G1900">
        <f>G1899+0.0001</f>
        <v/>
      </c>
    </row>
    <row r="1901">
      <c r="G1901">
        <f>G1900+0.0001</f>
        <v/>
      </c>
    </row>
    <row r="1902">
      <c r="G1902">
        <f>G1901+0.0001</f>
        <v/>
      </c>
    </row>
    <row r="1903">
      <c r="G1903">
        <f>G1902+0.0001</f>
        <v/>
      </c>
    </row>
    <row r="1904">
      <c r="G1904">
        <f>G1903+0.0001</f>
        <v/>
      </c>
    </row>
    <row r="1905">
      <c r="G1905">
        <f>G1904+0.0001</f>
        <v/>
      </c>
    </row>
    <row r="1906">
      <c r="G1906">
        <f>G1905+0.0001</f>
        <v/>
      </c>
    </row>
    <row r="1907">
      <c r="G1907">
        <f>G1906+0.0001</f>
        <v/>
      </c>
    </row>
    <row r="1908">
      <c r="G1908">
        <f>G1907+0.0001</f>
        <v/>
      </c>
    </row>
    <row r="1909">
      <c r="G1909">
        <f>G1908+0.0001</f>
        <v/>
      </c>
    </row>
    <row r="1910">
      <c r="G1910">
        <f>G1909+0.0001</f>
        <v/>
      </c>
    </row>
    <row r="1911">
      <c r="G1911">
        <f>G1910+0.0001</f>
        <v/>
      </c>
    </row>
    <row r="1912">
      <c r="G1912">
        <f>G1911+0.0001</f>
        <v/>
      </c>
    </row>
    <row r="1913">
      <c r="G1913">
        <f>G1912+0.0001</f>
        <v/>
      </c>
    </row>
    <row r="1914">
      <c r="G1914">
        <f>G1913+0.0001</f>
        <v/>
      </c>
    </row>
    <row r="1915">
      <c r="G1915">
        <f>G1914+0.0001</f>
        <v/>
      </c>
    </row>
    <row r="1916">
      <c r="G1916">
        <f>G1915+0.0001</f>
        <v/>
      </c>
    </row>
    <row r="1917">
      <c r="G1917">
        <f>G1916+0.0001</f>
        <v/>
      </c>
    </row>
    <row r="1918">
      <c r="G1918">
        <f>G1917+0.0001</f>
        <v/>
      </c>
    </row>
    <row r="1919">
      <c r="G1919">
        <f>G1918+0.0001</f>
        <v/>
      </c>
    </row>
    <row r="1920">
      <c r="G1920">
        <f>G1919+0.0001</f>
        <v/>
      </c>
    </row>
    <row r="1921">
      <c r="G1921">
        <f>G1920+0.0001</f>
        <v/>
      </c>
    </row>
    <row r="1922">
      <c r="G1922">
        <f>G1921+0.0001</f>
        <v/>
      </c>
    </row>
    <row r="1923">
      <c r="G1923">
        <f>G1922+0.0001</f>
        <v/>
      </c>
    </row>
    <row r="1924">
      <c r="G1924">
        <f>G1923+0.0001</f>
        <v/>
      </c>
    </row>
    <row r="1925">
      <c r="G1925">
        <f>G1924+0.0001</f>
        <v/>
      </c>
    </row>
    <row r="1926">
      <c r="G1926">
        <f>G1925+0.0001</f>
        <v/>
      </c>
    </row>
    <row r="1927">
      <c r="G1927">
        <f>G1926+0.0001</f>
        <v/>
      </c>
    </row>
    <row r="1928">
      <c r="G1928">
        <f>G1927+0.0001</f>
        <v/>
      </c>
    </row>
    <row r="1929">
      <c r="G1929">
        <f>G1928+0.0001</f>
        <v/>
      </c>
    </row>
    <row r="1930">
      <c r="G1930">
        <f>G1929+0.0001</f>
        <v/>
      </c>
    </row>
    <row r="1931">
      <c r="G1931">
        <f>G1930+0.0001</f>
        <v/>
      </c>
    </row>
    <row r="1932">
      <c r="G1932">
        <f>G1931+0.0001</f>
        <v/>
      </c>
    </row>
    <row r="1933">
      <c r="G1933">
        <f>G1932+0.0001</f>
        <v/>
      </c>
    </row>
    <row r="1934">
      <c r="G1934">
        <f>G1933+0.0001</f>
        <v/>
      </c>
    </row>
    <row r="1935">
      <c r="G1935">
        <f>G1934+0.0001</f>
        <v/>
      </c>
    </row>
    <row r="1936">
      <c r="G1936">
        <f>G1935+0.0001</f>
        <v/>
      </c>
    </row>
    <row r="1937">
      <c r="G1937">
        <f>G1936+0.0001</f>
        <v/>
      </c>
    </row>
    <row r="1938">
      <c r="G1938">
        <f>G1937+0.0001</f>
        <v/>
      </c>
    </row>
    <row r="1939">
      <c r="G1939">
        <f>G1938+0.0001</f>
        <v/>
      </c>
    </row>
    <row r="1940">
      <c r="G1940">
        <f>G1939+0.0001</f>
        <v/>
      </c>
    </row>
    <row r="1941">
      <c r="G1941">
        <f>G1940+0.0001</f>
        <v/>
      </c>
    </row>
    <row r="1942">
      <c r="G1942">
        <f>G1941+0.0001</f>
        <v/>
      </c>
    </row>
    <row r="1943">
      <c r="G1943">
        <f>G1942+0.0001</f>
        <v/>
      </c>
    </row>
    <row r="1944">
      <c r="G1944">
        <f>G1943+0.0001</f>
        <v/>
      </c>
    </row>
    <row r="1945">
      <c r="G1945">
        <f>G1944+0.0001</f>
        <v/>
      </c>
    </row>
    <row r="1946">
      <c r="G1946">
        <f>G1945+0.0001</f>
        <v/>
      </c>
    </row>
    <row r="1947">
      <c r="G1947">
        <f>G1946+0.0001</f>
        <v/>
      </c>
    </row>
    <row r="1948">
      <c r="G1948">
        <f>G1947+0.0001</f>
        <v/>
      </c>
    </row>
    <row r="1949">
      <c r="G1949">
        <f>G1948+0.0001</f>
        <v/>
      </c>
    </row>
    <row r="1950">
      <c r="G1950">
        <f>G1949+0.0001</f>
        <v/>
      </c>
    </row>
    <row r="1951">
      <c r="G1951">
        <f>G1950+0.0001</f>
        <v/>
      </c>
    </row>
    <row r="1952">
      <c r="G1952">
        <f>G1951+0.0001</f>
        <v/>
      </c>
    </row>
    <row r="1953">
      <c r="G1953">
        <f>G1952+0.0001</f>
        <v/>
      </c>
    </row>
    <row r="1954">
      <c r="G1954">
        <f>G1953+0.0001</f>
        <v/>
      </c>
    </row>
    <row r="1955">
      <c r="G1955">
        <f>G1954+0.0001</f>
        <v/>
      </c>
    </row>
    <row r="1956">
      <c r="G1956">
        <f>G1955+0.0001</f>
        <v/>
      </c>
    </row>
    <row r="1957">
      <c r="G1957">
        <f>G1956+0.0001</f>
        <v/>
      </c>
    </row>
    <row r="1958">
      <c r="G1958">
        <f>G1957+0.0001</f>
        <v/>
      </c>
    </row>
    <row r="1959">
      <c r="G1959">
        <f>G1958+0.0001</f>
        <v/>
      </c>
    </row>
    <row r="1960">
      <c r="G1960">
        <f>G1959+0.0001</f>
        <v/>
      </c>
    </row>
    <row r="1961">
      <c r="G1961">
        <f>G1960+0.0001</f>
        <v/>
      </c>
    </row>
    <row r="1962">
      <c r="G1962">
        <f>G1961+0.0001</f>
        <v/>
      </c>
    </row>
    <row r="1963">
      <c r="G1963">
        <f>G1962+0.0001</f>
        <v/>
      </c>
    </row>
    <row r="1964">
      <c r="G1964">
        <f>G1963+0.0001</f>
        <v/>
      </c>
    </row>
    <row r="1965">
      <c r="G1965">
        <f>G1964+0.0001</f>
        <v/>
      </c>
    </row>
    <row r="1966">
      <c r="G1966">
        <f>G1965+0.0001</f>
        <v/>
      </c>
    </row>
    <row r="1967">
      <c r="G1967">
        <f>G1966+0.0001</f>
        <v/>
      </c>
    </row>
    <row r="1968">
      <c r="G1968">
        <f>G1967+0.0001</f>
        <v/>
      </c>
    </row>
    <row r="1969">
      <c r="G1969">
        <f>G1968+0.0001</f>
        <v/>
      </c>
    </row>
    <row r="1970">
      <c r="G1970">
        <f>G1969+0.0001</f>
        <v/>
      </c>
    </row>
    <row r="1971">
      <c r="G1971">
        <f>G1970+0.0001</f>
        <v/>
      </c>
    </row>
    <row r="1972">
      <c r="G1972">
        <f>G1971+0.0001</f>
        <v/>
      </c>
    </row>
    <row r="1973">
      <c r="G1973">
        <f>G1972+0.0001</f>
        <v/>
      </c>
    </row>
    <row r="1974">
      <c r="G1974">
        <f>G1973+0.0001</f>
        <v/>
      </c>
    </row>
    <row r="1975">
      <c r="G1975">
        <f>G1974+0.0001</f>
        <v/>
      </c>
    </row>
    <row r="1976">
      <c r="G1976">
        <f>G1975+0.0001</f>
        <v/>
      </c>
    </row>
    <row r="1977">
      <c r="G1977">
        <f>G1976+0.0001</f>
        <v/>
      </c>
    </row>
    <row r="1978">
      <c r="G1978">
        <f>G1977+0.0001</f>
        <v/>
      </c>
    </row>
    <row r="1979">
      <c r="G1979">
        <f>G1978+0.0001</f>
        <v/>
      </c>
    </row>
    <row r="1980">
      <c r="G1980">
        <f>G1979+0.0001</f>
        <v/>
      </c>
    </row>
    <row r="1981">
      <c r="G1981">
        <f>G1980+0.0001</f>
        <v/>
      </c>
    </row>
    <row r="1982">
      <c r="G1982">
        <f>G1981+0.0001</f>
        <v/>
      </c>
    </row>
    <row r="1983">
      <c r="G1983">
        <f>G1982+0.0001</f>
        <v/>
      </c>
    </row>
    <row r="1984">
      <c r="G1984">
        <f>G1983+0.0001</f>
        <v/>
      </c>
    </row>
    <row r="1985">
      <c r="G1985">
        <f>G1984+0.0001</f>
        <v/>
      </c>
    </row>
    <row r="1986">
      <c r="G1986">
        <f>G1985+0.0001</f>
        <v/>
      </c>
    </row>
    <row r="1987">
      <c r="G1987">
        <f>G1986+0.0001</f>
        <v/>
      </c>
    </row>
    <row r="1988">
      <c r="G1988">
        <f>G1987+0.0001</f>
        <v/>
      </c>
    </row>
    <row r="1989">
      <c r="G1989">
        <f>G1988+0.0001</f>
        <v/>
      </c>
    </row>
    <row r="1990">
      <c r="G1990">
        <f>G1989+0.0001</f>
        <v/>
      </c>
    </row>
    <row r="1991">
      <c r="G1991">
        <f>G1990+0.0001</f>
        <v/>
      </c>
    </row>
    <row r="1992">
      <c r="G1992">
        <f>G1991+0.0001</f>
        <v/>
      </c>
    </row>
    <row r="1993">
      <c r="G1993">
        <f>G1992+0.0001</f>
        <v/>
      </c>
    </row>
    <row r="1994">
      <c r="G1994">
        <f>G1993+0.0001</f>
        <v/>
      </c>
    </row>
    <row r="1995">
      <c r="G1995">
        <f>G1994+0.0001</f>
        <v/>
      </c>
    </row>
    <row r="1996">
      <c r="G1996">
        <f>G1995+0.0001</f>
        <v/>
      </c>
    </row>
    <row r="1997">
      <c r="G1997">
        <f>G1996+0.0001</f>
        <v/>
      </c>
    </row>
    <row r="1998">
      <c r="G1998">
        <f>G1997+0.0001</f>
        <v/>
      </c>
    </row>
    <row r="1999">
      <c r="G1999">
        <f>G1998+0.0001</f>
        <v/>
      </c>
    </row>
    <row r="2000">
      <c r="G2000">
        <f>G1999+0.0001</f>
        <v/>
      </c>
    </row>
    <row r="2001">
      <c r="G2001">
        <f>G2000+0.0001</f>
        <v/>
      </c>
    </row>
    <row r="2002">
      <c r="G2002">
        <f>G2001+0.0001</f>
        <v/>
      </c>
    </row>
    <row r="2003">
      <c r="G2003">
        <f>G2002+0.0001</f>
        <v/>
      </c>
    </row>
    <row r="2004">
      <c r="G2004">
        <f>G2003+0.0001</f>
        <v/>
      </c>
    </row>
    <row r="2005">
      <c r="G2005">
        <f>G2004+0.0001</f>
        <v/>
      </c>
    </row>
    <row r="2006">
      <c r="G2006">
        <f>G2005+0.0001</f>
        <v/>
      </c>
    </row>
    <row r="2007">
      <c r="G2007">
        <f>G2006+0.0001</f>
        <v/>
      </c>
    </row>
    <row r="2008">
      <c r="G2008">
        <f>G2007+0.0001</f>
        <v/>
      </c>
    </row>
    <row r="2009">
      <c r="G2009">
        <f>G2008+0.0001</f>
        <v/>
      </c>
    </row>
    <row r="2010">
      <c r="G2010">
        <f>G2009+0.0001</f>
        <v/>
      </c>
    </row>
    <row r="2011">
      <c r="G2011">
        <f>G2010+0.0001</f>
        <v/>
      </c>
    </row>
    <row r="2012">
      <c r="G2012">
        <f>G2011+0.0001</f>
        <v/>
      </c>
    </row>
    <row r="2013">
      <c r="G2013">
        <f>G2012+0.0001</f>
        <v/>
      </c>
    </row>
    <row r="2014">
      <c r="G2014">
        <f>G2013+0.0001</f>
        <v/>
      </c>
    </row>
    <row r="2015">
      <c r="G2015">
        <f>G2014+0.0001</f>
        <v/>
      </c>
    </row>
    <row r="2016">
      <c r="G2016">
        <f>G2015+0.0001</f>
        <v/>
      </c>
    </row>
    <row r="2017">
      <c r="G2017">
        <f>G2016+0.0001</f>
        <v/>
      </c>
    </row>
    <row r="2018">
      <c r="G2018">
        <f>G2017+0.0001</f>
        <v/>
      </c>
    </row>
    <row r="2019">
      <c r="G2019">
        <f>G2018+0.0001</f>
        <v/>
      </c>
    </row>
    <row r="2020">
      <c r="G2020">
        <f>G2019+0.0001</f>
        <v/>
      </c>
    </row>
    <row r="2021">
      <c r="G2021">
        <f>G2020+0.0001</f>
        <v/>
      </c>
    </row>
    <row r="2022">
      <c r="G2022">
        <f>G2021+0.0001</f>
        <v/>
      </c>
    </row>
    <row r="2023">
      <c r="G2023">
        <f>G2022+0.0001</f>
        <v/>
      </c>
    </row>
    <row r="2024">
      <c r="G2024">
        <f>G2023+0.0001</f>
        <v/>
      </c>
    </row>
    <row r="2025">
      <c r="G2025">
        <f>G2024+0.0001</f>
        <v/>
      </c>
    </row>
    <row r="2026">
      <c r="G2026">
        <f>G2025+0.0001</f>
        <v/>
      </c>
    </row>
    <row r="2027">
      <c r="G2027">
        <f>G2026+0.0001</f>
        <v/>
      </c>
    </row>
    <row r="2028">
      <c r="G2028">
        <f>G2027+0.0001</f>
        <v/>
      </c>
    </row>
    <row r="2029">
      <c r="G2029">
        <f>G2028+0.0001</f>
        <v/>
      </c>
    </row>
    <row r="2030">
      <c r="G2030">
        <f>G2029+0.0001</f>
        <v/>
      </c>
    </row>
    <row r="2031">
      <c r="G2031">
        <f>G2030+0.0001</f>
        <v/>
      </c>
    </row>
    <row r="2032">
      <c r="G2032">
        <f>G2031+0.0001</f>
        <v/>
      </c>
    </row>
    <row r="2033">
      <c r="G2033">
        <f>G2032+0.0001</f>
        <v/>
      </c>
    </row>
    <row r="2034">
      <c r="G2034">
        <f>G2033+0.0001</f>
        <v/>
      </c>
    </row>
    <row r="2035">
      <c r="G2035">
        <f>G2034+0.0001</f>
        <v/>
      </c>
    </row>
    <row r="2036">
      <c r="G2036">
        <f>G2035+0.0001</f>
        <v/>
      </c>
    </row>
    <row r="2037">
      <c r="G2037">
        <f>G2036+0.0001</f>
        <v/>
      </c>
    </row>
    <row r="2038">
      <c r="G2038">
        <f>G2037+0.0001</f>
        <v/>
      </c>
    </row>
    <row r="2039">
      <c r="G2039">
        <f>G2038+0.0001</f>
        <v/>
      </c>
    </row>
    <row r="2040">
      <c r="G2040">
        <f>G2039+0.0001</f>
        <v/>
      </c>
    </row>
    <row r="2041">
      <c r="G2041">
        <f>G2040+0.0001</f>
        <v/>
      </c>
    </row>
    <row r="2042">
      <c r="G2042">
        <f>G2041+0.0001</f>
        <v/>
      </c>
    </row>
    <row r="2043">
      <c r="G2043">
        <f>G2042+0.0001</f>
        <v/>
      </c>
    </row>
    <row r="2044">
      <c r="G2044">
        <f>G2043+0.0001</f>
        <v/>
      </c>
    </row>
    <row r="2045">
      <c r="G2045">
        <f>G2044+0.0001</f>
        <v/>
      </c>
    </row>
    <row r="2046">
      <c r="G2046">
        <f>G2045+0.0001</f>
        <v/>
      </c>
    </row>
    <row r="2047">
      <c r="G2047">
        <f>G2046+0.0001</f>
        <v/>
      </c>
    </row>
    <row r="2048">
      <c r="G2048">
        <f>G2047+0.0001</f>
        <v/>
      </c>
    </row>
    <row r="2049">
      <c r="G2049">
        <f>G2048+0.0001</f>
        <v/>
      </c>
    </row>
    <row r="2050">
      <c r="G2050">
        <f>G2049+0.0001</f>
        <v/>
      </c>
    </row>
    <row r="2051">
      <c r="G2051">
        <f>G2050+0.0001</f>
        <v/>
      </c>
    </row>
    <row r="2052">
      <c r="G2052">
        <f>G2051+0.0001</f>
        <v/>
      </c>
    </row>
    <row r="2053">
      <c r="G2053">
        <f>G2052+0.0001</f>
        <v/>
      </c>
    </row>
    <row r="2054">
      <c r="G2054">
        <f>G2053+0.0001</f>
        <v/>
      </c>
    </row>
    <row r="2055">
      <c r="G2055">
        <f>G2054+0.0001</f>
        <v/>
      </c>
    </row>
    <row r="2056">
      <c r="G2056">
        <f>G2055+0.0001</f>
        <v/>
      </c>
    </row>
    <row r="2057">
      <c r="G2057">
        <f>G2056+0.0001</f>
        <v/>
      </c>
    </row>
    <row r="2058">
      <c r="G2058">
        <f>G2057+0.0001</f>
        <v/>
      </c>
    </row>
    <row r="2059">
      <c r="G2059">
        <f>G2058+0.0001</f>
        <v/>
      </c>
    </row>
    <row r="2060">
      <c r="G2060">
        <f>G2059+0.0001</f>
        <v/>
      </c>
    </row>
    <row r="2061">
      <c r="G2061">
        <f>G2060+0.0001</f>
        <v/>
      </c>
    </row>
    <row r="2062">
      <c r="G2062">
        <f>G2061+0.0001</f>
        <v/>
      </c>
    </row>
    <row r="2063">
      <c r="G2063">
        <f>G2062+0.0001</f>
        <v/>
      </c>
    </row>
    <row r="2064">
      <c r="G2064">
        <f>G2063+0.0001</f>
        <v/>
      </c>
    </row>
    <row r="2065">
      <c r="G2065">
        <f>G2064+0.0001</f>
        <v/>
      </c>
    </row>
    <row r="2066">
      <c r="G2066">
        <f>G2065+0.0001</f>
        <v/>
      </c>
    </row>
    <row r="2067">
      <c r="G2067">
        <f>G2066+0.0001</f>
        <v/>
      </c>
    </row>
    <row r="2068">
      <c r="G2068">
        <f>G2067+0.0001</f>
        <v/>
      </c>
    </row>
    <row r="2069">
      <c r="G2069">
        <f>G2068+0.0001</f>
        <v/>
      </c>
    </row>
    <row r="2070">
      <c r="G2070">
        <f>G2069+0.0001</f>
        <v/>
      </c>
    </row>
    <row r="2071">
      <c r="G2071">
        <f>G2070+0.0001</f>
        <v/>
      </c>
    </row>
    <row r="2072">
      <c r="G2072">
        <f>G2071+0.0001</f>
        <v/>
      </c>
    </row>
    <row r="2073">
      <c r="G2073">
        <f>G2072+0.0001</f>
        <v/>
      </c>
    </row>
    <row r="2074">
      <c r="G2074">
        <f>G2073+0.0001</f>
        <v/>
      </c>
    </row>
    <row r="2075">
      <c r="G2075">
        <f>G2074+0.0001</f>
        <v/>
      </c>
    </row>
    <row r="2076">
      <c r="G2076">
        <f>G2075+0.0001</f>
        <v/>
      </c>
    </row>
    <row r="2077">
      <c r="G2077">
        <f>G2076+0.0001</f>
        <v/>
      </c>
    </row>
    <row r="2078">
      <c r="G2078">
        <f>G2077+0.0001</f>
        <v/>
      </c>
    </row>
    <row r="2079">
      <c r="G2079">
        <f>G2078+0.0001</f>
        <v/>
      </c>
    </row>
    <row r="2080">
      <c r="G2080">
        <f>G2079+0.0001</f>
        <v/>
      </c>
    </row>
    <row r="2081">
      <c r="G2081">
        <f>G2080+0.0001</f>
        <v/>
      </c>
    </row>
    <row r="2082">
      <c r="G2082">
        <f>G2081+0.0001</f>
        <v/>
      </c>
    </row>
    <row r="2083">
      <c r="G2083">
        <f>G2082+0.0001</f>
        <v/>
      </c>
    </row>
    <row r="2084">
      <c r="G2084">
        <f>G2083+0.0001</f>
        <v/>
      </c>
    </row>
    <row r="2085">
      <c r="G2085">
        <f>G2084+0.0001</f>
        <v/>
      </c>
    </row>
    <row r="2086">
      <c r="G2086">
        <f>G2085+0.0001</f>
        <v/>
      </c>
    </row>
    <row r="2087">
      <c r="G2087">
        <f>G2086+0.0001</f>
        <v/>
      </c>
    </row>
    <row r="2088">
      <c r="G2088">
        <f>G2087+0.0001</f>
        <v/>
      </c>
    </row>
    <row r="2089">
      <c r="G2089">
        <f>G2088+0.0001</f>
        <v/>
      </c>
    </row>
    <row r="2090">
      <c r="G2090">
        <f>G2089+0.0001</f>
        <v/>
      </c>
    </row>
    <row r="2091">
      <c r="G2091">
        <f>G2090+0.0001</f>
        <v/>
      </c>
    </row>
    <row r="2092">
      <c r="G2092">
        <f>G2091+0.0001</f>
        <v/>
      </c>
    </row>
    <row r="2093">
      <c r="G2093">
        <f>G2092+0.0001</f>
        <v/>
      </c>
    </row>
    <row r="2094">
      <c r="G2094">
        <f>G2093+0.0001</f>
        <v/>
      </c>
    </row>
    <row r="2095">
      <c r="G2095">
        <f>G2094+0.0001</f>
        <v/>
      </c>
    </row>
    <row r="2096">
      <c r="G2096">
        <f>G2095+0.0001</f>
        <v/>
      </c>
    </row>
    <row r="2097">
      <c r="G2097">
        <f>G2096+0.0001</f>
        <v/>
      </c>
    </row>
    <row r="2098">
      <c r="G2098">
        <f>G2097+0.0001</f>
        <v/>
      </c>
    </row>
    <row r="2099">
      <c r="G2099">
        <f>G2098+0.0001</f>
        <v/>
      </c>
    </row>
    <row r="2100">
      <c r="G2100">
        <f>G2099+0.0001</f>
        <v/>
      </c>
    </row>
    <row r="2101">
      <c r="G2101">
        <f>G2100+0.0001</f>
        <v/>
      </c>
    </row>
    <row r="2102">
      <c r="G2102">
        <f>G2101+0.0001</f>
        <v/>
      </c>
    </row>
    <row r="2103">
      <c r="G2103">
        <f>G2102+0.0001</f>
        <v/>
      </c>
    </row>
    <row r="2104">
      <c r="G2104">
        <f>G2103+0.0001</f>
        <v/>
      </c>
    </row>
    <row r="2105">
      <c r="G2105">
        <f>G2104+0.0001</f>
        <v/>
      </c>
    </row>
    <row r="2106">
      <c r="G2106">
        <f>G2105+0.0001</f>
        <v/>
      </c>
    </row>
    <row r="2107">
      <c r="G2107">
        <f>G2106+0.0001</f>
        <v/>
      </c>
    </row>
    <row r="2108">
      <c r="G2108">
        <f>G2107+0.0001</f>
        <v/>
      </c>
    </row>
    <row r="2109">
      <c r="G2109">
        <f>G2108+0.0001</f>
        <v/>
      </c>
    </row>
    <row r="2110">
      <c r="G2110">
        <f>G2109+0.0001</f>
        <v/>
      </c>
    </row>
    <row r="2111">
      <c r="G2111">
        <f>G2110+0.0001</f>
        <v/>
      </c>
    </row>
    <row r="2112">
      <c r="G2112">
        <f>G2111+0.0001</f>
        <v/>
      </c>
    </row>
    <row r="2113">
      <c r="G2113">
        <f>G2112+0.0001</f>
        <v/>
      </c>
    </row>
    <row r="2114">
      <c r="G2114">
        <f>G2113+0.0001</f>
        <v/>
      </c>
    </row>
    <row r="2115">
      <c r="G2115">
        <f>G2114+0.0001</f>
        <v/>
      </c>
    </row>
    <row r="2116">
      <c r="G2116">
        <f>G2115+0.0001</f>
        <v/>
      </c>
    </row>
    <row r="2117">
      <c r="G2117">
        <f>G2116+0.0001</f>
        <v/>
      </c>
    </row>
    <row r="2118">
      <c r="G2118">
        <f>G2117+0.0001</f>
        <v/>
      </c>
    </row>
    <row r="2119">
      <c r="G2119">
        <f>G2118+0.0001</f>
        <v/>
      </c>
    </row>
    <row r="2120">
      <c r="G2120">
        <f>G2119+0.0001</f>
        <v/>
      </c>
    </row>
    <row r="2121">
      <c r="G2121">
        <f>G2120+0.0001</f>
        <v/>
      </c>
    </row>
    <row r="2122">
      <c r="G2122">
        <f>G2121+0.0001</f>
        <v/>
      </c>
    </row>
    <row r="2123">
      <c r="G2123">
        <f>G2122+0.0001</f>
        <v/>
      </c>
    </row>
    <row r="2124">
      <c r="G2124">
        <f>G2123+0.0001</f>
        <v/>
      </c>
    </row>
    <row r="2125">
      <c r="G2125">
        <f>G2124+0.0001</f>
        <v/>
      </c>
    </row>
    <row r="2126">
      <c r="G2126">
        <f>G2125+0.0001</f>
        <v/>
      </c>
    </row>
    <row r="2127">
      <c r="G2127">
        <f>G2126+0.0001</f>
        <v/>
      </c>
    </row>
    <row r="2128">
      <c r="G2128">
        <f>G2127+0.0001</f>
        <v/>
      </c>
    </row>
    <row r="2129">
      <c r="G2129">
        <f>G2128+0.0001</f>
        <v/>
      </c>
    </row>
    <row r="2130">
      <c r="G2130">
        <f>G2129+0.0001</f>
        <v/>
      </c>
    </row>
    <row r="2131">
      <c r="G2131">
        <f>G2130+0.0001</f>
        <v/>
      </c>
    </row>
    <row r="2132">
      <c r="G2132">
        <f>G2131+0.0001</f>
        <v/>
      </c>
    </row>
    <row r="2133">
      <c r="G2133">
        <f>G2132+0.0001</f>
        <v/>
      </c>
    </row>
    <row r="2134">
      <c r="G2134">
        <f>G2133+0.0001</f>
        <v/>
      </c>
    </row>
    <row r="2135">
      <c r="G2135">
        <f>G2134+0.0001</f>
        <v/>
      </c>
    </row>
    <row r="2136">
      <c r="G2136">
        <f>G2135+0.0001</f>
        <v/>
      </c>
    </row>
    <row r="2137">
      <c r="G2137">
        <f>G2136+0.0001</f>
        <v/>
      </c>
    </row>
    <row r="2138">
      <c r="G2138">
        <f>G2137+0.0001</f>
        <v/>
      </c>
    </row>
    <row r="2139">
      <c r="G2139">
        <f>G2138+0.0001</f>
        <v/>
      </c>
    </row>
    <row r="2140">
      <c r="G2140">
        <f>G2139+0.0001</f>
        <v/>
      </c>
    </row>
    <row r="2141">
      <c r="G2141">
        <f>G2140+0.0001</f>
        <v/>
      </c>
    </row>
    <row r="2142">
      <c r="G2142">
        <f>G2141+0.0001</f>
        <v/>
      </c>
    </row>
    <row r="2143">
      <c r="G2143">
        <f>G2142+0.0001</f>
        <v/>
      </c>
    </row>
    <row r="2144">
      <c r="G2144">
        <f>G2143+0.0001</f>
        <v/>
      </c>
    </row>
    <row r="2145">
      <c r="G2145">
        <f>G2144+0.0001</f>
        <v/>
      </c>
    </row>
    <row r="2146">
      <c r="G2146">
        <f>G2145+0.0001</f>
        <v/>
      </c>
    </row>
    <row r="2147">
      <c r="G2147">
        <f>G2146+0.0001</f>
        <v/>
      </c>
    </row>
    <row r="2148">
      <c r="G2148">
        <f>G2147+0.0001</f>
        <v/>
      </c>
    </row>
    <row r="2149">
      <c r="G2149">
        <f>G2148+0.0001</f>
        <v/>
      </c>
    </row>
    <row r="2150">
      <c r="G2150">
        <f>G2149+0.0001</f>
        <v/>
      </c>
    </row>
    <row r="2151">
      <c r="G2151">
        <f>G2150+0.0001</f>
        <v/>
      </c>
    </row>
    <row r="2152">
      <c r="G2152">
        <f>G2151+0.0001</f>
        <v/>
      </c>
    </row>
    <row r="2153">
      <c r="G2153">
        <f>G2152+0.0001</f>
        <v/>
      </c>
    </row>
    <row r="2154">
      <c r="G2154">
        <f>G2153+0.0001</f>
        <v/>
      </c>
    </row>
    <row r="2155">
      <c r="G2155">
        <f>G2154+0.0001</f>
        <v/>
      </c>
    </row>
    <row r="2156">
      <c r="G2156">
        <f>G2155+0.0001</f>
        <v/>
      </c>
    </row>
    <row r="2157">
      <c r="G2157">
        <f>G2156+0.0001</f>
        <v/>
      </c>
    </row>
    <row r="2158">
      <c r="G2158">
        <f>G2157+0.0001</f>
        <v/>
      </c>
    </row>
    <row r="2159">
      <c r="G2159">
        <f>G2158+0.0001</f>
        <v/>
      </c>
    </row>
    <row r="2160">
      <c r="G2160">
        <f>G2159+0.0001</f>
        <v/>
      </c>
    </row>
    <row r="2161">
      <c r="G2161">
        <f>G2160+0.0001</f>
        <v/>
      </c>
    </row>
    <row r="2162">
      <c r="G2162">
        <f>G2161+0.0001</f>
        <v/>
      </c>
    </row>
    <row r="2163">
      <c r="G2163">
        <f>G2162+0.0001</f>
        <v/>
      </c>
    </row>
    <row r="2164">
      <c r="G2164">
        <f>G2163+0.0001</f>
        <v/>
      </c>
    </row>
    <row r="2165">
      <c r="G2165">
        <f>G2164+0.0001</f>
        <v/>
      </c>
    </row>
    <row r="2166">
      <c r="G2166">
        <f>G2165+0.0001</f>
        <v/>
      </c>
    </row>
    <row r="2167">
      <c r="G2167">
        <f>G2166+0.0001</f>
        <v/>
      </c>
    </row>
    <row r="2168">
      <c r="G2168">
        <f>G2167+0.0001</f>
        <v/>
      </c>
    </row>
    <row r="2169">
      <c r="G2169">
        <f>G2168+0.0001</f>
        <v/>
      </c>
    </row>
    <row r="2170">
      <c r="G2170">
        <f>G2169+0.0001</f>
        <v/>
      </c>
    </row>
    <row r="2171">
      <c r="G2171">
        <f>G2170+0.0001</f>
        <v/>
      </c>
    </row>
    <row r="2172">
      <c r="G2172">
        <f>G2171+0.0001</f>
        <v/>
      </c>
    </row>
    <row r="2173">
      <c r="G2173">
        <f>G2172+0.0001</f>
        <v/>
      </c>
    </row>
    <row r="2174">
      <c r="G2174">
        <f>G2173+0.0001</f>
        <v/>
      </c>
    </row>
    <row r="2175">
      <c r="G2175">
        <f>G2174+0.0001</f>
        <v/>
      </c>
    </row>
    <row r="2176">
      <c r="G2176">
        <f>G2175+0.0001</f>
        <v/>
      </c>
    </row>
    <row r="2177">
      <c r="G2177">
        <f>G2176+0.0001</f>
        <v/>
      </c>
    </row>
    <row r="2178">
      <c r="G2178">
        <f>G2177+0.0001</f>
        <v/>
      </c>
    </row>
    <row r="2179">
      <c r="G2179">
        <f>G2178+0.0001</f>
        <v/>
      </c>
    </row>
    <row r="2180">
      <c r="G2180">
        <f>G2179+0.0001</f>
        <v/>
      </c>
    </row>
    <row r="2181">
      <c r="G2181">
        <f>G2180+0.0001</f>
        <v/>
      </c>
    </row>
    <row r="2182">
      <c r="G2182">
        <f>G2181+0.0001</f>
        <v/>
      </c>
    </row>
    <row r="2183">
      <c r="G2183">
        <f>G2182+0.0001</f>
        <v/>
      </c>
    </row>
    <row r="2184">
      <c r="G2184">
        <f>G2183+0.0001</f>
        <v/>
      </c>
    </row>
    <row r="2185">
      <c r="G2185">
        <f>G2184+0.0001</f>
        <v/>
      </c>
    </row>
    <row r="2186">
      <c r="G2186">
        <f>G2185+0.0001</f>
        <v/>
      </c>
    </row>
    <row r="2187">
      <c r="G2187">
        <f>G2186+0.0001</f>
        <v/>
      </c>
    </row>
    <row r="2188">
      <c r="G2188">
        <f>G2187+0.0001</f>
        <v/>
      </c>
    </row>
    <row r="2189">
      <c r="G2189">
        <f>G2188+0.0001</f>
        <v/>
      </c>
    </row>
    <row r="2190">
      <c r="G2190">
        <f>G2189+0.0001</f>
        <v/>
      </c>
    </row>
    <row r="2191">
      <c r="G2191">
        <f>G2190+0.0001</f>
        <v/>
      </c>
    </row>
    <row r="2192">
      <c r="G2192">
        <f>G2191+0.0001</f>
        <v/>
      </c>
    </row>
    <row r="2193">
      <c r="G2193">
        <f>G2192+0.0001</f>
        <v/>
      </c>
    </row>
    <row r="2194">
      <c r="G2194">
        <f>G2193+0.0001</f>
        <v/>
      </c>
    </row>
    <row r="2195">
      <c r="G2195">
        <f>G2194+0.0001</f>
        <v/>
      </c>
    </row>
    <row r="2196">
      <c r="G2196">
        <f>G2195+0.0001</f>
        <v/>
      </c>
    </row>
    <row r="2197">
      <c r="G2197">
        <f>G2196+0.0001</f>
        <v/>
      </c>
    </row>
    <row r="2198">
      <c r="G2198">
        <f>G2197+0.0001</f>
        <v/>
      </c>
    </row>
    <row r="2199">
      <c r="G2199">
        <f>G2198+0.0001</f>
        <v/>
      </c>
    </row>
    <row r="2200">
      <c r="G2200">
        <f>G2199+0.0001</f>
        <v/>
      </c>
    </row>
    <row r="2201">
      <c r="G2201">
        <f>G2200+0.0001</f>
        <v/>
      </c>
    </row>
    <row r="2202">
      <c r="G2202">
        <f>G2201+0.0001</f>
        <v/>
      </c>
    </row>
    <row r="2203">
      <c r="G2203">
        <f>G2202+0.0001</f>
        <v/>
      </c>
    </row>
    <row r="2204">
      <c r="G2204">
        <f>G2203+0.0001</f>
        <v/>
      </c>
    </row>
    <row r="2205">
      <c r="G2205">
        <f>G2204+0.0001</f>
        <v/>
      </c>
    </row>
    <row r="2206">
      <c r="G2206">
        <f>G2205+0.0001</f>
        <v/>
      </c>
    </row>
    <row r="2207">
      <c r="G2207">
        <f>G2206+0.0001</f>
        <v/>
      </c>
    </row>
    <row r="2208">
      <c r="G2208">
        <f>G2207+0.0001</f>
        <v/>
      </c>
    </row>
    <row r="2209">
      <c r="G2209">
        <f>G2208+0.0001</f>
        <v/>
      </c>
    </row>
    <row r="2210">
      <c r="G2210">
        <f>G2209+0.0001</f>
        <v/>
      </c>
    </row>
    <row r="2211">
      <c r="G2211">
        <f>G2210+0.0001</f>
        <v/>
      </c>
    </row>
    <row r="2212">
      <c r="G2212">
        <f>G2211+0.0001</f>
        <v/>
      </c>
    </row>
    <row r="2213">
      <c r="G2213">
        <f>G2212+0.0001</f>
        <v/>
      </c>
    </row>
    <row r="2214">
      <c r="G2214">
        <f>G2213+0.0001</f>
        <v/>
      </c>
    </row>
    <row r="2215">
      <c r="G2215">
        <f>G2214+0.0001</f>
        <v/>
      </c>
    </row>
    <row r="2216">
      <c r="G2216">
        <f>G2215+0.0001</f>
        <v/>
      </c>
    </row>
    <row r="2217">
      <c r="G2217">
        <f>G2216+0.0001</f>
        <v/>
      </c>
    </row>
    <row r="2218">
      <c r="G2218">
        <f>G2217+0.0001</f>
        <v/>
      </c>
    </row>
    <row r="2219">
      <c r="G2219">
        <f>G2218+0.0001</f>
        <v/>
      </c>
    </row>
    <row r="2220">
      <c r="G2220">
        <f>G2219+0.0001</f>
        <v/>
      </c>
    </row>
    <row r="2221">
      <c r="G2221">
        <f>G2220+0.0001</f>
        <v/>
      </c>
    </row>
    <row r="2222">
      <c r="G2222">
        <f>G2221+0.0001</f>
        <v/>
      </c>
    </row>
    <row r="2223">
      <c r="G2223">
        <f>G2222+0.0001</f>
        <v/>
      </c>
    </row>
    <row r="2224">
      <c r="G2224">
        <f>G2223+0.0001</f>
        <v/>
      </c>
    </row>
    <row r="2225">
      <c r="G2225">
        <f>G2224+0.0001</f>
        <v/>
      </c>
    </row>
    <row r="2226">
      <c r="G2226">
        <f>G2225+0.0001</f>
        <v/>
      </c>
    </row>
    <row r="2227">
      <c r="G2227">
        <f>G2226+0.0001</f>
        <v/>
      </c>
    </row>
    <row r="2228">
      <c r="G2228">
        <f>G2227+0.0001</f>
        <v/>
      </c>
    </row>
    <row r="2229">
      <c r="G2229">
        <f>G2228+0.0001</f>
        <v/>
      </c>
    </row>
    <row r="2230">
      <c r="G2230">
        <f>G2229+0.0001</f>
        <v/>
      </c>
    </row>
    <row r="2231">
      <c r="G2231">
        <f>G2230+0.0001</f>
        <v/>
      </c>
    </row>
    <row r="2232">
      <c r="G2232">
        <f>G2231+0.0001</f>
        <v/>
      </c>
    </row>
    <row r="2233">
      <c r="G2233">
        <f>G2232+0.0001</f>
        <v/>
      </c>
    </row>
    <row r="2234">
      <c r="G2234">
        <f>G2233+0.0001</f>
        <v/>
      </c>
    </row>
    <row r="2235">
      <c r="G2235">
        <f>G2234+0.0001</f>
        <v/>
      </c>
    </row>
    <row r="2236">
      <c r="G2236">
        <f>G2235+0.0001</f>
        <v/>
      </c>
    </row>
    <row r="2237">
      <c r="G2237">
        <f>G2236+0.0001</f>
        <v/>
      </c>
    </row>
    <row r="2238">
      <c r="G2238">
        <f>G2237+0.0001</f>
        <v/>
      </c>
    </row>
    <row r="2239">
      <c r="G2239">
        <f>G2238+0.0001</f>
        <v/>
      </c>
    </row>
    <row r="2240">
      <c r="G2240">
        <f>G2239+0.0001</f>
        <v/>
      </c>
    </row>
    <row r="2241">
      <c r="G2241">
        <f>G2240+0.0001</f>
        <v/>
      </c>
    </row>
    <row r="2242">
      <c r="G2242">
        <f>G2241+0.0001</f>
        <v/>
      </c>
    </row>
    <row r="2243">
      <c r="G2243">
        <f>G2242+0.0001</f>
        <v/>
      </c>
    </row>
    <row r="2244">
      <c r="G2244">
        <f>G2243+0.0001</f>
        <v/>
      </c>
    </row>
    <row r="2245">
      <c r="G2245">
        <f>G2244+0.0001</f>
        <v/>
      </c>
    </row>
    <row r="2246">
      <c r="G2246">
        <f>G2245+0.0001</f>
        <v/>
      </c>
    </row>
    <row r="2247">
      <c r="G2247">
        <f>G2246+0.0001</f>
        <v/>
      </c>
    </row>
    <row r="2248">
      <c r="G2248">
        <f>G2247+0.0001</f>
        <v/>
      </c>
    </row>
    <row r="2249">
      <c r="G2249">
        <f>G2248+0.0001</f>
        <v/>
      </c>
    </row>
    <row r="2250">
      <c r="G2250">
        <f>G2249+0.0001</f>
        <v/>
      </c>
    </row>
    <row r="2251">
      <c r="G2251">
        <f>G2250+0.0001</f>
        <v/>
      </c>
    </row>
    <row r="2252">
      <c r="G2252">
        <f>G2251+0.0001</f>
        <v/>
      </c>
    </row>
    <row r="2253">
      <c r="G2253">
        <f>G2252+0.0001</f>
        <v/>
      </c>
    </row>
    <row r="2254">
      <c r="G2254">
        <f>G2253+0.0001</f>
        <v/>
      </c>
    </row>
    <row r="2255">
      <c r="G2255">
        <f>G2254+0.0001</f>
        <v/>
      </c>
    </row>
    <row r="2256">
      <c r="G2256">
        <f>G2255+0.0001</f>
        <v/>
      </c>
    </row>
    <row r="2257">
      <c r="G2257">
        <f>G2256+0.0001</f>
        <v/>
      </c>
    </row>
    <row r="2258">
      <c r="G2258">
        <f>G2257+0.0001</f>
        <v/>
      </c>
    </row>
    <row r="2259">
      <c r="G2259">
        <f>G2258+0.0001</f>
        <v/>
      </c>
    </row>
    <row r="2260">
      <c r="G2260">
        <f>G2259+0.0001</f>
        <v/>
      </c>
    </row>
    <row r="2261">
      <c r="G2261">
        <f>G2260+0.0001</f>
        <v/>
      </c>
    </row>
    <row r="2262">
      <c r="G2262">
        <f>G2261+0.0001</f>
        <v/>
      </c>
    </row>
    <row r="2263">
      <c r="G2263">
        <f>G2262+0.0001</f>
        <v/>
      </c>
    </row>
    <row r="2264">
      <c r="G2264">
        <f>G2263+0.0001</f>
        <v/>
      </c>
    </row>
    <row r="2265">
      <c r="G2265">
        <f>G2264+0.0001</f>
        <v/>
      </c>
    </row>
    <row r="2266">
      <c r="G2266">
        <f>G2265+0.0001</f>
        <v/>
      </c>
    </row>
    <row r="2267">
      <c r="G2267">
        <f>G2266+0.0001</f>
        <v/>
      </c>
    </row>
    <row r="2268">
      <c r="G2268">
        <f>G2267+0.0001</f>
        <v/>
      </c>
    </row>
    <row r="2269">
      <c r="G2269">
        <f>G2268+0.0001</f>
        <v/>
      </c>
    </row>
    <row r="2270">
      <c r="G2270">
        <f>G2269+0.0001</f>
        <v/>
      </c>
    </row>
    <row r="2271">
      <c r="G2271">
        <f>G2270+0.0001</f>
        <v/>
      </c>
    </row>
    <row r="2272">
      <c r="G2272">
        <f>G2271+0.0001</f>
        <v/>
      </c>
    </row>
    <row r="2273">
      <c r="G2273">
        <f>G2272+0.0001</f>
        <v/>
      </c>
    </row>
    <row r="2274">
      <c r="G2274">
        <f>G2273+0.0001</f>
        <v/>
      </c>
    </row>
    <row r="2275">
      <c r="G2275">
        <f>G2274+0.0001</f>
        <v/>
      </c>
    </row>
    <row r="2276">
      <c r="G2276">
        <f>G2275+0.0001</f>
        <v/>
      </c>
    </row>
    <row r="2277">
      <c r="G2277">
        <f>G2276+0.0001</f>
        <v/>
      </c>
    </row>
    <row r="2278">
      <c r="G2278">
        <f>G2277+0.0001</f>
        <v/>
      </c>
    </row>
    <row r="2279">
      <c r="G2279">
        <f>G2278+0.0001</f>
        <v/>
      </c>
    </row>
    <row r="2280">
      <c r="G2280">
        <f>G2279+0.0001</f>
        <v/>
      </c>
    </row>
    <row r="2281">
      <c r="G2281">
        <f>G2280+0.0001</f>
        <v/>
      </c>
    </row>
    <row r="2282">
      <c r="G2282">
        <f>G2281+0.0001</f>
        <v/>
      </c>
    </row>
    <row r="2283">
      <c r="G2283">
        <f>G2282+0.0001</f>
        <v/>
      </c>
    </row>
    <row r="2284">
      <c r="G2284">
        <f>G2283+0.0001</f>
        <v/>
      </c>
    </row>
    <row r="2285">
      <c r="G2285">
        <f>G2284+0.0001</f>
        <v/>
      </c>
    </row>
    <row r="2286">
      <c r="G2286">
        <f>G2285+0.0001</f>
        <v/>
      </c>
    </row>
    <row r="2287">
      <c r="G2287">
        <f>G2286+0.0001</f>
        <v/>
      </c>
    </row>
    <row r="2288">
      <c r="G2288">
        <f>G2287+0.0001</f>
        <v/>
      </c>
    </row>
    <row r="2289">
      <c r="G2289">
        <f>G2288+0.0001</f>
        <v/>
      </c>
    </row>
    <row r="2290">
      <c r="G2290">
        <f>G2289+0.0001</f>
        <v/>
      </c>
    </row>
    <row r="2291">
      <c r="G2291">
        <f>G2290+0.0001</f>
        <v/>
      </c>
    </row>
    <row r="2292">
      <c r="G2292">
        <f>G2291+0.0001</f>
        <v/>
      </c>
    </row>
    <row r="2293">
      <c r="G2293">
        <f>G2292+0.0001</f>
        <v/>
      </c>
    </row>
    <row r="2294">
      <c r="G2294">
        <f>G2293+0.0001</f>
        <v/>
      </c>
    </row>
    <row r="2295">
      <c r="G2295">
        <f>G2294+0.0001</f>
        <v/>
      </c>
    </row>
    <row r="2296">
      <c r="G2296">
        <f>G2295+0.0001</f>
        <v/>
      </c>
    </row>
    <row r="2297">
      <c r="G2297">
        <f>G2296+0.0001</f>
        <v/>
      </c>
    </row>
    <row r="2298">
      <c r="G2298">
        <f>G2297+0.0001</f>
        <v/>
      </c>
    </row>
    <row r="2299">
      <c r="G2299">
        <f>G2298+0.0001</f>
        <v/>
      </c>
    </row>
    <row r="2300">
      <c r="G2300">
        <f>G2299+0.0001</f>
        <v/>
      </c>
    </row>
    <row r="2301">
      <c r="G2301">
        <f>G2300+0.0001</f>
        <v/>
      </c>
    </row>
    <row r="2302">
      <c r="G2302">
        <f>G2301+0.0001</f>
        <v/>
      </c>
    </row>
    <row r="2303">
      <c r="G2303">
        <f>G2302+0.0001</f>
        <v/>
      </c>
    </row>
    <row r="2304">
      <c r="G2304">
        <f>G2303+0.0001</f>
        <v/>
      </c>
    </row>
    <row r="2305">
      <c r="G2305">
        <f>G2304+0.0001</f>
        <v/>
      </c>
    </row>
    <row r="2306">
      <c r="G2306">
        <f>G2305+0.0001</f>
        <v/>
      </c>
    </row>
    <row r="2307">
      <c r="G2307">
        <f>G2306+0.0001</f>
        <v/>
      </c>
    </row>
    <row r="2308">
      <c r="G2308">
        <f>G2307+0.0001</f>
        <v/>
      </c>
    </row>
    <row r="2309">
      <c r="G2309">
        <f>G2308+0.0001</f>
        <v/>
      </c>
    </row>
    <row r="2310">
      <c r="G2310">
        <f>G2309+0.0001</f>
        <v/>
      </c>
    </row>
    <row r="2311">
      <c r="G2311">
        <f>G2310+0.0001</f>
        <v/>
      </c>
    </row>
    <row r="2312">
      <c r="G2312">
        <f>G2311+0.0001</f>
        <v/>
      </c>
    </row>
    <row r="2313">
      <c r="G2313">
        <f>G2312+0.0001</f>
        <v/>
      </c>
    </row>
    <row r="2314">
      <c r="G2314">
        <f>G2313+0.0001</f>
        <v/>
      </c>
    </row>
    <row r="2315">
      <c r="G2315">
        <f>G2314+0.0001</f>
        <v/>
      </c>
    </row>
    <row r="2316">
      <c r="G2316">
        <f>G2315+0.0001</f>
        <v/>
      </c>
    </row>
    <row r="2317">
      <c r="G2317">
        <f>G2316+0.0001</f>
        <v/>
      </c>
    </row>
    <row r="2318">
      <c r="G2318">
        <f>G2317+0.0001</f>
        <v/>
      </c>
    </row>
    <row r="2319">
      <c r="G2319">
        <f>G2318+0.0001</f>
        <v/>
      </c>
    </row>
    <row r="2320">
      <c r="G2320">
        <f>G2319+0.0001</f>
        <v/>
      </c>
    </row>
    <row r="2321">
      <c r="G2321">
        <f>G2320+0.0001</f>
        <v/>
      </c>
    </row>
    <row r="2322">
      <c r="G2322">
        <f>G2321+0.0001</f>
        <v/>
      </c>
    </row>
    <row r="2323">
      <c r="G2323">
        <f>G2322+0.0001</f>
        <v/>
      </c>
    </row>
    <row r="2324">
      <c r="G2324">
        <f>G2323+0.0001</f>
        <v/>
      </c>
    </row>
    <row r="2325">
      <c r="G2325">
        <f>G2324+0.0001</f>
        <v/>
      </c>
    </row>
    <row r="2326">
      <c r="G2326">
        <f>G2325+0.0001</f>
        <v/>
      </c>
    </row>
    <row r="2327">
      <c r="G2327">
        <f>G2326+0.0001</f>
        <v/>
      </c>
    </row>
    <row r="2328">
      <c r="G2328">
        <f>G2327+0.0001</f>
        <v/>
      </c>
    </row>
    <row r="2329">
      <c r="G2329">
        <f>G2328+0.0001</f>
        <v/>
      </c>
    </row>
    <row r="2330">
      <c r="G2330">
        <f>G2329+0.0001</f>
        <v/>
      </c>
    </row>
    <row r="2331">
      <c r="G2331">
        <f>G2330+0.0001</f>
        <v/>
      </c>
    </row>
    <row r="2332">
      <c r="G2332">
        <f>G2331+0.0001</f>
        <v/>
      </c>
    </row>
    <row r="2333">
      <c r="G2333">
        <f>G2332+0.0001</f>
        <v/>
      </c>
    </row>
    <row r="2334">
      <c r="G2334">
        <f>G2333+0.0001</f>
        <v/>
      </c>
    </row>
    <row r="2335">
      <c r="G2335">
        <f>G2334+0.0001</f>
        <v/>
      </c>
    </row>
    <row r="2336">
      <c r="G2336">
        <f>G2335+0.0001</f>
        <v/>
      </c>
    </row>
    <row r="2337">
      <c r="G2337">
        <f>G2336+0.0001</f>
        <v/>
      </c>
    </row>
    <row r="2338">
      <c r="G2338">
        <f>G2337+0.0001</f>
        <v/>
      </c>
    </row>
    <row r="2339">
      <c r="G2339">
        <f>G2338+0.0001</f>
        <v/>
      </c>
    </row>
    <row r="2340">
      <c r="G2340">
        <f>G2339+0.0001</f>
        <v/>
      </c>
    </row>
    <row r="2341">
      <c r="G2341">
        <f>G2340+0.0001</f>
        <v/>
      </c>
    </row>
    <row r="2342">
      <c r="G2342">
        <f>G2341+0.0001</f>
        <v/>
      </c>
    </row>
    <row r="2343">
      <c r="G2343">
        <f>G2342+0.0001</f>
        <v/>
      </c>
    </row>
    <row r="2344">
      <c r="G2344">
        <f>G2343+0.0001</f>
        <v/>
      </c>
    </row>
    <row r="2345">
      <c r="G2345">
        <f>G2344+0.0001</f>
        <v/>
      </c>
    </row>
    <row r="2346">
      <c r="G2346">
        <f>G2345+0.0001</f>
        <v/>
      </c>
    </row>
    <row r="2347">
      <c r="G2347">
        <f>G2346+0.0001</f>
        <v/>
      </c>
    </row>
    <row r="2348">
      <c r="G2348">
        <f>G2347+0.0001</f>
        <v/>
      </c>
    </row>
    <row r="2349">
      <c r="G2349">
        <f>G2348+0.0001</f>
        <v/>
      </c>
    </row>
    <row r="2350">
      <c r="G2350">
        <f>G2349+0.0001</f>
        <v/>
      </c>
    </row>
    <row r="2351">
      <c r="G2351">
        <f>G2350+0.0001</f>
        <v/>
      </c>
    </row>
    <row r="2352">
      <c r="G2352">
        <f>G2351+0.0001</f>
        <v/>
      </c>
    </row>
    <row r="2353">
      <c r="G2353">
        <f>G2352+0.0001</f>
        <v/>
      </c>
    </row>
    <row r="2354">
      <c r="G2354">
        <f>G2353+0.0001</f>
        <v/>
      </c>
    </row>
    <row r="2355">
      <c r="G2355">
        <f>G2354+0.0001</f>
        <v/>
      </c>
    </row>
    <row r="2356">
      <c r="G2356">
        <f>G2355+0.0001</f>
        <v/>
      </c>
    </row>
    <row r="2357">
      <c r="G2357">
        <f>G2356+0.0001</f>
        <v/>
      </c>
    </row>
    <row r="2358">
      <c r="G2358">
        <f>G2357+0.0001</f>
        <v/>
      </c>
    </row>
    <row r="2359">
      <c r="G2359">
        <f>G2358+0.0001</f>
        <v/>
      </c>
    </row>
    <row r="2360">
      <c r="G2360">
        <f>G2359+0.0001</f>
        <v/>
      </c>
    </row>
    <row r="2361">
      <c r="G2361">
        <f>G2360+0.0001</f>
        <v/>
      </c>
    </row>
    <row r="2362">
      <c r="G2362">
        <f>G2361+0.0001</f>
        <v/>
      </c>
    </row>
    <row r="2363">
      <c r="G2363">
        <f>G2362+0.0001</f>
        <v/>
      </c>
    </row>
    <row r="2364">
      <c r="G2364">
        <f>G2363+0.0001</f>
        <v/>
      </c>
    </row>
    <row r="2365">
      <c r="G2365">
        <f>G2364+0.0001</f>
        <v/>
      </c>
    </row>
    <row r="2366">
      <c r="G2366">
        <f>G2365+0.0001</f>
        <v/>
      </c>
    </row>
    <row r="2367">
      <c r="G2367">
        <f>G2366+0.0001</f>
        <v/>
      </c>
    </row>
    <row r="2368">
      <c r="G2368">
        <f>G2367+0.0001</f>
        <v/>
      </c>
    </row>
    <row r="2369">
      <c r="G2369">
        <f>G2368+0.0001</f>
        <v/>
      </c>
    </row>
    <row r="2370">
      <c r="G2370">
        <f>G2369+0.0001</f>
        <v/>
      </c>
    </row>
    <row r="2371">
      <c r="G2371">
        <f>G2370+0.0001</f>
        <v/>
      </c>
    </row>
    <row r="2372">
      <c r="G2372">
        <f>G2371+0.0001</f>
        <v/>
      </c>
    </row>
    <row r="2373">
      <c r="G2373">
        <f>G2372+0.0001</f>
        <v/>
      </c>
    </row>
    <row r="2374">
      <c r="G2374">
        <f>G2373+0.0001</f>
        <v/>
      </c>
    </row>
    <row r="2375">
      <c r="G2375">
        <f>G2374+0.0001</f>
        <v/>
      </c>
    </row>
    <row r="2376">
      <c r="G2376">
        <f>G2375+0.0001</f>
        <v/>
      </c>
    </row>
    <row r="2377">
      <c r="G2377">
        <f>G2376+0.0001</f>
        <v/>
      </c>
    </row>
    <row r="2378">
      <c r="G2378">
        <f>G2377+0.0001</f>
        <v/>
      </c>
    </row>
    <row r="2379">
      <c r="G2379">
        <f>G2378+0.0001</f>
        <v/>
      </c>
    </row>
    <row r="2380">
      <c r="G2380">
        <f>G2379+0.0001</f>
        <v/>
      </c>
    </row>
    <row r="2381">
      <c r="G2381">
        <f>G2380+0.0001</f>
        <v/>
      </c>
    </row>
    <row r="2382">
      <c r="G2382">
        <f>G2381+0.0001</f>
        <v/>
      </c>
    </row>
    <row r="2383">
      <c r="G2383">
        <f>G2382+0.0001</f>
        <v/>
      </c>
    </row>
    <row r="2384">
      <c r="G2384">
        <f>G2383+0.0001</f>
        <v/>
      </c>
    </row>
    <row r="2385">
      <c r="G2385">
        <f>G2384+0.0001</f>
        <v/>
      </c>
    </row>
    <row r="2386">
      <c r="G2386">
        <f>G2385+0.0001</f>
        <v/>
      </c>
    </row>
    <row r="2387">
      <c r="G2387">
        <f>G2386+0.0001</f>
        <v/>
      </c>
    </row>
    <row r="2388">
      <c r="G2388">
        <f>G2387+0.0001</f>
        <v/>
      </c>
    </row>
    <row r="2389">
      <c r="G2389">
        <f>G2388+0.0001</f>
        <v/>
      </c>
    </row>
    <row r="2390">
      <c r="G2390">
        <f>G2389+0.0001</f>
        <v/>
      </c>
    </row>
    <row r="2391">
      <c r="G2391">
        <f>G2390+0.0001</f>
        <v/>
      </c>
    </row>
    <row r="2392">
      <c r="G2392">
        <f>G2391+0.0001</f>
        <v/>
      </c>
    </row>
    <row r="2393">
      <c r="G2393">
        <f>G2392+0.0001</f>
        <v/>
      </c>
    </row>
    <row r="2394">
      <c r="G2394">
        <f>G2393+0.0001</f>
        <v/>
      </c>
    </row>
    <row r="2395">
      <c r="G2395">
        <f>G2394+0.0001</f>
        <v/>
      </c>
    </row>
    <row r="2396">
      <c r="G2396">
        <f>G2395+0.0001</f>
        <v/>
      </c>
    </row>
    <row r="2397">
      <c r="G2397">
        <f>G2396+0.0001</f>
        <v/>
      </c>
    </row>
    <row r="2398">
      <c r="G2398">
        <f>G2397+0.0001</f>
        <v/>
      </c>
    </row>
    <row r="2399">
      <c r="G2399">
        <f>G2398+0.0001</f>
        <v/>
      </c>
    </row>
    <row r="2400">
      <c r="G2400">
        <f>G2399+0.0001</f>
        <v/>
      </c>
    </row>
    <row r="2401">
      <c r="G2401">
        <f>G2400+0.0001</f>
        <v/>
      </c>
    </row>
    <row r="2402">
      <c r="G2402">
        <f>G2401+0.0001</f>
        <v/>
      </c>
    </row>
    <row r="2403">
      <c r="G2403">
        <f>G2402+0.0001</f>
        <v/>
      </c>
    </row>
    <row r="2404">
      <c r="G2404">
        <f>G2403+0.0001</f>
        <v/>
      </c>
    </row>
    <row r="2405">
      <c r="G2405">
        <f>G2404+0.0001</f>
        <v/>
      </c>
    </row>
    <row r="2406">
      <c r="G2406">
        <f>G2405+0.0001</f>
        <v/>
      </c>
    </row>
    <row r="2407">
      <c r="G2407">
        <f>G2406+0.0001</f>
        <v/>
      </c>
    </row>
    <row r="2408">
      <c r="G2408">
        <f>G2407+0.0001</f>
        <v/>
      </c>
    </row>
    <row r="2409">
      <c r="G2409">
        <f>G2408+0.0001</f>
        <v/>
      </c>
    </row>
    <row r="2410">
      <c r="G2410">
        <f>G2409+0.0001</f>
        <v/>
      </c>
    </row>
    <row r="2411">
      <c r="G2411">
        <f>G2410+0.0001</f>
        <v/>
      </c>
    </row>
    <row r="2412">
      <c r="G2412">
        <f>G2411+0.0001</f>
        <v/>
      </c>
    </row>
    <row r="2413">
      <c r="G2413">
        <f>G2412+0.0001</f>
        <v/>
      </c>
    </row>
    <row r="2414">
      <c r="G2414">
        <f>G2413+0.0001</f>
        <v/>
      </c>
    </row>
    <row r="2415">
      <c r="G2415">
        <f>G2414+0.0001</f>
        <v/>
      </c>
    </row>
    <row r="2416">
      <c r="G2416">
        <f>G2415+0.0001</f>
        <v/>
      </c>
    </row>
    <row r="2417">
      <c r="G2417">
        <f>G2416+0.0001</f>
        <v/>
      </c>
    </row>
    <row r="2418">
      <c r="G2418">
        <f>G2417+0.0001</f>
        <v/>
      </c>
    </row>
    <row r="2419">
      <c r="G2419">
        <f>G2418+0.0001</f>
        <v/>
      </c>
    </row>
    <row r="2420">
      <c r="G2420">
        <f>G2419+0.0001</f>
        <v/>
      </c>
    </row>
    <row r="2421">
      <c r="G2421">
        <f>G2420+0.0001</f>
        <v/>
      </c>
    </row>
    <row r="2422">
      <c r="G2422">
        <f>G2421+0.0001</f>
        <v/>
      </c>
    </row>
    <row r="2423">
      <c r="G2423">
        <f>G2422+0.0001</f>
        <v/>
      </c>
    </row>
    <row r="2424">
      <c r="G2424">
        <f>G2423+0.0001</f>
        <v/>
      </c>
    </row>
    <row r="2425">
      <c r="G2425">
        <f>G2424+0.0001</f>
        <v/>
      </c>
    </row>
    <row r="2426">
      <c r="G2426">
        <f>G2425+0.0001</f>
        <v/>
      </c>
    </row>
    <row r="2427">
      <c r="G2427">
        <f>G2426+0.0001</f>
        <v/>
      </c>
    </row>
    <row r="2428">
      <c r="G2428">
        <f>G2427+0.0001</f>
        <v/>
      </c>
    </row>
    <row r="2429">
      <c r="G2429">
        <f>G2428+0.0001</f>
        <v/>
      </c>
    </row>
    <row r="2430">
      <c r="G2430">
        <f>G2429+0.0001</f>
        <v/>
      </c>
    </row>
    <row r="2431">
      <c r="G2431">
        <f>G2430+0.0001</f>
        <v/>
      </c>
    </row>
    <row r="2432">
      <c r="G2432">
        <f>G2431+0.0001</f>
        <v/>
      </c>
    </row>
    <row r="2433">
      <c r="G2433">
        <f>G2432+0.0001</f>
        <v/>
      </c>
    </row>
    <row r="2434">
      <c r="G2434">
        <f>G2433+0.0001</f>
        <v/>
      </c>
    </row>
    <row r="2435">
      <c r="G2435">
        <f>G2434+0.0001</f>
        <v/>
      </c>
    </row>
    <row r="2436">
      <c r="G2436">
        <f>G2435+0.0001</f>
        <v/>
      </c>
    </row>
    <row r="2437">
      <c r="G2437">
        <f>G2436+0.0001</f>
        <v/>
      </c>
    </row>
    <row r="2438">
      <c r="G2438">
        <f>G2437+0.0001</f>
        <v/>
      </c>
    </row>
    <row r="2439">
      <c r="G2439">
        <f>G2438+0.0001</f>
        <v/>
      </c>
    </row>
    <row r="2440">
      <c r="G2440">
        <f>G2439+0.0001</f>
        <v/>
      </c>
    </row>
    <row r="2441">
      <c r="G2441">
        <f>G2440+0.0001</f>
        <v/>
      </c>
    </row>
    <row r="2442">
      <c r="G2442">
        <f>G2441+0.0001</f>
        <v/>
      </c>
    </row>
    <row r="2443">
      <c r="G2443">
        <f>G2442+0.0001</f>
        <v/>
      </c>
    </row>
    <row r="2444">
      <c r="G2444">
        <f>G2443+0.0001</f>
        <v/>
      </c>
    </row>
    <row r="2445">
      <c r="G2445">
        <f>G2444+0.0001</f>
        <v/>
      </c>
    </row>
    <row r="2446">
      <c r="G2446">
        <f>G2445+0.0001</f>
        <v/>
      </c>
    </row>
    <row r="2447">
      <c r="G2447">
        <f>G2446+0.0001</f>
        <v/>
      </c>
    </row>
    <row r="2448">
      <c r="G2448">
        <f>G2447+0.0001</f>
        <v/>
      </c>
    </row>
    <row r="2449">
      <c r="G2449">
        <f>G2448+0.0001</f>
        <v/>
      </c>
    </row>
    <row r="2450">
      <c r="G2450">
        <f>G2449+0.0001</f>
        <v/>
      </c>
    </row>
    <row r="2451">
      <c r="G2451">
        <f>G2450+0.0001</f>
        <v/>
      </c>
    </row>
    <row r="2452">
      <c r="G2452">
        <f>G2451+0.0001</f>
        <v/>
      </c>
    </row>
    <row r="2453">
      <c r="G2453">
        <f>G2452+0.0001</f>
        <v/>
      </c>
    </row>
    <row r="2454">
      <c r="G2454">
        <f>G2453+0.0001</f>
        <v/>
      </c>
    </row>
    <row r="2455">
      <c r="G2455">
        <f>G2454+0.0001</f>
        <v/>
      </c>
    </row>
    <row r="2456">
      <c r="G2456">
        <f>G2455+0.0001</f>
        <v/>
      </c>
    </row>
    <row r="2457">
      <c r="G2457">
        <f>G2456+0.0001</f>
        <v/>
      </c>
    </row>
    <row r="2458">
      <c r="G2458">
        <f>G2457+0.0001</f>
        <v/>
      </c>
    </row>
    <row r="2459">
      <c r="G2459">
        <f>G2458+0.0001</f>
        <v/>
      </c>
    </row>
    <row r="2460">
      <c r="G2460">
        <f>G2459+0.0001</f>
        <v/>
      </c>
    </row>
    <row r="2461">
      <c r="G2461">
        <f>G2460+0.0001</f>
        <v/>
      </c>
    </row>
    <row r="2462">
      <c r="G2462">
        <f>G2461+0.0001</f>
        <v/>
      </c>
    </row>
    <row r="2463">
      <c r="G2463">
        <f>G2462+0.0001</f>
        <v/>
      </c>
    </row>
    <row r="2464">
      <c r="G2464">
        <f>G2463+0.0001</f>
        <v/>
      </c>
    </row>
    <row r="2465">
      <c r="G2465">
        <f>G2464+0.0001</f>
        <v/>
      </c>
    </row>
    <row r="2466">
      <c r="G2466">
        <f>G2465+0.0001</f>
        <v/>
      </c>
    </row>
    <row r="2467">
      <c r="G2467">
        <f>G2466+0.0001</f>
        <v/>
      </c>
    </row>
    <row r="2468">
      <c r="G2468">
        <f>G2467+0.0001</f>
        <v/>
      </c>
    </row>
    <row r="2469">
      <c r="G2469">
        <f>G2468+0.0001</f>
        <v/>
      </c>
    </row>
    <row r="2470">
      <c r="G2470">
        <f>G2469+0.0001</f>
        <v/>
      </c>
    </row>
    <row r="2471">
      <c r="G2471">
        <f>G2470+0.0001</f>
        <v/>
      </c>
    </row>
    <row r="2472">
      <c r="G2472">
        <f>G2471+0.0001</f>
        <v/>
      </c>
    </row>
    <row r="2473">
      <c r="G2473">
        <f>G2472+0.0001</f>
        <v/>
      </c>
    </row>
    <row r="2474">
      <c r="G2474">
        <f>G2473+0.0001</f>
        <v/>
      </c>
    </row>
    <row r="2475">
      <c r="G2475">
        <f>G2474+0.0001</f>
        <v/>
      </c>
    </row>
    <row r="2476">
      <c r="G2476">
        <f>G2475+0.0001</f>
        <v/>
      </c>
    </row>
    <row r="2477">
      <c r="G2477">
        <f>G2476+0.0001</f>
        <v/>
      </c>
    </row>
    <row r="2478">
      <c r="G2478">
        <f>G2477+0.0001</f>
        <v/>
      </c>
    </row>
    <row r="2479">
      <c r="G2479">
        <f>G2478+0.0001</f>
        <v/>
      </c>
    </row>
    <row r="2480">
      <c r="G2480">
        <f>G2479+0.0001</f>
        <v/>
      </c>
    </row>
    <row r="2481">
      <c r="G2481">
        <f>G2480+0.0001</f>
        <v/>
      </c>
    </row>
    <row r="2482">
      <c r="G2482">
        <f>G2481+0.0001</f>
        <v/>
      </c>
    </row>
    <row r="2483">
      <c r="G2483">
        <f>G2482+0.0001</f>
        <v/>
      </c>
    </row>
    <row r="2484">
      <c r="G2484">
        <f>G2483+0.0001</f>
        <v/>
      </c>
    </row>
    <row r="2485">
      <c r="G2485">
        <f>G2484+0.0001</f>
        <v/>
      </c>
    </row>
    <row r="2486">
      <c r="G2486">
        <f>G2485+0.0001</f>
        <v/>
      </c>
    </row>
    <row r="2487">
      <c r="G2487">
        <f>G2486+0.0001</f>
        <v/>
      </c>
    </row>
    <row r="2488">
      <c r="G2488">
        <f>G2487+0.0001</f>
        <v/>
      </c>
    </row>
    <row r="2489">
      <c r="G2489">
        <f>G2488+0.0001</f>
        <v/>
      </c>
    </row>
    <row r="2490">
      <c r="G2490">
        <f>G2489+0.0001</f>
        <v/>
      </c>
    </row>
    <row r="2491">
      <c r="G2491">
        <f>G2490+0.0001</f>
        <v/>
      </c>
    </row>
    <row r="2492">
      <c r="G2492">
        <f>G2491+0.0001</f>
        <v/>
      </c>
    </row>
    <row r="2493">
      <c r="G2493">
        <f>G2492+0.0001</f>
        <v/>
      </c>
    </row>
    <row r="2494">
      <c r="G2494">
        <f>G2493+0.0001</f>
        <v/>
      </c>
    </row>
    <row r="2495">
      <c r="G2495">
        <f>G2494+0.0001</f>
        <v/>
      </c>
    </row>
    <row r="2496">
      <c r="G2496">
        <f>G2495+0.0001</f>
        <v/>
      </c>
    </row>
    <row r="2497">
      <c r="G2497">
        <f>G2496+0.0001</f>
        <v/>
      </c>
    </row>
    <row r="2498">
      <c r="G2498">
        <f>G2497+0.0001</f>
        <v/>
      </c>
    </row>
    <row r="2499">
      <c r="G2499">
        <f>G2498+0.0001</f>
        <v/>
      </c>
    </row>
    <row r="2500">
      <c r="G2500">
        <f>G2499+0.0001</f>
        <v/>
      </c>
    </row>
    <row r="2501">
      <c r="G2501">
        <f>G2500+0.0001</f>
        <v/>
      </c>
    </row>
    <row r="2502">
      <c r="G2502">
        <f>G2501+0.0001</f>
        <v/>
      </c>
    </row>
    <row r="2503">
      <c r="G2503">
        <f>G2502+0.0001</f>
        <v/>
      </c>
    </row>
    <row r="2504">
      <c r="G2504">
        <f>G2503+0.0001</f>
        <v/>
      </c>
    </row>
    <row r="2505">
      <c r="G2505">
        <f>G2504+0.0001</f>
        <v/>
      </c>
    </row>
    <row r="2506">
      <c r="G2506">
        <f>G2505+0.0001</f>
        <v/>
      </c>
    </row>
    <row r="2507">
      <c r="G2507">
        <f>G2506+0.0001</f>
        <v/>
      </c>
    </row>
    <row r="2508">
      <c r="G2508">
        <f>G2507+0.0001</f>
        <v/>
      </c>
    </row>
    <row r="2509">
      <c r="G2509">
        <f>G2508+0.0001</f>
        <v/>
      </c>
    </row>
    <row r="2510">
      <c r="G2510">
        <f>G2509+0.0001</f>
        <v/>
      </c>
    </row>
    <row r="2511">
      <c r="G2511">
        <f>G2510+0.0001</f>
        <v/>
      </c>
    </row>
    <row r="2512">
      <c r="G2512">
        <f>G2511+0.0001</f>
        <v/>
      </c>
    </row>
    <row r="2513">
      <c r="G2513">
        <f>G2512+0.0001</f>
        <v/>
      </c>
    </row>
    <row r="2514">
      <c r="G2514">
        <f>G2513+0.0001</f>
        <v/>
      </c>
    </row>
    <row r="2515">
      <c r="G2515">
        <f>G2514+0.0001</f>
        <v/>
      </c>
    </row>
    <row r="2516">
      <c r="G2516">
        <f>G2515+0.0001</f>
        <v/>
      </c>
    </row>
    <row r="2517">
      <c r="G2517">
        <f>G2516+0.0001</f>
        <v/>
      </c>
    </row>
    <row r="2518">
      <c r="G2518">
        <f>G2517+0.0001</f>
        <v/>
      </c>
    </row>
    <row r="2519">
      <c r="G2519">
        <f>G2518+0.0001</f>
        <v/>
      </c>
    </row>
    <row r="2520">
      <c r="G2520">
        <f>G2519+0.0001</f>
        <v/>
      </c>
    </row>
    <row r="2521">
      <c r="G2521">
        <f>G2520+0.0001</f>
        <v/>
      </c>
    </row>
    <row r="2522">
      <c r="G2522">
        <f>G2521+0.0001</f>
        <v/>
      </c>
    </row>
    <row r="2523">
      <c r="G2523">
        <f>G2522+0.0001</f>
        <v/>
      </c>
    </row>
    <row r="2524">
      <c r="G2524">
        <f>G2523+0.0001</f>
        <v/>
      </c>
    </row>
    <row r="2525">
      <c r="G2525">
        <f>G2524+0.0001</f>
        <v/>
      </c>
    </row>
    <row r="2526">
      <c r="G2526">
        <f>G2525+0.0001</f>
        <v/>
      </c>
    </row>
    <row r="2527">
      <c r="G2527">
        <f>G2526+0.0001</f>
        <v/>
      </c>
    </row>
    <row r="2528">
      <c r="G2528">
        <f>G2527+0.0001</f>
        <v/>
      </c>
    </row>
    <row r="2529">
      <c r="G2529">
        <f>G2528+0.0001</f>
        <v/>
      </c>
    </row>
    <row r="2530">
      <c r="G2530">
        <f>G2529+0.0001</f>
        <v/>
      </c>
    </row>
    <row r="2531">
      <c r="G2531">
        <f>G2530+0.0001</f>
        <v/>
      </c>
    </row>
    <row r="2532">
      <c r="G2532">
        <f>G2531+0.0001</f>
        <v/>
      </c>
    </row>
    <row r="2533">
      <c r="G2533">
        <f>G2532+0.0001</f>
        <v/>
      </c>
    </row>
    <row r="2534">
      <c r="G2534">
        <f>G2533+0.0001</f>
        <v/>
      </c>
    </row>
    <row r="2535">
      <c r="G2535">
        <f>G2534+0.0001</f>
        <v/>
      </c>
    </row>
    <row r="2536">
      <c r="G2536">
        <f>G2535+0.0001</f>
        <v/>
      </c>
    </row>
    <row r="2537">
      <c r="G2537">
        <f>G2536+0.0001</f>
        <v/>
      </c>
    </row>
    <row r="2538">
      <c r="G2538">
        <f>G2537+0.0001</f>
        <v/>
      </c>
    </row>
    <row r="2539">
      <c r="G2539">
        <f>G2538+0.0001</f>
        <v/>
      </c>
    </row>
    <row r="2540">
      <c r="G2540">
        <f>G2539+0.0001</f>
        <v/>
      </c>
    </row>
    <row r="2541">
      <c r="G2541">
        <f>G2540+0.0001</f>
        <v/>
      </c>
    </row>
    <row r="2542">
      <c r="G2542">
        <f>G2541+0.0001</f>
        <v/>
      </c>
    </row>
    <row r="2543">
      <c r="G2543">
        <f>G2542+0.0001</f>
        <v/>
      </c>
    </row>
    <row r="2544">
      <c r="G2544">
        <f>G2543+0.0001</f>
        <v/>
      </c>
    </row>
    <row r="2545">
      <c r="G2545">
        <f>G2544+0.0001</f>
        <v/>
      </c>
    </row>
    <row r="2546">
      <c r="G2546">
        <f>G2545+0.0001</f>
        <v/>
      </c>
    </row>
    <row r="2547">
      <c r="G2547">
        <f>G2546+0.0001</f>
        <v/>
      </c>
    </row>
    <row r="2548">
      <c r="G2548">
        <f>G2547+0.0001</f>
        <v/>
      </c>
    </row>
    <row r="2549">
      <c r="G2549">
        <f>G2548+0.0001</f>
        <v/>
      </c>
    </row>
    <row r="2550">
      <c r="G2550">
        <f>G2549+0.0001</f>
        <v/>
      </c>
    </row>
    <row r="2551">
      <c r="G2551">
        <f>G2550+0.0001</f>
        <v/>
      </c>
    </row>
    <row r="2552">
      <c r="G2552">
        <f>G2551+0.0001</f>
        <v/>
      </c>
    </row>
    <row r="2553">
      <c r="G2553">
        <f>G2552+0.0001</f>
        <v/>
      </c>
    </row>
    <row r="2554">
      <c r="G2554">
        <f>G2553+0.0001</f>
        <v/>
      </c>
    </row>
    <row r="2555">
      <c r="G2555">
        <f>G2554+0.0001</f>
        <v/>
      </c>
    </row>
    <row r="2556">
      <c r="G2556">
        <f>G2555+0.0001</f>
        <v/>
      </c>
    </row>
    <row r="2557">
      <c r="G2557">
        <f>G2556+0.0001</f>
        <v/>
      </c>
    </row>
    <row r="2558">
      <c r="G2558">
        <f>G2557+0.0001</f>
        <v/>
      </c>
    </row>
    <row r="2559">
      <c r="G2559">
        <f>G2558+0.0001</f>
        <v/>
      </c>
    </row>
    <row r="2560">
      <c r="G2560">
        <f>G2559+0.0001</f>
        <v/>
      </c>
    </row>
    <row r="2561">
      <c r="G2561">
        <f>G2560+0.0001</f>
        <v/>
      </c>
    </row>
    <row r="2562">
      <c r="G2562">
        <f>G2561+0.0001</f>
        <v/>
      </c>
    </row>
    <row r="2563">
      <c r="G2563">
        <f>G2562+0.0001</f>
        <v/>
      </c>
    </row>
    <row r="2564">
      <c r="G2564">
        <f>G2563+0.0001</f>
        <v/>
      </c>
    </row>
    <row r="2565">
      <c r="G2565">
        <f>G2564+0.0001</f>
        <v/>
      </c>
    </row>
    <row r="2566">
      <c r="G2566">
        <f>G2565+0.0001</f>
        <v/>
      </c>
    </row>
    <row r="2567">
      <c r="G2567">
        <f>G2566+0.0001</f>
        <v/>
      </c>
    </row>
    <row r="2568">
      <c r="G2568">
        <f>G2567+0.0001</f>
        <v/>
      </c>
    </row>
    <row r="2569">
      <c r="G2569">
        <f>G2568+0.0001</f>
        <v/>
      </c>
    </row>
    <row r="2570">
      <c r="G2570">
        <f>G2569+0.0001</f>
        <v/>
      </c>
    </row>
    <row r="2571">
      <c r="G2571">
        <f>G2570+0.0001</f>
        <v/>
      </c>
    </row>
    <row r="2572">
      <c r="G2572">
        <f>G2571+0.0001</f>
        <v/>
      </c>
    </row>
    <row r="2573">
      <c r="G2573">
        <f>G2572+0.0001</f>
        <v/>
      </c>
    </row>
    <row r="2574">
      <c r="G2574">
        <f>G2573+0.0001</f>
        <v/>
      </c>
    </row>
    <row r="2575">
      <c r="G2575">
        <f>G2574+0.0001</f>
        <v/>
      </c>
    </row>
    <row r="2576">
      <c r="G2576">
        <f>G2575+0.0001</f>
        <v/>
      </c>
    </row>
    <row r="2577">
      <c r="G2577">
        <f>G2576+0.0001</f>
        <v/>
      </c>
    </row>
    <row r="2578">
      <c r="G2578">
        <f>G2577+0.0001</f>
        <v/>
      </c>
    </row>
    <row r="2579">
      <c r="G2579">
        <f>G2578+0.0001</f>
        <v/>
      </c>
    </row>
    <row r="2580">
      <c r="G2580">
        <f>G2579+0.0001</f>
        <v/>
      </c>
    </row>
    <row r="2581">
      <c r="G2581">
        <f>G2580+0.0001</f>
        <v/>
      </c>
    </row>
    <row r="2582">
      <c r="G2582">
        <f>G2581+0.0001</f>
        <v/>
      </c>
    </row>
    <row r="2583">
      <c r="G2583">
        <f>G2582+0.0001</f>
        <v/>
      </c>
    </row>
    <row r="2584">
      <c r="G2584">
        <f>G2583+0.0001</f>
        <v/>
      </c>
    </row>
    <row r="2585">
      <c r="G2585">
        <f>G2584+0.0001</f>
        <v/>
      </c>
    </row>
    <row r="2586">
      <c r="G2586">
        <f>G2585+0.0001</f>
        <v/>
      </c>
    </row>
    <row r="2587">
      <c r="G2587">
        <f>G2586+0.0001</f>
        <v/>
      </c>
    </row>
    <row r="2588">
      <c r="G2588">
        <f>G2587+0.0001</f>
        <v/>
      </c>
    </row>
    <row r="2589">
      <c r="G2589">
        <f>G2588+0.0001</f>
        <v/>
      </c>
    </row>
    <row r="2590">
      <c r="G2590">
        <f>G2589+0.0001</f>
        <v/>
      </c>
    </row>
    <row r="2591">
      <c r="G2591">
        <f>G2590+0.0001</f>
        <v/>
      </c>
    </row>
    <row r="2592">
      <c r="G2592">
        <f>G2591+0.0001</f>
        <v/>
      </c>
    </row>
    <row r="2593">
      <c r="G2593">
        <f>G2592+0.0001</f>
        <v/>
      </c>
    </row>
    <row r="2594">
      <c r="G2594">
        <f>G2593+0.0001</f>
        <v/>
      </c>
    </row>
    <row r="2595">
      <c r="G2595">
        <f>G2594+0.0001</f>
        <v/>
      </c>
    </row>
    <row r="2596">
      <c r="G2596">
        <f>G2595+0.0001</f>
        <v/>
      </c>
    </row>
    <row r="2597">
      <c r="G2597">
        <f>G2596+0.0001</f>
        <v/>
      </c>
    </row>
    <row r="2598">
      <c r="G2598">
        <f>G2597+0.0001</f>
        <v/>
      </c>
    </row>
    <row r="2599">
      <c r="G2599">
        <f>G2598+0.0001</f>
        <v/>
      </c>
    </row>
    <row r="2600">
      <c r="G2600">
        <f>G2599+0.0001</f>
        <v/>
      </c>
    </row>
    <row r="2601">
      <c r="G2601">
        <f>G2600+0.0001</f>
        <v/>
      </c>
    </row>
    <row r="2602">
      <c r="G2602">
        <f>G2601+0.0001</f>
        <v/>
      </c>
    </row>
    <row r="2603">
      <c r="G2603">
        <f>G2602+0.0001</f>
        <v/>
      </c>
    </row>
    <row r="2604">
      <c r="G2604">
        <f>G2603+0.0001</f>
        <v/>
      </c>
    </row>
    <row r="2605">
      <c r="G2605">
        <f>G2604+0.0001</f>
        <v/>
      </c>
    </row>
    <row r="2606">
      <c r="G2606">
        <f>G2605+0.0001</f>
        <v/>
      </c>
    </row>
    <row r="2607">
      <c r="G2607">
        <f>G2606+0.0001</f>
        <v/>
      </c>
    </row>
    <row r="2608">
      <c r="G2608">
        <f>G2607+0.0001</f>
        <v/>
      </c>
    </row>
    <row r="2609">
      <c r="G2609">
        <f>G2608+0.0001</f>
        <v/>
      </c>
    </row>
    <row r="2610">
      <c r="G2610">
        <f>G2609+0.0001</f>
        <v/>
      </c>
    </row>
    <row r="2611">
      <c r="G2611">
        <f>G2610+0.0001</f>
        <v/>
      </c>
    </row>
    <row r="2612">
      <c r="G2612">
        <f>G2611+0.0001</f>
        <v/>
      </c>
    </row>
    <row r="2613">
      <c r="G2613">
        <f>G2612+0.0001</f>
        <v/>
      </c>
    </row>
    <row r="2614">
      <c r="G2614">
        <f>G2613+0.0001</f>
        <v/>
      </c>
    </row>
    <row r="2615">
      <c r="G2615">
        <f>G2614+0.0001</f>
        <v/>
      </c>
    </row>
    <row r="2616">
      <c r="G2616">
        <f>G2615+0.0001</f>
        <v/>
      </c>
    </row>
    <row r="2617">
      <c r="G2617">
        <f>G2616+0.0001</f>
        <v/>
      </c>
    </row>
    <row r="2618">
      <c r="G2618">
        <f>G2617+0.0001</f>
        <v/>
      </c>
    </row>
    <row r="2619">
      <c r="G2619">
        <f>G2618+0.0001</f>
        <v/>
      </c>
    </row>
    <row r="2620">
      <c r="G2620">
        <f>G2619+0.0001</f>
        <v/>
      </c>
    </row>
    <row r="2621">
      <c r="G2621">
        <f>G2620+0.0001</f>
        <v/>
      </c>
    </row>
    <row r="2622">
      <c r="G2622">
        <f>G2621+0.0001</f>
        <v/>
      </c>
    </row>
    <row r="2623">
      <c r="G2623">
        <f>G2622+0.0001</f>
        <v/>
      </c>
    </row>
    <row r="2624">
      <c r="G2624">
        <f>G2623+0.0001</f>
        <v/>
      </c>
    </row>
    <row r="2625">
      <c r="G2625">
        <f>G2624+0.0001</f>
        <v/>
      </c>
    </row>
    <row r="2626">
      <c r="G2626">
        <f>G2625+0.0001</f>
        <v/>
      </c>
    </row>
    <row r="2627">
      <c r="G2627">
        <f>G2626+0.0001</f>
        <v/>
      </c>
    </row>
    <row r="2628">
      <c r="G2628">
        <f>G2627+0.0001</f>
        <v/>
      </c>
    </row>
    <row r="2629">
      <c r="G2629">
        <f>G2628+0.0001</f>
        <v/>
      </c>
    </row>
    <row r="2630">
      <c r="G2630">
        <f>G2629+0.0001</f>
        <v/>
      </c>
    </row>
    <row r="2631">
      <c r="G2631">
        <f>G2630+0.0001</f>
        <v/>
      </c>
    </row>
    <row r="2632">
      <c r="G2632">
        <f>G2631+0.0001</f>
        <v/>
      </c>
    </row>
    <row r="2633">
      <c r="G2633">
        <f>G2632+0.0001</f>
        <v/>
      </c>
    </row>
    <row r="2634">
      <c r="G2634">
        <f>G2633+0.0001</f>
        <v/>
      </c>
    </row>
    <row r="2635">
      <c r="G2635">
        <f>G2634+0.0001</f>
        <v/>
      </c>
    </row>
    <row r="2636">
      <c r="G2636">
        <f>G2635+0.0001</f>
        <v/>
      </c>
    </row>
    <row r="2637">
      <c r="G2637">
        <f>G2636+0.0001</f>
        <v/>
      </c>
    </row>
    <row r="2638">
      <c r="G2638">
        <f>G2637+0.0001</f>
        <v/>
      </c>
    </row>
    <row r="2639">
      <c r="G2639">
        <f>G2638+0.0001</f>
        <v/>
      </c>
    </row>
    <row r="2640">
      <c r="G2640">
        <f>G2639+0.0001</f>
        <v/>
      </c>
    </row>
    <row r="2641">
      <c r="G2641">
        <f>G2640+0.0001</f>
        <v/>
      </c>
    </row>
    <row r="2642">
      <c r="G2642">
        <f>G2641+0.0001</f>
        <v/>
      </c>
    </row>
    <row r="2643">
      <c r="G2643">
        <f>G2642+0.0001</f>
        <v/>
      </c>
    </row>
    <row r="2644">
      <c r="G2644">
        <f>G2643+0.0001</f>
        <v/>
      </c>
    </row>
    <row r="2645">
      <c r="G2645">
        <f>G2644+0.0001</f>
        <v/>
      </c>
    </row>
    <row r="2646">
      <c r="G2646">
        <f>G2645+0.0001</f>
        <v/>
      </c>
    </row>
    <row r="2647">
      <c r="G2647">
        <f>G2646+0.0001</f>
        <v/>
      </c>
    </row>
    <row r="2648">
      <c r="G2648">
        <f>G2647+0.0001</f>
        <v/>
      </c>
    </row>
    <row r="2649">
      <c r="G2649">
        <f>G2648+0.0001</f>
        <v/>
      </c>
    </row>
    <row r="2650">
      <c r="G2650">
        <f>G2649+0.0001</f>
        <v/>
      </c>
    </row>
    <row r="2651">
      <c r="G2651">
        <f>G2650+0.0001</f>
        <v/>
      </c>
    </row>
    <row r="2652">
      <c r="G2652">
        <f>G2651+0.0001</f>
        <v/>
      </c>
    </row>
    <row r="2653">
      <c r="G2653">
        <f>G2652+0.0001</f>
        <v/>
      </c>
    </row>
    <row r="2654">
      <c r="G2654">
        <f>G2653+0.0001</f>
        <v/>
      </c>
    </row>
    <row r="2655">
      <c r="G2655">
        <f>G2654+0.0001</f>
        <v/>
      </c>
    </row>
    <row r="2656">
      <c r="G2656">
        <f>G2655+0.0001</f>
        <v/>
      </c>
    </row>
    <row r="2657">
      <c r="G2657">
        <f>G2656+0.0001</f>
        <v/>
      </c>
    </row>
    <row r="2658">
      <c r="G2658">
        <f>G2657+0.0001</f>
        <v/>
      </c>
    </row>
    <row r="2659">
      <c r="G2659">
        <f>G2658+0.0001</f>
        <v/>
      </c>
    </row>
    <row r="2660">
      <c r="G2660">
        <f>G2659+0.0001</f>
        <v/>
      </c>
    </row>
    <row r="2661">
      <c r="G2661">
        <f>G2660+0.0001</f>
        <v/>
      </c>
    </row>
    <row r="2662">
      <c r="G2662">
        <f>G2661+0.0001</f>
        <v/>
      </c>
    </row>
    <row r="2663">
      <c r="G2663">
        <f>G2662+0.0001</f>
        <v/>
      </c>
    </row>
    <row r="2664">
      <c r="G2664">
        <f>G2663+0.0001</f>
        <v/>
      </c>
    </row>
    <row r="2665">
      <c r="G2665">
        <f>G2664+0.0001</f>
        <v/>
      </c>
    </row>
    <row r="2666">
      <c r="G2666">
        <f>G2665+0.0001</f>
        <v/>
      </c>
    </row>
    <row r="2667">
      <c r="G2667">
        <f>G2666+0.0001</f>
        <v/>
      </c>
    </row>
    <row r="2668">
      <c r="G2668">
        <f>G2667+0.0001</f>
        <v/>
      </c>
    </row>
    <row r="2669">
      <c r="G2669">
        <f>G2668+0.0001</f>
        <v/>
      </c>
    </row>
    <row r="2670">
      <c r="G2670">
        <f>G2669+0.0001</f>
        <v/>
      </c>
    </row>
    <row r="2671">
      <c r="G2671">
        <f>G2670+0.0001</f>
        <v/>
      </c>
    </row>
    <row r="2672">
      <c r="G2672">
        <f>G2671+0.0001</f>
        <v/>
      </c>
    </row>
    <row r="2673">
      <c r="G2673">
        <f>G2672+0.0001</f>
        <v/>
      </c>
    </row>
    <row r="2674">
      <c r="G2674">
        <f>G2673+0.0001</f>
        <v/>
      </c>
    </row>
    <row r="2675">
      <c r="G2675">
        <f>G2674+0.0001</f>
        <v/>
      </c>
    </row>
    <row r="2676">
      <c r="G2676">
        <f>G2675+0.0001</f>
        <v/>
      </c>
    </row>
    <row r="2677">
      <c r="G2677">
        <f>G2676+0.0001</f>
        <v/>
      </c>
    </row>
    <row r="2678">
      <c r="G2678">
        <f>G2677+0.0001</f>
        <v/>
      </c>
    </row>
    <row r="2679">
      <c r="G2679">
        <f>G2678+0.0001</f>
        <v/>
      </c>
    </row>
    <row r="2680">
      <c r="G2680">
        <f>G2679+0.0001</f>
        <v/>
      </c>
    </row>
    <row r="2681">
      <c r="G2681">
        <f>G2680+0.0001</f>
        <v/>
      </c>
    </row>
    <row r="2682">
      <c r="G2682">
        <f>G2681+0.0001</f>
        <v/>
      </c>
    </row>
    <row r="2683">
      <c r="G2683">
        <f>G2682+0.0001</f>
        <v/>
      </c>
    </row>
    <row r="2684">
      <c r="G2684">
        <f>G2683+0.0001</f>
        <v/>
      </c>
    </row>
    <row r="2685">
      <c r="G2685">
        <f>G2684+0.0001</f>
        <v/>
      </c>
    </row>
    <row r="2686">
      <c r="G2686">
        <f>G2685+0.0001</f>
        <v/>
      </c>
    </row>
    <row r="2687">
      <c r="G2687">
        <f>G2686+0.0001</f>
        <v/>
      </c>
    </row>
    <row r="2688">
      <c r="G2688">
        <f>G2687+0.0001</f>
        <v/>
      </c>
    </row>
    <row r="2689">
      <c r="G2689">
        <f>G2688+0.0001</f>
        <v/>
      </c>
    </row>
    <row r="2690">
      <c r="G2690">
        <f>G2689+0.0001</f>
        <v/>
      </c>
    </row>
    <row r="2691">
      <c r="G2691">
        <f>G2690+0.0001</f>
        <v/>
      </c>
    </row>
    <row r="2692">
      <c r="G2692">
        <f>G2691+0.0001</f>
        <v/>
      </c>
    </row>
    <row r="2693">
      <c r="G2693">
        <f>G2692+0.0001</f>
        <v/>
      </c>
    </row>
    <row r="2694">
      <c r="G2694">
        <f>G2693+0.0001</f>
        <v/>
      </c>
    </row>
    <row r="2695">
      <c r="G2695">
        <f>G2694+0.0001</f>
        <v/>
      </c>
    </row>
    <row r="2696">
      <c r="G2696">
        <f>G2695+0.0001</f>
        <v/>
      </c>
    </row>
    <row r="2697">
      <c r="G2697">
        <f>G2696+0.0001</f>
        <v/>
      </c>
    </row>
    <row r="2698">
      <c r="G2698">
        <f>G2697+0.0001</f>
        <v/>
      </c>
    </row>
    <row r="2699">
      <c r="G2699">
        <f>G2698+0.0001</f>
        <v/>
      </c>
    </row>
    <row r="2700">
      <c r="G2700">
        <f>G2699+0.0001</f>
        <v/>
      </c>
    </row>
    <row r="2701">
      <c r="G2701">
        <f>G2700+0.0001</f>
        <v/>
      </c>
    </row>
    <row r="2702">
      <c r="G2702">
        <f>G2701+0.0001</f>
        <v/>
      </c>
    </row>
    <row r="2703">
      <c r="G2703">
        <f>G2702+0.0001</f>
        <v/>
      </c>
    </row>
    <row r="2704">
      <c r="G2704">
        <f>G2703+0.0001</f>
        <v/>
      </c>
    </row>
    <row r="2705">
      <c r="G2705">
        <f>G2704+0.0001</f>
        <v/>
      </c>
    </row>
    <row r="2706">
      <c r="G2706">
        <f>G2705+0.0001</f>
        <v/>
      </c>
    </row>
    <row r="2707">
      <c r="G2707">
        <f>G2706+0.0001</f>
        <v/>
      </c>
    </row>
    <row r="2708">
      <c r="G2708">
        <f>G2707+0.0001</f>
        <v/>
      </c>
    </row>
    <row r="2709">
      <c r="G2709">
        <f>G2708+0.0001</f>
        <v/>
      </c>
    </row>
    <row r="2710">
      <c r="G2710">
        <f>G2709+0.0001</f>
        <v/>
      </c>
    </row>
    <row r="2711">
      <c r="G2711">
        <f>G2710+0.0001</f>
        <v/>
      </c>
    </row>
    <row r="2712">
      <c r="G2712">
        <f>G2711+0.0001</f>
        <v/>
      </c>
    </row>
    <row r="2713">
      <c r="G2713">
        <f>G2712+0.0001</f>
        <v/>
      </c>
    </row>
    <row r="2714">
      <c r="G2714">
        <f>G2713+0.0001</f>
        <v/>
      </c>
    </row>
    <row r="2715">
      <c r="G2715">
        <f>G2714+0.0001</f>
        <v/>
      </c>
    </row>
    <row r="2716">
      <c r="G2716">
        <f>G2715+0.0001</f>
        <v/>
      </c>
    </row>
    <row r="2717">
      <c r="G2717">
        <f>G2716+0.0001</f>
        <v/>
      </c>
    </row>
    <row r="2718">
      <c r="G2718">
        <f>G2717+0.0001</f>
        <v/>
      </c>
    </row>
    <row r="2719">
      <c r="G2719">
        <f>G2718+0.0001</f>
        <v/>
      </c>
    </row>
    <row r="2720">
      <c r="G2720">
        <f>G2719+0.0001</f>
        <v/>
      </c>
    </row>
    <row r="2721">
      <c r="G2721">
        <f>G2720+0.0001</f>
        <v/>
      </c>
    </row>
    <row r="2722">
      <c r="G2722">
        <f>G2721+0.0001</f>
        <v/>
      </c>
    </row>
    <row r="2723">
      <c r="G2723">
        <f>G2722+0.0001</f>
        <v/>
      </c>
    </row>
    <row r="2724">
      <c r="G2724">
        <f>G2723+0.0001</f>
        <v/>
      </c>
    </row>
    <row r="2725">
      <c r="G2725">
        <f>G2724+0.0001</f>
        <v/>
      </c>
    </row>
    <row r="2726">
      <c r="G2726">
        <f>G2725+0.0001</f>
        <v/>
      </c>
    </row>
    <row r="2727">
      <c r="G2727">
        <f>G2726+0.0001</f>
        <v/>
      </c>
    </row>
    <row r="2728">
      <c r="G2728">
        <f>G2727+0.0001</f>
        <v/>
      </c>
    </row>
    <row r="2729">
      <c r="G2729">
        <f>G2728+0.0001</f>
        <v/>
      </c>
    </row>
    <row r="2730">
      <c r="G2730">
        <f>G2729+0.0001</f>
        <v/>
      </c>
    </row>
    <row r="2731">
      <c r="G2731">
        <f>G2730+0.0001</f>
        <v/>
      </c>
    </row>
    <row r="2732">
      <c r="G2732">
        <f>G2731+0.0001</f>
        <v/>
      </c>
    </row>
    <row r="2733">
      <c r="G2733">
        <f>G2732+0.0001</f>
        <v/>
      </c>
    </row>
    <row r="2734">
      <c r="G2734">
        <f>G2733+0.0001</f>
        <v/>
      </c>
    </row>
    <row r="2735">
      <c r="G2735">
        <f>G2734+0.0001</f>
        <v/>
      </c>
    </row>
    <row r="2736">
      <c r="G2736">
        <f>G2735+0.0001</f>
        <v/>
      </c>
    </row>
    <row r="2737">
      <c r="G2737">
        <f>G2736+0.0001</f>
        <v/>
      </c>
    </row>
    <row r="2738">
      <c r="G2738">
        <f>G2737+0.0001</f>
        <v/>
      </c>
    </row>
    <row r="2739">
      <c r="G2739">
        <f>G2738+0.0001</f>
        <v/>
      </c>
    </row>
    <row r="2740">
      <c r="G2740">
        <f>G2739+0.0001</f>
        <v/>
      </c>
    </row>
    <row r="2741">
      <c r="G2741">
        <f>G2740+0.0001</f>
        <v/>
      </c>
    </row>
    <row r="2742">
      <c r="G2742">
        <f>G2741+0.0001</f>
        <v/>
      </c>
    </row>
    <row r="2743">
      <c r="G2743">
        <f>G2742+0.0001</f>
        <v/>
      </c>
    </row>
    <row r="2744">
      <c r="G2744">
        <f>G2743+0.0001</f>
        <v/>
      </c>
    </row>
    <row r="2745">
      <c r="G2745">
        <f>G2744+0.0001</f>
        <v/>
      </c>
    </row>
    <row r="2746">
      <c r="G2746">
        <f>G2745+0.0001</f>
        <v/>
      </c>
    </row>
    <row r="2747">
      <c r="G2747">
        <f>G2746+0.0001</f>
        <v/>
      </c>
    </row>
    <row r="2748">
      <c r="G2748">
        <f>G2747+0.0001</f>
        <v/>
      </c>
    </row>
    <row r="2749">
      <c r="G2749">
        <f>G2748+0.0001</f>
        <v/>
      </c>
    </row>
    <row r="2750">
      <c r="G2750">
        <f>G2749+0.0001</f>
        <v/>
      </c>
    </row>
    <row r="2751">
      <c r="G2751">
        <f>G2750+0.0001</f>
        <v/>
      </c>
    </row>
    <row r="2752">
      <c r="G2752">
        <f>G2751+0.0001</f>
        <v/>
      </c>
    </row>
    <row r="2753">
      <c r="G2753">
        <f>G2752+0.0001</f>
        <v/>
      </c>
    </row>
    <row r="2754">
      <c r="G2754">
        <f>G2753+0.0001</f>
        <v/>
      </c>
    </row>
    <row r="2755">
      <c r="G2755">
        <f>G2754+0.0001</f>
        <v/>
      </c>
    </row>
    <row r="2756">
      <c r="G2756">
        <f>G2755+0.0001</f>
        <v/>
      </c>
    </row>
    <row r="2757">
      <c r="G2757">
        <f>G2756+0.0001</f>
        <v/>
      </c>
    </row>
    <row r="2758">
      <c r="G2758">
        <f>G2757+0.0001</f>
        <v/>
      </c>
    </row>
    <row r="2759">
      <c r="G2759">
        <f>G2758+0.0001</f>
        <v/>
      </c>
    </row>
    <row r="2760">
      <c r="G2760">
        <f>G2759+0.0001</f>
        <v/>
      </c>
    </row>
    <row r="2761">
      <c r="G2761">
        <f>G2760+0.0001</f>
        <v/>
      </c>
    </row>
    <row r="2762">
      <c r="G2762">
        <f>G2761+0.0001</f>
        <v/>
      </c>
    </row>
    <row r="2763">
      <c r="G2763">
        <f>G2762+0.0001</f>
        <v/>
      </c>
    </row>
    <row r="2764">
      <c r="G2764">
        <f>G2763+0.0001</f>
        <v/>
      </c>
    </row>
    <row r="2765">
      <c r="G2765">
        <f>G2764+0.0001</f>
        <v/>
      </c>
    </row>
    <row r="2766">
      <c r="G2766">
        <f>G2765+0.0001</f>
        <v/>
      </c>
    </row>
    <row r="2767">
      <c r="G2767">
        <f>G2766+0.0001</f>
        <v/>
      </c>
    </row>
    <row r="2768">
      <c r="G2768">
        <f>G2767+0.0001</f>
        <v/>
      </c>
    </row>
    <row r="2769">
      <c r="G2769">
        <f>G2768+0.0001</f>
        <v/>
      </c>
    </row>
    <row r="2770">
      <c r="G2770">
        <f>G2769+0.0001</f>
        <v/>
      </c>
    </row>
    <row r="2771">
      <c r="G2771">
        <f>G2770+0.0001</f>
        <v/>
      </c>
    </row>
    <row r="2772">
      <c r="G2772">
        <f>G2771+0.0001</f>
        <v/>
      </c>
    </row>
    <row r="2773">
      <c r="G2773">
        <f>G2772+0.0001</f>
        <v/>
      </c>
    </row>
    <row r="2774">
      <c r="G2774">
        <f>G2773+0.0001</f>
        <v/>
      </c>
    </row>
    <row r="2775">
      <c r="G2775">
        <f>G2774+0.0001</f>
        <v/>
      </c>
    </row>
    <row r="2776">
      <c r="G2776">
        <f>G2775+0.0001</f>
        <v/>
      </c>
    </row>
    <row r="2777">
      <c r="G2777">
        <f>G2776+0.0001</f>
        <v/>
      </c>
    </row>
    <row r="2778">
      <c r="G2778">
        <f>G2777+0.0001</f>
        <v/>
      </c>
    </row>
    <row r="2779">
      <c r="G2779">
        <f>G2778+0.0001</f>
        <v/>
      </c>
    </row>
    <row r="2780">
      <c r="G2780">
        <f>G2779+0.0001</f>
        <v/>
      </c>
    </row>
    <row r="2781">
      <c r="G2781">
        <f>G2780+0.0001</f>
        <v/>
      </c>
    </row>
    <row r="2782">
      <c r="G2782">
        <f>G2781+0.0001</f>
        <v/>
      </c>
    </row>
    <row r="2783">
      <c r="G2783">
        <f>G2782+0.0001</f>
        <v/>
      </c>
    </row>
    <row r="2784">
      <c r="G2784">
        <f>G2783+0.0001</f>
        <v/>
      </c>
    </row>
    <row r="2785">
      <c r="G2785">
        <f>G2784+0.0001</f>
        <v/>
      </c>
    </row>
    <row r="2786">
      <c r="G2786">
        <f>G2785+0.0001</f>
        <v/>
      </c>
    </row>
    <row r="2787">
      <c r="G2787">
        <f>G2786+0.0001</f>
        <v/>
      </c>
    </row>
    <row r="2788">
      <c r="G2788">
        <f>G2787+0.0001</f>
        <v/>
      </c>
    </row>
    <row r="2789">
      <c r="G2789">
        <f>G2788+0.0001</f>
        <v/>
      </c>
    </row>
    <row r="2790">
      <c r="G2790">
        <f>G2789+0.0001</f>
        <v/>
      </c>
    </row>
    <row r="2791">
      <c r="G2791">
        <f>G2790+0.0001</f>
        <v/>
      </c>
    </row>
    <row r="2792">
      <c r="G2792">
        <f>G2791+0.0001</f>
        <v/>
      </c>
    </row>
    <row r="2793">
      <c r="G2793">
        <f>G2792+0.0001</f>
        <v/>
      </c>
    </row>
    <row r="2794">
      <c r="G2794">
        <f>G2793+0.0001</f>
        <v/>
      </c>
    </row>
    <row r="2795">
      <c r="G2795">
        <f>G2794+0.0001</f>
        <v/>
      </c>
    </row>
    <row r="2796">
      <c r="G2796">
        <f>G2795+0.0001</f>
        <v/>
      </c>
    </row>
    <row r="2797">
      <c r="G2797">
        <f>G2796+0.0001</f>
        <v/>
      </c>
    </row>
    <row r="2798">
      <c r="G2798">
        <f>G2797+0.0001</f>
        <v/>
      </c>
    </row>
    <row r="2799">
      <c r="G2799">
        <f>G2798+0.0001</f>
        <v/>
      </c>
    </row>
    <row r="2800">
      <c r="G2800">
        <f>G2799+0.0001</f>
        <v/>
      </c>
    </row>
    <row r="2801">
      <c r="G2801">
        <f>G2800+0.0001</f>
        <v/>
      </c>
    </row>
    <row r="2802">
      <c r="G2802">
        <f>G2801+0.0001</f>
        <v/>
      </c>
    </row>
    <row r="2803">
      <c r="G2803">
        <f>G2802+0.0001</f>
        <v/>
      </c>
    </row>
    <row r="2804">
      <c r="G2804">
        <f>G2803+0.0001</f>
        <v/>
      </c>
    </row>
    <row r="2805">
      <c r="G2805">
        <f>G2804+0.0001</f>
        <v/>
      </c>
    </row>
    <row r="2806">
      <c r="G2806">
        <f>G2805+0.0001</f>
        <v/>
      </c>
    </row>
    <row r="2807">
      <c r="G2807">
        <f>G2806+0.0001</f>
        <v/>
      </c>
    </row>
    <row r="2808">
      <c r="G2808">
        <f>G2807+0.0001</f>
        <v/>
      </c>
    </row>
    <row r="2809">
      <c r="G2809">
        <f>G2808+0.0001</f>
        <v/>
      </c>
    </row>
    <row r="2810">
      <c r="G2810">
        <f>G2809+0.0001</f>
        <v/>
      </c>
    </row>
    <row r="2811">
      <c r="G2811">
        <f>G2810+0.0001</f>
        <v/>
      </c>
    </row>
    <row r="2812">
      <c r="G2812">
        <f>G2811+0.0001</f>
        <v/>
      </c>
    </row>
    <row r="2813">
      <c r="G2813">
        <f>G2812+0.0001</f>
        <v/>
      </c>
    </row>
    <row r="2814">
      <c r="G2814">
        <f>G2813+0.0001</f>
        <v/>
      </c>
    </row>
    <row r="2815">
      <c r="G2815">
        <f>G2814+0.0001</f>
        <v/>
      </c>
    </row>
    <row r="2816">
      <c r="G2816">
        <f>G2815+0.0001</f>
        <v/>
      </c>
    </row>
    <row r="2817">
      <c r="G2817">
        <f>G2816+0.0001</f>
        <v/>
      </c>
    </row>
    <row r="2818">
      <c r="G2818">
        <f>G2817+0.0001</f>
        <v/>
      </c>
    </row>
    <row r="2819">
      <c r="G2819">
        <f>G2818+0.0001</f>
        <v/>
      </c>
    </row>
    <row r="2820">
      <c r="G2820">
        <f>G2819+0.0001</f>
        <v/>
      </c>
    </row>
    <row r="2821">
      <c r="G2821">
        <f>G2820+0.0001</f>
        <v/>
      </c>
    </row>
    <row r="2822">
      <c r="G2822">
        <f>G2821+0.0001</f>
        <v/>
      </c>
    </row>
    <row r="2823">
      <c r="G2823">
        <f>G2822+0.0001</f>
        <v/>
      </c>
    </row>
    <row r="2824">
      <c r="G2824">
        <f>G2823+0.0001</f>
        <v/>
      </c>
    </row>
    <row r="2825">
      <c r="G2825">
        <f>G2824+0.0001</f>
        <v/>
      </c>
    </row>
    <row r="2826">
      <c r="G2826">
        <f>G2825+0.0001</f>
        <v/>
      </c>
    </row>
    <row r="2827">
      <c r="G2827">
        <f>G2826+0.0001</f>
        <v/>
      </c>
    </row>
    <row r="2828">
      <c r="G2828">
        <f>G2827+0.0001</f>
        <v/>
      </c>
    </row>
    <row r="2829">
      <c r="G2829">
        <f>G2828+0.0001</f>
        <v/>
      </c>
    </row>
    <row r="2830">
      <c r="G2830">
        <f>G2829+0.0001</f>
        <v/>
      </c>
    </row>
    <row r="2831">
      <c r="G2831">
        <f>G2830+0.0001</f>
        <v/>
      </c>
    </row>
    <row r="2832">
      <c r="G2832">
        <f>G2831+0.0001</f>
        <v/>
      </c>
    </row>
    <row r="2833">
      <c r="G2833">
        <f>G2832+0.0001</f>
        <v/>
      </c>
    </row>
    <row r="2834">
      <c r="G2834">
        <f>G2833+0.0001</f>
        <v/>
      </c>
    </row>
    <row r="2835">
      <c r="G2835">
        <f>G2834+0.0001</f>
        <v/>
      </c>
    </row>
    <row r="2836">
      <c r="G2836">
        <f>G2835+0.0001</f>
        <v/>
      </c>
    </row>
    <row r="2837">
      <c r="G2837">
        <f>G2836+0.0001</f>
        <v/>
      </c>
    </row>
    <row r="2838">
      <c r="G2838">
        <f>G2837+0.0001</f>
        <v/>
      </c>
    </row>
    <row r="2839">
      <c r="G2839">
        <f>G2838+0.0001</f>
        <v/>
      </c>
    </row>
    <row r="2840">
      <c r="G2840">
        <f>G2839+0.0001</f>
        <v/>
      </c>
    </row>
    <row r="2841">
      <c r="G2841">
        <f>G2840+0.0001</f>
        <v/>
      </c>
    </row>
    <row r="2842">
      <c r="G2842">
        <f>G2841+0.0001</f>
        <v/>
      </c>
    </row>
    <row r="2843">
      <c r="G2843">
        <f>G2842+0.0001</f>
        <v/>
      </c>
    </row>
    <row r="2844">
      <c r="G2844">
        <f>G2843+0.0001</f>
        <v/>
      </c>
    </row>
    <row r="2845">
      <c r="G2845">
        <f>G2844+0.0001</f>
        <v/>
      </c>
    </row>
    <row r="2846">
      <c r="G2846">
        <f>G2845+0.0001</f>
        <v/>
      </c>
    </row>
    <row r="2847">
      <c r="G2847">
        <f>G2846+0.0001</f>
        <v/>
      </c>
    </row>
    <row r="2848">
      <c r="G2848">
        <f>G2847+0.0001</f>
        <v/>
      </c>
    </row>
    <row r="2849">
      <c r="G2849">
        <f>G2848+0.0001</f>
        <v/>
      </c>
    </row>
    <row r="2850">
      <c r="G2850">
        <f>G2849+0.0001</f>
        <v/>
      </c>
    </row>
    <row r="2851">
      <c r="G2851">
        <f>G2850+0.0001</f>
        <v/>
      </c>
    </row>
    <row r="2852">
      <c r="G2852">
        <f>G2851+0.0001</f>
        <v/>
      </c>
    </row>
    <row r="2853">
      <c r="G2853">
        <f>G2852+0.0001</f>
        <v/>
      </c>
    </row>
    <row r="2854">
      <c r="G2854">
        <f>G2853+0.0001</f>
        <v/>
      </c>
    </row>
    <row r="2855">
      <c r="G2855">
        <f>G2854+0.0001</f>
        <v/>
      </c>
    </row>
    <row r="2856">
      <c r="G2856">
        <f>G2855+0.0001</f>
        <v/>
      </c>
    </row>
    <row r="2857">
      <c r="G2857">
        <f>G2856+0.0001</f>
        <v/>
      </c>
    </row>
    <row r="2858">
      <c r="G2858">
        <f>G2857+0.0001</f>
        <v/>
      </c>
    </row>
    <row r="2859">
      <c r="G2859">
        <f>G2858+0.0001</f>
        <v/>
      </c>
    </row>
    <row r="2860">
      <c r="G2860">
        <f>G2859+0.0001</f>
        <v/>
      </c>
    </row>
    <row r="2861">
      <c r="G2861">
        <f>G2860+0.0001</f>
        <v/>
      </c>
    </row>
    <row r="2862">
      <c r="G2862">
        <f>G2861+0.0001</f>
        <v/>
      </c>
    </row>
    <row r="2863">
      <c r="G2863">
        <f>G2862+0.0001</f>
        <v/>
      </c>
    </row>
    <row r="2864">
      <c r="G2864">
        <f>G2863+0.0001</f>
        <v/>
      </c>
    </row>
    <row r="2865">
      <c r="G2865">
        <f>G2864+0.0001</f>
        <v/>
      </c>
    </row>
    <row r="2866">
      <c r="G2866">
        <f>G2865+0.0001</f>
        <v/>
      </c>
    </row>
    <row r="2867">
      <c r="G2867">
        <f>G2866+0.0001</f>
        <v/>
      </c>
    </row>
    <row r="2868">
      <c r="G2868">
        <f>G2867+0.0001</f>
        <v/>
      </c>
    </row>
    <row r="2869">
      <c r="G2869">
        <f>G2868+0.0001</f>
        <v/>
      </c>
    </row>
    <row r="2870">
      <c r="G2870">
        <f>G2869+0.0001</f>
        <v/>
      </c>
    </row>
    <row r="2871">
      <c r="G2871">
        <f>G2870+0.0001</f>
        <v/>
      </c>
    </row>
    <row r="2872">
      <c r="G2872">
        <f>G2871+0.0001</f>
        <v/>
      </c>
    </row>
    <row r="2873">
      <c r="G2873">
        <f>G2872+0.0001</f>
        <v/>
      </c>
    </row>
    <row r="2874">
      <c r="G2874">
        <f>G2873+0.0001</f>
        <v/>
      </c>
    </row>
    <row r="2875">
      <c r="G2875">
        <f>G2874+0.0001</f>
        <v/>
      </c>
    </row>
    <row r="2876">
      <c r="G2876">
        <f>G2875+0.0001</f>
        <v/>
      </c>
    </row>
    <row r="2877">
      <c r="G2877">
        <f>G2876+0.0001</f>
        <v/>
      </c>
    </row>
    <row r="2878">
      <c r="G2878">
        <f>G2877+0.0001</f>
        <v/>
      </c>
    </row>
    <row r="2879">
      <c r="G2879">
        <f>G2878+0.0001</f>
        <v/>
      </c>
    </row>
    <row r="2880">
      <c r="G2880">
        <f>G2879+0.0001</f>
        <v/>
      </c>
    </row>
    <row r="2881">
      <c r="G2881">
        <f>G2880+0.0001</f>
        <v/>
      </c>
    </row>
    <row r="2882">
      <c r="G2882">
        <f>G2881+0.0001</f>
        <v/>
      </c>
    </row>
    <row r="2883">
      <c r="G2883">
        <f>G2882+0.0001</f>
        <v/>
      </c>
    </row>
    <row r="2884">
      <c r="G2884">
        <f>G2883+0.0001</f>
        <v/>
      </c>
    </row>
    <row r="2885">
      <c r="G2885">
        <f>G2884+0.0001</f>
        <v/>
      </c>
    </row>
    <row r="2886">
      <c r="G2886">
        <f>G2885+0.0001</f>
        <v/>
      </c>
    </row>
    <row r="2887">
      <c r="G2887">
        <f>G2886+0.0001</f>
        <v/>
      </c>
    </row>
    <row r="2888">
      <c r="G2888">
        <f>G2887+0.0001</f>
        <v/>
      </c>
    </row>
    <row r="2889">
      <c r="G2889">
        <f>G2888+0.0001</f>
        <v/>
      </c>
    </row>
    <row r="2890">
      <c r="G2890">
        <f>G2889+0.0001</f>
        <v/>
      </c>
    </row>
    <row r="2891">
      <c r="G2891">
        <f>G2890+0.0001</f>
        <v/>
      </c>
    </row>
    <row r="2892">
      <c r="G2892">
        <f>G2891+0.0001</f>
        <v/>
      </c>
    </row>
    <row r="2893">
      <c r="G2893">
        <f>G2892+0.0001</f>
        <v/>
      </c>
    </row>
    <row r="2894">
      <c r="G2894">
        <f>G2893+0.0001</f>
        <v/>
      </c>
    </row>
    <row r="2895">
      <c r="G2895">
        <f>G2894+0.0001</f>
        <v/>
      </c>
    </row>
    <row r="2896">
      <c r="G2896">
        <f>G2895+0.0001</f>
        <v/>
      </c>
    </row>
    <row r="2897">
      <c r="G2897">
        <f>G2896+0.0001</f>
        <v/>
      </c>
    </row>
    <row r="2898">
      <c r="G2898">
        <f>G2897+0.0001</f>
        <v/>
      </c>
    </row>
    <row r="2899">
      <c r="G2899">
        <f>G2898+0.0001</f>
        <v/>
      </c>
    </row>
    <row r="2900">
      <c r="G2900">
        <f>G2899+0.0001</f>
        <v/>
      </c>
    </row>
    <row r="2901">
      <c r="G2901">
        <f>G2900+0.0001</f>
        <v/>
      </c>
    </row>
    <row r="2902">
      <c r="G2902">
        <f>G2901+0.0001</f>
        <v/>
      </c>
    </row>
    <row r="2903">
      <c r="G2903">
        <f>G2902+0.0001</f>
        <v/>
      </c>
    </row>
    <row r="2904">
      <c r="G2904">
        <f>G2903+0.0001</f>
        <v/>
      </c>
    </row>
    <row r="2905">
      <c r="G2905">
        <f>G2904+0.0001</f>
        <v/>
      </c>
    </row>
    <row r="2906">
      <c r="G2906">
        <f>G2905+0.0001</f>
        <v/>
      </c>
    </row>
    <row r="2907">
      <c r="G2907">
        <f>G2906+0.0001</f>
        <v/>
      </c>
    </row>
    <row r="2908">
      <c r="G2908">
        <f>G2907+0.0001</f>
        <v/>
      </c>
    </row>
    <row r="2909">
      <c r="G2909">
        <f>G2908+0.0001</f>
        <v/>
      </c>
    </row>
    <row r="2910">
      <c r="G2910">
        <f>G2909+0.0001</f>
        <v/>
      </c>
    </row>
    <row r="2911">
      <c r="G2911">
        <f>G2910+0.0001</f>
        <v/>
      </c>
    </row>
    <row r="2912">
      <c r="G2912">
        <f>G2911+0.0001</f>
        <v/>
      </c>
    </row>
    <row r="2913">
      <c r="G2913">
        <f>G2912+0.0001</f>
        <v/>
      </c>
    </row>
    <row r="2914">
      <c r="G2914">
        <f>G2913+0.0001</f>
        <v/>
      </c>
    </row>
    <row r="2915">
      <c r="G2915">
        <f>G2914+0.0001</f>
        <v/>
      </c>
    </row>
    <row r="2916">
      <c r="G2916">
        <f>G2915+0.0001</f>
        <v/>
      </c>
    </row>
    <row r="2917">
      <c r="G2917">
        <f>G2916+0.0001</f>
        <v/>
      </c>
    </row>
    <row r="2918">
      <c r="G2918">
        <f>G2917+0.0001</f>
        <v/>
      </c>
    </row>
    <row r="2919">
      <c r="G2919">
        <f>G2918+0.0001</f>
        <v/>
      </c>
    </row>
    <row r="2920">
      <c r="G2920">
        <f>G2919+0.0001</f>
        <v/>
      </c>
    </row>
    <row r="2921">
      <c r="G2921">
        <f>G2920+0.0001</f>
        <v/>
      </c>
    </row>
    <row r="2922">
      <c r="G2922">
        <f>G2921+0.0001</f>
        <v/>
      </c>
    </row>
    <row r="2923">
      <c r="G2923">
        <f>G2922+0.0001</f>
        <v/>
      </c>
    </row>
    <row r="2924">
      <c r="G2924">
        <f>G2923+0.0001</f>
        <v/>
      </c>
    </row>
    <row r="2925">
      <c r="G2925">
        <f>G2924+0.0001</f>
        <v/>
      </c>
    </row>
    <row r="2926">
      <c r="G2926">
        <f>G2925+0.0001</f>
        <v/>
      </c>
    </row>
    <row r="2927">
      <c r="G2927">
        <f>G2926+0.0001</f>
        <v/>
      </c>
    </row>
    <row r="2928">
      <c r="G2928">
        <f>G2927+0.0001</f>
        <v/>
      </c>
    </row>
    <row r="2929">
      <c r="G2929">
        <f>G2928+0.0001</f>
        <v/>
      </c>
    </row>
    <row r="2930">
      <c r="G2930">
        <f>G2929+0.0001</f>
        <v/>
      </c>
    </row>
    <row r="2931">
      <c r="G2931">
        <f>G2930+0.0001</f>
        <v/>
      </c>
    </row>
    <row r="2932">
      <c r="G2932">
        <f>G2931+0.0001</f>
        <v/>
      </c>
    </row>
    <row r="2933">
      <c r="G2933">
        <f>G2932+0.0001</f>
        <v/>
      </c>
    </row>
    <row r="2934">
      <c r="G2934">
        <f>G2933+0.0001</f>
        <v/>
      </c>
    </row>
    <row r="2935">
      <c r="G2935">
        <f>G2934+0.0001</f>
        <v/>
      </c>
    </row>
    <row r="2936">
      <c r="G2936">
        <f>G2935+0.0001</f>
        <v/>
      </c>
    </row>
    <row r="2937">
      <c r="G2937">
        <f>G2936+0.0001</f>
        <v/>
      </c>
    </row>
    <row r="2938">
      <c r="G2938">
        <f>G2937+0.0001</f>
        <v/>
      </c>
    </row>
    <row r="2939">
      <c r="G2939">
        <f>G2938+0.0001</f>
        <v/>
      </c>
    </row>
    <row r="2940">
      <c r="G2940">
        <f>G2939+0.0001</f>
        <v/>
      </c>
    </row>
    <row r="2941">
      <c r="G2941">
        <f>G2940+0.0001</f>
        <v/>
      </c>
    </row>
    <row r="2942">
      <c r="G2942">
        <f>G2941+0.0001</f>
        <v/>
      </c>
    </row>
    <row r="2943">
      <c r="G2943">
        <f>G2942+0.0001</f>
        <v/>
      </c>
    </row>
    <row r="2944">
      <c r="G2944">
        <f>G2943+0.0001</f>
        <v/>
      </c>
    </row>
    <row r="2945">
      <c r="G2945">
        <f>G2944+0.0001</f>
        <v/>
      </c>
    </row>
    <row r="2946">
      <c r="G2946">
        <f>G2945+0.0001</f>
        <v/>
      </c>
    </row>
    <row r="2947">
      <c r="G2947">
        <f>G2946+0.0001</f>
        <v/>
      </c>
    </row>
    <row r="2948">
      <c r="G2948">
        <f>G2947+0.0001</f>
        <v/>
      </c>
    </row>
    <row r="2949">
      <c r="G2949">
        <f>G2948+0.0001</f>
        <v/>
      </c>
    </row>
    <row r="2950">
      <c r="G2950">
        <f>G2949+0.0001</f>
        <v/>
      </c>
    </row>
    <row r="2951">
      <c r="G2951">
        <f>G2950+0.0001</f>
        <v/>
      </c>
    </row>
    <row r="2952">
      <c r="G2952">
        <f>G2951+0.0001</f>
        <v/>
      </c>
    </row>
    <row r="2953">
      <c r="G2953">
        <f>G2952+0.0001</f>
        <v/>
      </c>
    </row>
    <row r="2954">
      <c r="G2954">
        <f>G2953+0.0001</f>
        <v/>
      </c>
    </row>
    <row r="2955">
      <c r="G2955">
        <f>G2954+0.0001</f>
        <v/>
      </c>
    </row>
    <row r="2956">
      <c r="G2956">
        <f>G2955+0.0001</f>
        <v/>
      </c>
    </row>
    <row r="2957">
      <c r="G2957">
        <f>G2956+0.0001</f>
        <v/>
      </c>
    </row>
    <row r="2958">
      <c r="G2958">
        <f>G2957+0.0001</f>
        <v/>
      </c>
    </row>
    <row r="2959">
      <c r="G2959">
        <f>G2958+0.0001</f>
        <v/>
      </c>
    </row>
    <row r="2960">
      <c r="G2960">
        <f>G2959+0.0001</f>
        <v/>
      </c>
    </row>
    <row r="2961">
      <c r="G2961">
        <f>G2960+0.0001</f>
        <v/>
      </c>
    </row>
    <row r="2962">
      <c r="G2962">
        <f>G2961+0.0001</f>
        <v/>
      </c>
    </row>
    <row r="2963">
      <c r="G2963">
        <f>G2962+0.0001</f>
        <v/>
      </c>
    </row>
    <row r="2964">
      <c r="G2964">
        <f>G2963+0.0001</f>
        <v/>
      </c>
    </row>
    <row r="2965">
      <c r="G2965">
        <f>G2964+0.0001</f>
        <v/>
      </c>
    </row>
    <row r="2966">
      <c r="G2966">
        <f>G2965+0.0001</f>
        <v/>
      </c>
    </row>
    <row r="2967">
      <c r="G2967">
        <f>G2966+0.0001</f>
        <v/>
      </c>
    </row>
    <row r="2968">
      <c r="G2968">
        <f>G2967+0.0001</f>
        <v/>
      </c>
    </row>
    <row r="2969">
      <c r="G2969">
        <f>G2968+0.0001</f>
        <v/>
      </c>
    </row>
    <row r="2970">
      <c r="G2970">
        <f>G2969+0.0001</f>
        <v/>
      </c>
    </row>
    <row r="2971">
      <c r="G2971">
        <f>G2970+0.0001</f>
        <v/>
      </c>
    </row>
    <row r="2972">
      <c r="G2972">
        <f>G2971+0.0001</f>
        <v/>
      </c>
    </row>
    <row r="2973">
      <c r="G2973">
        <f>G2972+0.0001</f>
        <v/>
      </c>
    </row>
    <row r="2974">
      <c r="G2974">
        <f>G2973+0.0001</f>
        <v/>
      </c>
    </row>
    <row r="2975">
      <c r="G2975">
        <f>G2974+0.0001</f>
        <v/>
      </c>
    </row>
    <row r="2976">
      <c r="G2976">
        <f>G2975+0.0001</f>
        <v/>
      </c>
    </row>
    <row r="2977">
      <c r="G2977">
        <f>G2976+0.0001</f>
        <v/>
      </c>
    </row>
    <row r="2978">
      <c r="G2978">
        <f>G2977+0.0001</f>
        <v/>
      </c>
    </row>
    <row r="2979">
      <c r="G2979">
        <f>G2978+0.0001</f>
        <v/>
      </c>
    </row>
    <row r="2980">
      <c r="G2980">
        <f>G2979+0.0001</f>
        <v/>
      </c>
    </row>
    <row r="2981">
      <c r="G2981">
        <f>G2980+0.0001</f>
        <v/>
      </c>
    </row>
    <row r="2982">
      <c r="G2982">
        <f>G2981+0.0001</f>
        <v/>
      </c>
    </row>
    <row r="2983">
      <c r="G2983">
        <f>G2982+0.0001</f>
        <v/>
      </c>
    </row>
    <row r="2984">
      <c r="G2984">
        <f>G2983+0.0001</f>
        <v/>
      </c>
    </row>
    <row r="2985">
      <c r="G2985">
        <f>G2984+0.0001</f>
        <v/>
      </c>
    </row>
    <row r="2986">
      <c r="G2986">
        <f>G2985+0.0001</f>
        <v/>
      </c>
    </row>
    <row r="2987">
      <c r="G2987">
        <f>G2986+0.0001</f>
        <v/>
      </c>
    </row>
    <row r="2988">
      <c r="G2988">
        <f>G2987+0.0001</f>
        <v/>
      </c>
    </row>
    <row r="2989">
      <c r="G2989">
        <f>G2988+0.0001</f>
        <v/>
      </c>
    </row>
    <row r="2990">
      <c r="G2990">
        <f>G2989+0.0001</f>
        <v/>
      </c>
    </row>
    <row r="2991">
      <c r="G2991">
        <f>G2990+0.0001</f>
        <v/>
      </c>
    </row>
    <row r="2992">
      <c r="G2992">
        <f>G2991+0.0001</f>
        <v/>
      </c>
    </row>
    <row r="2993">
      <c r="G2993">
        <f>G2992+0.0001</f>
        <v/>
      </c>
    </row>
    <row r="2994">
      <c r="G2994">
        <f>G2993+0.0001</f>
        <v/>
      </c>
    </row>
    <row r="2995">
      <c r="G2995">
        <f>G2994+0.0001</f>
        <v/>
      </c>
    </row>
    <row r="2996">
      <c r="G2996">
        <f>G2995+0.0001</f>
        <v/>
      </c>
    </row>
    <row r="2997">
      <c r="G2997">
        <f>G2996+0.0001</f>
        <v/>
      </c>
    </row>
    <row r="2998">
      <c r="G2998">
        <f>G2997+0.0001</f>
        <v/>
      </c>
    </row>
    <row r="2999">
      <c r="G2999">
        <f>G2998+0.0001</f>
        <v/>
      </c>
    </row>
    <row r="3000">
      <c r="G3000">
        <f>G2999+0.0001</f>
        <v/>
      </c>
    </row>
    <row r="3001">
      <c r="G3001">
        <f>G3000+0.0001</f>
        <v/>
      </c>
    </row>
    <row r="3002">
      <c r="G3002">
        <f>G3001+0.0001</f>
        <v/>
      </c>
    </row>
    <row r="3003">
      <c r="G3003">
        <f>G3002+0.0001</f>
        <v/>
      </c>
    </row>
    <row r="3004">
      <c r="G3004">
        <f>G3003+0.0001</f>
        <v/>
      </c>
    </row>
    <row r="3005">
      <c r="G3005">
        <f>G3004+0.0001</f>
        <v/>
      </c>
    </row>
    <row r="3006">
      <c r="G3006">
        <f>G3005+0.0001</f>
        <v/>
      </c>
    </row>
    <row r="3007">
      <c r="G3007">
        <f>G3006+0.0001</f>
        <v/>
      </c>
    </row>
    <row r="3008">
      <c r="G3008">
        <f>G3007+0.0001</f>
        <v/>
      </c>
    </row>
    <row r="3009">
      <c r="G3009">
        <f>G3008+0.0001</f>
        <v/>
      </c>
    </row>
    <row r="3010">
      <c r="G3010">
        <f>G3009+0.0001</f>
        <v/>
      </c>
    </row>
    <row r="3011">
      <c r="G3011">
        <f>G3010+0.0001</f>
        <v/>
      </c>
    </row>
    <row r="3012">
      <c r="G3012">
        <f>G3011+0.0001</f>
        <v/>
      </c>
    </row>
    <row r="3013">
      <c r="G3013">
        <f>G3012+0.0001</f>
        <v/>
      </c>
    </row>
    <row r="3014">
      <c r="G3014">
        <f>G3013+0.0001</f>
        <v/>
      </c>
    </row>
    <row r="3015">
      <c r="G3015">
        <f>G3014+0.0001</f>
        <v/>
      </c>
    </row>
    <row r="3016">
      <c r="G3016">
        <f>G3015+0.0001</f>
        <v/>
      </c>
    </row>
    <row r="3017">
      <c r="G3017">
        <f>G3016+0.0001</f>
        <v/>
      </c>
    </row>
    <row r="3018">
      <c r="G3018">
        <f>G3017+0.0001</f>
        <v/>
      </c>
    </row>
    <row r="3019">
      <c r="G3019">
        <f>G3018+0.0001</f>
        <v/>
      </c>
    </row>
    <row r="3020">
      <c r="G3020">
        <f>G3019+0.0001</f>
        <v/>
      </c>
    </row>
    <row r="3021">
      <c r="G3021">
        <f>G3020+0.0001</f>
        <v/>
      </c>
    </row>
    <row r="3022">
      <c r="G3022">
        <f>G3021+0.0001</f>
        <v/>
      </c>
    </row>
    <row r="3023">
      <c r="G3023">
        <f>G3022+0.0001</f>
        <v/>
      </c>
    </row>
    <row r="3024">
      <c r="G3024">
        <f>G3023+0.0001</f>
        <v/>
      </c>
    </row>
    <row r="3025">
      <c r="G3025">
        <f>G3024+0.0001</f>
        <v/>
      </c>
    </row>
    <row r="3026">
      <c r="G3026">
        <f>G3025+0.0001</f>
        <v/>
      </c>
    </row>
    <row r="3027">
      <c r="G3027">
        <f>G3026+0.0001</f>
        <v/>
      </c>
    </row>
    <row r="3028">
      <c r="G3028">
        <f>G3027+0.0001</f>
        <v/>
      </c>
    </row>
    <row r="3029">
      <c r="G3029">
        <f>G3028+0.0001</f>
        <v/>
      </c>
    </row>
    <row r="3030">
      <c r="G3030">
        <f>G3029+0.0001</f>
        <v/>
      </c>
    </row>
    <row r="3031">
      <c r="G3031">
        <f>G3030+0.0001</f>
        <v/>
      </c>
    </row>
    <row r="3032">
      <c r="G3032">
        <f>G3031+0.0001</f>
        <v/>
      </c>
    </row>
    <row r="3033">
      <c r="G3033">
        <f>G3032+0.0001</f>
        <v/>
      </c>
    </row>
    <row r="3034">
      <c r="G3034">
        <f>G3033+0.0001</f>
        <v/>
      </c>
    </row>
    <row r="3035">
      <c r="G3035">
        <f>G3034+0.0001</f>
        <v/>
      </c>
    </row>
    <row r="3036">
      <c r="G3036">
        <f>G3035+0.0001</f>
        <v/>
      </c>
    </row>
    <row r="3037">
      <c r="G3037">
        <f>G3036+0.0001</f>
        <v/>
      </c>
    </row>
    <row r="3038">
      <c r="G3038">
        <f>G3037+0.0001</f>
        <v/>
      </c>
    </row>
    <row r="3039">
      <c r="G3039">
        <f>G3038+0.0001</f>
        <v/>
      </c>
    </row>
    <row r="3040">
      <c r="G3040">
        <f>G3039+0.0001</f>
        <v/>
      </c>
    </row>
    <row r="3041">
      <c r="G3041">
        <f>G3040+0.0001</f>
        <v/>
      </c>
    </row>
    <row r="3042">
      <c r="G3042">
        <f>G3041+0.0001</f>
        <v/>
      </c>
    </row>
    <row r="3043">
      <c r="G3043">
        <f>G3042+0.0001</f>
        <v/>
      </c>
    </row>
    <row r="3044">
      <c r="G3044">
        <f>G3043+0.0001</f>
        <v/>
      </c>
    </row>
    <row r="3045">
      <c r="G3045">
        <f>G3044+0.0001</f>
        <v/>
      </c>
    </row>
    <row r="3046">
      <c r="G3046">
        <f>G3045+0.0001</f>
        <v/>
      </c>
    </row>
    <row r="3047">
      <c r="G3047">
        <f>G3046+0.0001</f>
        <v/>
      </c>
    </row>
    <row r="3048">
      <c r="G3048">
        <f>G3047+0.0001</f>
        <v/>
      </c>
    </row>
    <row r="3049">
      <c r="G3049">
        <f>G3048+0.0001</f>
        <v/>
      </c>
    </row>
    <row r="3050">
      <c r="G3050">
        <f>G3049+0.0001</f>
        <v/>
      </c>
    </row>
    <row r="3051">
      <c r="G3051">
        <f>G3050+0.0001</f>
        <v/>
      </c>
    </row>
    <row r="3052">
      <c r="G3052">
        <f>G3051+0.0001</f>
        <v/>
      </c>
    </row>
    <row r="3053">
      <c r="G3053">
        <f>G3052+0.0001</f>
        <v/>
      </c>
    </row>
    <row r="3054">
      <c r="G3054">
        <f>G3053+0.0001</f>
        <v/>
      </c>
    </row>
    <row r="3055">
      <c r="G3055">
        <f>G3054+0.0001</f>
        <v/>
      </c>
    </row>
    <row r="3056">
      <c r="G3056">
        <f>G3055+0.0001</f>
        <v/>
      </c>
    </row>
    <row r="3057">
      <c r="G3057">
        <f>G3056+0.0001</f>
        <v/>
      </c>
    </row>
    <row r="3058">
      <c r="G3058">
        <f>G3057+0.0001</f>
        <v/>
      </c>
    </row>
    <row r="3059">
      <c r="G3059">
        <f>G3058+0.0001</f>
        <v/>
      </c>
    </row>
    <row r="3060">
      <c r="G3060">
        <f>G3059+0.0001</f>
        <v/>
      </c>
    </row>
    <row r="3061">
      <c r="G3061">
        <f>G3060+0.0001</f>
        <v/>
      </c>
    </row>
    <row r="3062">
      <c r="G3062">
        <f>G3061+0.0001</f>
        <v/>
      </c>
    </row>
    <row r="3063">
      <c r="G3063">
        <f>G3062+0.0001</f>
        <v/>
      </c>
    </row>
    <row r="3064">
      <c r="G3064">
        <f>G3063+0.0001</f>
        <v/>
      </c>
    </row>
    <row r="3065">
      <c r="G3065">
        <f>G3064+0.0001</f>
        <v/>
      </c>
    </row>
    <row r="3066">
      <c r="G3066">
        <f>G3065+0.0001</f>
        <v/>
      </c>
    </row>
    <row r="3067">
      <c r="G3067">
        <f>G3066+0.0001</f>
        <v/>
      </c>
    </row>
    <row r="3068">
      <c r="G3068">
        <f>G3067+0.0001</f>
        <v/>
      </c>
    </row>
    <row r="3069">
      <c r="G3069">
        <f>G3068+0.0001</f>
        <v/>
      </c>
    </row>
    <row r="3070">
      <c r="G3070">
        <f>G3069+0.0001</f>
        <v/>
      </c>
    </row>
    <row r="3071">
      <c r="G3071">
        <f>G3070+0.0001</f>
        <v/>
      </c>
    </row>
    <row r="3072">
      <c r="G3072">
        <f>G3071+0.0001</f>
        <v/>
      </c>
    </row>
    <row r="3073">
      <c r="G3073">
        <f>G3072+0.0001</f>
        <v/>
      </c>
    </row>
    <row r="3074">
      <c r="G3074">
        <f>G3073+0.0001</f>
        <v/>
      </c>
    </row>
    <row r="3075">
      <c r="G3075">
        <f>G3074+0.0001</f>
        <v/>
      </c>
    </row>
    <row r="3076">
      <c r="G3076">
        <f>G3075+0.0001</f>
        <v/>
      </c>
    </row>
    <row r="3077">
      <c r="G3077">
        <f>G3076+0.0001</f>
        <v/>
      </c>
    </row>
    <row r="3078">
      <c r="G3078">
        <f>G3077+0.0001</f>
        <v/>
      </c>
    </row>
    <row r="3079">
      <c r="G3079">
        <f>G3078+0.0001</f>
        <v/>
      </c>
    </row>
    <row r="3080">
      <c r="G3080">
        <f>G3079+0.0001</f>
        <v/>
      </c>
    </row>
    <row r="3081">
      <c r="G3081">
        <f>G3080+0.0001</f>
        <v/>
      </c>
    </row>
    <row r="3082">
      <c r="G3082">
        <f>G3081+0.0001</f>
        <v/>
      </c>
    </row>
    <row r="3083">
      <c r="G3083">
        <f>G3082+0.0001</f>
        <v/>
      </c>
    </row>
    <row r="3084">
      <c r="G3084">
        <f>G3083+0.0001</f>
        <v/>
      </c>
    </row>
    <row r="3085">
      <c r="G3085">
        <f>G3084+0.0001</f>
        <v/>
      </c>
    </row>
    <row r="3086">
      <c r="G3086">
        <f>G3085+0.0001</f>
        <v/>
      </c>
    </row>
    <row r="3087">
      <c r="G3087">
        <f>G3086+0.0001</f>
        <v/>
      </c>
    </row>
    <row r="3088">
      <c r="G3088">
        <f>G3087+0.0001</f>
        <v/>
      </c>
    </row>
    <row r="3089">
      <c r="G3089">
        <f>G3088+0.0001</f>
        <v/>
      </c>
    </row>
    <row r="3090">
      <c r="G3090">
        <f>G3089+0.0001</f>
        <v/>
      </c>
    </row>
    <row r="3091">
      <c r="G3091">
        <f>G3090+0.0001</f>
        <v/>
      </c>
    </row>
    <row r="3092">
      <c r="G3092">
        <f>G3091+0.0001</f>
        <v/>
      </c>
    </row>
    <row r="3093">
      <c r="G3093">
        <f>G3092+0.0001</f>
        <v/>
      </c>
    </row>
    <row r="3094">
      <c r="G3094">
        <f>G3093+0.0001</f>
        <v/>
      </c>
    </row>
    <row r="3095">
      <c r="G3095">
        <f>G3094+0.0001</f>
        <v/>
      </c>
    </row>
    <row r="3096">
      <c r="G3096">
        <f>G3095+0.0001</f>
        <v/>
      </c>
    </row>
    <row r="3097">
      <c r="G3097">
        <f>G3096+0.0001</f>
        <v/>
      </c>
    </row>
    <row r="3098">
      <c r="G3098">
        <f>G3097+0.0001</f>
        <v/>
      </c>
    </row>
    <row r="3099">
      <c r="G3099">
        <f>G3098+0.0001</f>
        <v/>
      </c>
    </row>
    <row r="3100">
      <c r="G3100">
        <f>G3099+0.0001</f>
        <v/>
      </c>
    </row>
    <row r="3101">
      <c r="G3101">
        <f>G3100+0.0001</f>
        <v/>
      </c>
    </row>
    <row r="3102">
      <c r="G3102">
        <f>G3101+0.0001</f>
        <v/>
      </c>
    </row>
    <row r="3103">
      <c r="G3103">
        <f>G3102+0.0001</f>
        <v/>
      </c>
    </row>
    <row r="3104">
      <c r="G3104">
        <f>G3103+0.0001</f>
        <v/>
      </c>
    </row>
    <row r="3105">
      <c r="G3105">
        <f>G3104+0.0001</f>
        <v/>
      </c>
    </row>
    <row r="3106">
      <c r="G3106">
        <f>G3105+0.0001</f>
        <v/>
      </c>
    </row>
    <row r="3107">
      <c r="G3107">
        <f>G3106+0.0001</f>
        <v/>
      </c>
    </row>
    <row r="3108">
      <c r="G3108">
        <f>G3107+0.0001</f>
        <v/>
      </c>
    </row>
    <row r="3109">
      <c r="G3109">
        <f>G3108+0.0001</f>
        <v/>
      </c>
    </row>
    <row r="3110">
      <c r="G3110">
        <f>G3109+0.0001</f>
        <v/>
      </c>
    </row>
    <row r="3111">
      <c r="G3111">
        <f>G3110+0.0001</f>
        <v/>
      </c>
    </row>
    <row r="3112">
      <c r="G3112">
        <f>G3111+0.0001</f>
        <v/>
      </c>
    </row>
    <row r="3113">
      <c r="G3113">
        <f>G3112+0.0001</f>
        <v/>
      </c>
    </row>
    <row r="3114">
      <c r="G3114">
        <f>G3113+0.0001</f>
        <v/>
      </c>
    </row>
    <row r="3115">
      <c r="G3115">
        <f>G3114+0.0001</f>
        <v/>
      </c>
    </row>
    <row r="3116">
      <c r="G3116">
        <f>G3115+0.0001</f>
        <v/>
      </c>
    </row>
    <row r="3117">
      <c r="G3117">
        <f>G3116+0.0001</f>
        <v/>
      </c>
    </row>
    <row r="3118">
      <c r="G3118">
        <f>G3117+0.0001</f>
        <v/>
      </c>
    </row>
    <row r="3119">
      <c r="G3119">
        <f>G3118+0.0001</f>
        <v/>
      </c>
    </row>
    <row r="3120">
      <c r="G3120">
        <f>G3119+0.0001</f>
        <v/>
      </c>
    </row>
    <row r="3121">
      <c r="G3121">
        <f>G3120+0.0001</f>
        <v/>
      </c>
    </row>
    <row r="3122">
      <c r="G3122">
        <f>G3121+0.0001</f>
        <v/>
      </c>
    </row>
    <row r="3123">
      <c r="G3123">
        <f>G3122+0.0001</f>
        <v/>
      </c>
    </row>
    <row r="3124">
      <c r="G3124">
        <f>G3123+0.0001</f>
        <v/>
      </c>
    </row>
    <row r="3125">
      <c r="G3125">
        <f>G3124+0.0001</f>
        <v/>
      </c>
    </row>
    <row r="3126">
      <c r="G3126">
        <f>G3125+0.0001</f>
        <v/>
      </c>
    </row>
    <row r="3127">
      <c r="G3127">
        <f>G3126+0.0001</f>
        <v/>
      </c>
    </row>
    <row r="3128">
      <c r="G3128">
        <f>G3127+0.0001</f>
        <v/>
      </c>
    </row>
    <row r="3129">
      <c r="G3129">
        <f>G3128+0.0001</f>
        <v/>
      </c>
    </row>
    <row r="3130">
      <c r="G3130">
        <f>G3129+0.0001</f>
        <v/>
      </c>
    </row>
    <row r="3131">
      <c r="G3131">
        <f>G3130+0.0001</f>
        <v/>
      </c>
    </row>
    <row r="3132">
      <c r="G3132">
        <f>G3131+0.0001</f>
        <v/>
      </c>
    </row>
    <row r="3133">
      <c r="G3133">
        <f>G3132+0.0001</f>
        <v/>
      </c>
    </row>
    <row r="3134">
      <c r="G3134">
        <f>G3133+0.0001</f>
        <v/>
      </c>
    </row>
    <row r="3135">
      <c r="G3135">
        <f>G3134+0.0001</f>
        <v/>
      </c>
    </row>
    <row r="3136">
      <c r="G3136">
        <f>G3135+0.0001</f>
        <v/>
      </c>
    </row>
    <row r="3137">
      <c r="G3137">
        <f>G3136+0.0001</f>
        <v/>
      </c>
    </row>
    <row r="3138">
      <c r="G3138">
        <f>G3137+0.0001</f>
        <v/>
      </c>
    </row>
    <row r="3139">
      <c r="G3139">
        <f>G3138+0.0001</f>
        <v/>
      </c>
    </row>
    <row r="3140">
      <c r="G3140">
        <f>G3139+0.0001</f>
        <v/>
      </c>
    </row>
    <row r="3141">
      <c r="G3141">
        <f>G3140+0.0001</f>
        <v/>
      </c>
    </row>
    <row r="3142">
      <c r="G3142">
        <f>G3141+0.0001</f>
        <v/>
      </c>
    </row>
    <row r="3143">
      <c r="G3143">
        <f>G3142+0.0001</f>
        <v/>
      </c>
    </row>
    <row r="3144">
      <c r="G3144">
        <f>G3143+0.0001</f>
        <v/>
      </c>
    </row>
    <row r="3145">
      <c r="G3145">
        <f>G3144+0.0001</f>
        <v/>
      </c>
    </row>
    <row r="3146">
      <c r="G3146">
        <f>G3145+0.0001</f>
        <v/>
      </c>
    </row>
    <row r="3147">
      <c r="G3147">
        <f>G3146+0.0001</f>
        <v/>
      </c>
    </row>
    <row r="3148">
      <c r="G3148">
        <f>G3147+0.0001</f>
        <v/>
      </c>
    </row>
    <row r="3149">
      <c r="G3149">
        <f>G3148+0.0001</f>
        <v/>
      </c>
    </row>
    <row r="3150">
      <c r="G3150">
        <f>G3149+0.0001</f>
        <v/>
      </c>
    </row>
    <row r="3151">
      <c r="G3151">
        <f>G3150+0.0001</f>
        <v/>
      </c>
    </row>
    <row r="3152">
      <c r="G3152">
        <f>G3151+0.0001</f>
        <v/>
      </c>
    </row>
    <row r="3153">
      <c r="G3153">
        <f>G3152+0.0001</f>
        <v/>
      </c>
    </row>
    <row r="3154">
      <c r="G3154">
        <f>G3153+0.0001</f>
        <v/>
      </c>
    </row>
    <row r="3155">
      <c r="G3155">
        <f>G3154+0.0001</f>
        <v/>
      </c>
    </row>
    <row r="3156">
      <c r="G3156">
        <f>G3155+0.0001</f>
        <v/>
      </c>
    </row>
    <row r="3157">
      <c r="G3157">
        <f>G3156+0.0001</f>
        <v/>
      </c>
    </row>
    <row r="3158">
      <c r="G3158">
        <f>G3157+0.0001</f>
        <v/>
      </c>
    </row>
    <row r="3159">
      <c r="G3159">
        <f>G3158+0.0001</f>
        <v/>
      </c>
    </row>
    <row r="3160">
      <c r="G3160">
        <f>G3159+0.0001</f>
        <v/>
      </c>
    </row>
    <row r="3161">
      <c r="G3161">
        <f>G3160+0.0001</f>
        <v/>
      </c>
    </row>
    <row r="3162">
      <c r="G3162">
        <f>G3161+0.0001</f>
        <v/>
      </c>
    </row>
    <row r="3163">
      <c r="G3163">
        <f>G3162+0.0001</f>
        <v/>
      </c>
    </row>
    <row r="3164">
      <c r="G3164">
        <f>G3163+0.0001</f>
        <v/>
      </c>
    </row>
    <row r="3165">
      <c r="G3165">
        <f>G3164+0.0001</f>
        <v/>
      </c>
    </row>
    <row r="3166">
      <c r="G3166">
        <f>G3165+0.0001</f>
        <v/>
      </c>
    </row>
    <row r="3167">
      <c r="G3167">
        <f>G3166+0.0001</f>
        <v/>
      </c>
    </row>
    <row r="3168">
      <c r="G3168">
        <f>G3167+0.0001</f>
        <v/>
      </c>
    </row>
    <row r="3169">
      <c r="G3169">
        <f>G3168+0.0001</f>
        <v/>
      </c>
    </row>
    <row r="3170">
      <c r="G3170">
        <f>G3169+0.0001</f>
        <v/>
      </c>
    </row>
    <row r="3171">
      <c r="G3171">
        <f>G3170+0.0001</f>
        <v/>
      </c>
    </row>
    <row r="3172">
      <c r="G3172">
        <f>G3171+0.0001</f>
        <v/>
      </c>
    </row>
    <row r="3173">
      <c r="G3173">
        <f>G3172+0.0001</f>
        <v/>
      </c>
    </row>
    <row r="3174">
      <c r="G3174">
        <f>G3173+0.0001</f>
        <v/>
      </c>
    </row>
    <row r="3175">
      <c r="G3175">
        <f>G3174+0.0001</f>
        <v/>
      </c>
    </row>
    <row r="3176">
      <c r="G3176">
        <f>G3175+0.0001</f>
        <v/>
      </c>
    </row>
    <row r="3177">
      <c r="G3177">
        <f>G3176+0.0001</f>
        <v/>
      </c>
    </row>
    <row r="3178">
      <c r="G3178">
        <f>G3177+0.0001</f>
        <v/>
      </c>
    </row>
    <row r="3179">
      <c r="G3179">
        <f>G3178+0.0001</f>
        <v/>
      </c>
    </row>
    <row r="3180">
      <c r="G3180">
        <f>G3179+0.0001</f>
        <v/>
      </c>
    </row>
    <row r="3181">
      <c r="G3181">
        <f>G3180+0.0001</f>
        <v/>
      </c>
    </row>
    <row r="3182">
      <c r="G3182">
        <f>G3181+0.0001</f>
        <v/>
      </c>
    </row>
    <row r="3183">
      <c r="G3183">
        <f>G3182+0.0001</f>
        <v/>
      </c>
    </row>
    <row r="3184">
      <c r="G3184">
        <f>G3183+0.0001</f>
        <v/>
      </c>
    </row>
    <row r="3185">
      <c r="G3185">
        <f>G3184+0.0001</f>
        <v/>
      </c>
    </row>
    <row r="3186">
      <c r="G3186">
        <f>G3185+0.0001</f>
        <v/>
      </c>
    </row>
    <row r="3187">
      <c r="G3187">
        <f>G3186+0.0001</f>
        <v/>
      </c>
    </row>
    <row r="3188">
      <c r="G3188">
        <f>G3187+0.0001</f>
        <v/>
      </c>
    </row>
    <row r="3189">
      <c r="G3189">
        <f>G3188+0.0001</f>
        <v/>
      </c>
    </row>
    <row r="3190">
      <c r="G3190">
        <f>G3189+0.0001</f>
        <v/>
      </c>
    </row>
    <row r="3191">
      <c r="G3191">
        <f>G3190+0.0001</f>
        <v/>
      </c>
    </row>
    <row r="3192">
      <c r="G3192">
        <f>G3191+0.0001</f>
        <v/>
      </c>
    </row>
    <row r="3193">
      <c r="G3193">
        <f>G3192+0.0001</f>
        <v/>
      </c>
    </row>
    <row r="3194">
      <c r="G3194">
        <f>G3193+0.0001</f>
        <v/>
      </c>
    </row>
    <row r="3195">
      <c r="G3195">
        <f>G3194+0.0001</f>
        <v/>
      </c>
    </row>
    <row r="3196">
      <c r="G3196">
        <f>G3195+0.0001</f>
        <v/>
      </c>
    </row>
    <row r="3197">
      <c r="G3197">
        <f>G3196+0.0001</f>
        <v/>
      </c>
    </row>
    <row r="3198">
      <c r="G3198">
        <f>G3197+0.0001</f>
        <v/>
      </c>
    </row>
    <row r="3199">
      <c r="G3199">
        <f>G3198+0.0001</f>
        <v/>
      </c>
    </row>
    <row r="3200">
      <c r="G3200">
        <f>G3199+0.0001</f>
        <v/>
      </c>
    </row>
    <row r="3201">
      <c r="G3201">
        <f>G3200+0.0001</f>
        <v/>
      </c>
    </row>
    <row r="3202">
      <c r="G3202">
        <f>G3201+0.0001</f>
        <v/>
      </c>
    </row>
    <row r="3203">
      <c r="G3203">
        <f>G3202+0.0001</f>
        <v/>
      </c>
    </row>
    <row r="3204">
      <c r="G3204">
        <f>G3203+0.0001</f>
        <v/>
      </c>
    </row>
    <row r="3205">
      <c r="G3205">
        <f>G3204+0.0001</f>
        <v/>
      </c>
    </row>
    <row r="3206">
      <c r="G3206">
        <f>G3205+0.0001</f>
        <v/>
      </c>
    </row>
    <row r="3207">
      <c r="G3207">
        <f>G3206+0.0001</f>
        <v/>
      </c>
    </row>
    <row r="3208">
      <c r="G3208">
        <f>G3207+0.0001</f>
        <v/>
      </c>
    </row>
    <row r="3209">
      <c r="G3209">
        <f>G3208+0.0001</f>
        <v/>
      </c>
    </row>
    <row r="3210">
      <c r="G3210">
        <f>G3209+0.0001</f>
        <v/>
      </c>
    </row>
    <row r="3211">
      <c r="G3211">
        <f>G3210+0.0001</f>
        <v/>
      </c>
    </row>
    <row r="3212">
      <c r="G3212">
        <f>G3211+0.0001</f>
        <v/>
      </c>
    </row>
    <row r="3213">
      <c r="G3213">
        <f>G3212+0.0001</f>
        <v/>
      </c>
    </row>
    <row r="3214">
      <c r="G3214">
        <f>G3213+0.0001</f>
        <v/>
      </c>
    </row>
    <row r="3215">
      <c r="G3215">
        <f>G3214+0.0001</f>
        <v/>
      </c>
    </row>
    <row r="3216">
      <c r="G3216">
        <f>G3215+0.0001</f>
        <v/>
      </c>
    </row>
    <row r="3217">
      <c r="G3217">
        <f>G3216+0.0001</f>
        <v/>
      </c>
    </row>
    <row r="3218">
      <c r="G3218">
        <f>G3217+0.0001</f>
        <v/>
      </c>
    </row>
    <row r="3219">
      <c r="G3219">
        <f>G3218+0.0001</f>
        <v/>
      </c>
    </row>
    <row r="3220">
      <c r="G3220">
        <f>G3219+0.0001</f>
        <v/>
      </c>
    </row>
    <row r="3221">
      <c r="G3221">
        <f>G3220+0.0001</f>
        <v/>
      </c>
    </row>
    <row r="3222">
      <c r="G3222">
        <f>G3221+0.0001</f>
        <v/>
      </c>
    </row>
    <row r="3223">
      <c r="G3223">
        <f>G3222+0.0001</f>
        <v/>
      </c>
    </row>
    <row r="3224">
      <c r="G3224">
        <f>G3223+0.0001</f>
        <v/>
      </c>
    </row>
    <row r="3225">
      <c r="G3225">
        <f>G3224+0.0001</f>
        <v/>
      </c>
    </row>
    <row r="3226">
      <c r="G3226">
        <f>G3225+0.0001</f>
        <v/>
      </c>
    </row>
    <row r="3227">
      <c r="G3227">
        <f>G3226+0.0001</f>
        <v/>
      </c>
    </row>
    <row r="3228">
      <c r="G3228">
        <f>G3227+0.0001</f>
        <v/>
      </c>
    </row>
    <row r="3229">
      <c r="G3229">
        <f>G3228+0.0001</f>
        <v/>
      </c>
    </row>
    <row r="3230">
      <c r="G3230">
        <f>G3229+0.0001</f>
        <v/>
      </c>
    </row>
    <row r="3231">
      <c r="G3231">
        <f>G3230+0.0001</f>
        <v/>
      </c>
    </row>
    <row r="3232">
      <c r="G3232">
        <f>G3231+0.0001</f>
        <v/>
      </c>
    </row>
    <row r="3233">
      <c r="G3233">
        <f>G3232+0.0001</f>
        <v/>
      </c>
    </row>
    <row r="3234">
      <c r="G3234">
        <f>G3233+0.0001</f>
        <v/>
      </c>
    </row>
    <row r="3235">
      <c r="G3235">
        <f>G3234+0.0001</f>
        <v/>
      </c>
    </row>
    <row r="3236">
      <c r="G3236">
        <f>G3235+0.0001</f>
        <v/>
      </c>
    </row>
    <row r="3237">
      <c r="G3237">
        <f>G3236+0.0001</f>
        <v/>
      </c>
    </row>
    <row r="3238">
      <c r="G3238">
        <f>G3237+0.0001</f>
        <v/>
      </c>
    </row>
    <row r="3239">
      <c r="G3239">
        <f>G3238+0.0001</f>
        <v/>
      </c>
    </row>
    <row r="3240">
      <c r="G3240">
        <f>G3239+0.0001</f>
        <v/>
      </c>
    </row>
    <row r="3241">
      <c r="G3241">
        <f>G3240+0.0001</f>
        <v/>
      </c>
    </row>
    <row r="3242">
      <c r="G3242">
        <f>G3241+0.0001</f>
        <v/>
      </c>
    </row>
    <row r="3243">
      <c r="G3243">
        <f>G3242+0.0001</f>
        <v/>
      </c>
    </row>
    <row r="3244">
      <c r="G3244">
        <f>G3243+0.0001</f>
        <v/>
      </c>
    </row>
    <row r="3245">
      <c r="G3245">
        <f>G3244+0.0001</f>
        <v/>
      </c>
    </row>
    <row r="3246">
      <c r="G3246">
        <f>G3245+0.0001</f>
        <v/>
      </c>
    </row>
    <row r="3247">
      <c r="G3247">
        <f>G3246+0.0001</f>
        <v/>
      </c>
    </row>
    <row r="3248">
      <c r="G3248">
        <f>G3247+0.0001</f>
        <v/>
      </c>
    </row>
    <row r="3249">
      <c r="G3249">
        <f>G3248+0.0001</f>
        <v/>
      </c>
    </row>
    <row r="3250">
      <c r="G3250">
        <f>G3249+0.0001</f>
        <v/>
      </c>
    </row>
    <row r="3251">
      <c r="G3251">
        <f>G3250+0.0001</f>
        <v/>
      </c>
    </row>
    <row r="3252">
      <c r="G3252">
        <f>G3251+0.0001</f>
        <v/>
      </c>
    </row>
    <row r="3253">
      <c r="G3253">
        <f>G3252+0.0001</f>
        <v/>
      </c>
    </row>
    <row r="3254">
      <c r="G3254">
        <f>G3253+0.0001</f>
        <v/>
      </c>
    </row>
    <row r="3255">
      <c r="G3255">
        <f>G3254+0.0001</f>
        <v/>
      </c>
    </row>
    <row r="3256">
      <c r="G3256">
        <f>G3255+0.0001</f>
        <v/>
      </c>
    </row>
    <row r="3257">
      <c r="G3257">
        <f>G3256+0.0001</f>
        <v/>
      </c>
    </row>
    <row r="3258">
      <c r="G3258">
        <f>G3257+0.0001</f>
        <v/>
      </c>
    </row>
    <row r="3259">
      <c r="G3259">
        <f>G3258+0.0001</f>
        <v/>
      </c>
    </row>
    <row r="3260">
      <c r="G3260">
        <f>G3259+0.0001</f>
        <v/>
      </c>
    </row>
    <row r="3261">
      <c r="G3261">
        <f>G3260+0.0001</f>
        <v/>
      </c>
    </row>
    <row r="3262">
      <c r="G3262">
        <f>G3261+0.0001</f>
        <v/>
      </c>
    </row>
    <row r="3263">
      <c r="G3263">
        <f>G3262+0.0001</f>
        <v/>
      </c>
    </row>
    <row r="3264">
      <c r="G3264">
        <f>G3263+0.0001</f>
        <v/>
      </c>
    </row>
    <row r="3265">
      <c r="G3265">
        <f>G3264+0.0001</f>
        <v/>
      </c>
    </row>
    <row r="3266">
      <c r="G3266">
        <f>G3265+0.0001</f>
        <v/>
      </c>
    </row>
    <row r="3267">
      <c r="G3267">
        <f>G3266+0.0001</f>
        <v/>
      </c>
    </row>
    <row r="3268">
      <c r="G3268">
        <f>G3267+0.0001</f>
        <v/>
      </c>
    </row>
    <row r="3269">
      <c r="G3269">
        <f>G3268+0.0001</f>
        <v/>
      </c>
    </row>
    <row r="3270">
      <c r="G3270">
        <f>G3269+0.0001</f>
        <v/>
      </c>
    </row>
    <row r="3271">
      <c r="G3271">
        <f>G3270+0.0001</f>
        <v/>
      </c>
    </row>
    <row r="3272">
      <c r="G3272">
        <f>G3271+0.0001</f>
        <v/>
      </c>
    </row>
    <row r="3273">
      <c r="G3273">
        <f>G3272+0.0001</f>
        <v/>
      </c>
    </row>
    <row r="3274">
      <c r="G3274">
        <f>G3273+0.0001</f>
        <v/>
      </c>
    </row>
    <row r="3275">
      <c r="G3275">
        <f>G3274+0.0001</f>
        <v/>
      </c>
    </row>
    <row r="3276">
      <c r="G3276">
        <f>G3275+0.0001</f>
        <v/>
      </c>
    </row>
    <row r="3277">
      <c r="G3277">
        <f>G3276+0.0001</f>
        <v/>
      </c>
    </row>
    <row r="3278">
      <c r="G3278">
        <f>G3277+0.0001</f>
        <v/>
      </c>
    </row>
    <row r="3279">
      <c r="G3279">
        <f>G3278+0.0001</f>
        <v/>
      </c>
    </row>
    <row r="3280">
      <c r="G3280">
        <f>G3279+0.0001</f>
        <v/>
      </c>
    </row>
    <row r="3281">
      <c r="G3281">
        <f>G3280+0.0001</f>
        <v/>
      </c>
    </row>
    <row r="3282">
      <c r="G3282">
        <f>G3281+0.0001</f>
        <v/>
      </c>
    </row>
    <row r="3283">
      <c r="G3283">
        <f>G3282+0.0001</f>
        <v/>
      </c>
    </row>
    <row r="3284">
      <c r="G3284">
        <f>G3283+0.0001</f>
        <v/>
      </c>
    </row>
    <row r="3285">
      <c r="G3285">
        <f>G3284+0.0001</f>
        <v/>
      </c>
    </row>
    <row r="3286">
      <c r="G3286">
        <f>G3285+0.0001</f>
        <v/>
      </c>
    </row>
    <row r="3287">
      <c r="G3287">
        <f>G3286+0.0001</f>
        <v/>
      </c>
    </row>
    <row r="3288">
      <c r="G3288">
        <f>G3287+0.0001</f>
        <v/>
      </c>
    </row>
    <row r="3289">
      <c r="G3289">
        <f>G3288+0.0001</f>
        <v/>
      </c>
    </row>
    <row r="3290">
      <c r="G3290">
        <f>G3289+0.0001</f>
        <v/>
      </c>
    </row>
    <row r="3291">
      <c r="G3291">
        <f>G3290+0.0001</f>
        <v/>
      </c>
    </row>
    <row r="3292">
      <c r="G3292">
        <f>G3291+0.0001</f>
        <v/>
      </c>
    </row>
    <row r="3293">
      <c r="G3293">
        <f>G3292+0.0001</f>
        <v/>
      </c>
    </row>
    <row r="3294">
      <c r="G3294">
        <f>G3293+0.0001</f>
        <v/>
      </c>
    </row>
    <row r="3295">
      <c r="G3295">
        <f>G3294+0.0001</f>
        <v/>
      </c>
    </row>
    <row r="3296">
      <c r="G3296">
        <f>G3295+0.0001</f>
        <v/>
      </c>
    </row>
    <row r="3297">
      <c r="G3297">
        <f>G3296+0.0001</f>
        <v/>
      </c>
    </row>
    <row r="3298">
      <c r="G3298">
        <f>G3297+0.0001</f>
        <v/>
      </c>
    </row>
    <row r="3299">
      <c r="G3299">
        <f>G3298+0.0001</f>
        <v/>
      </c>
    </row>
    <row r="3300">
      <c r="G3300">
        <f>G3299+0.0001</f>
        <v/>
      </c>
    </row>
    <row r="3301">
      <c r="G3301">
        <f>G3300+0.0001</f>
        <v/>
      </c>
    </row>
    <row r="3302">
      <c r="G3302">
        <f>G3301+0.0001</f>
        <v/>
      </c>
    </row>
    <row r="3303">
      <c r="G3303">
        <f>G3302+0.0001</f>
        <v/>
      </c>
    </row>
    <row r="3304">
      <c r="G3304">
        <f>G3303+0.0001</f>
        <v/>
      </c>
    </row>
    <row r="3305">
      <c r="G3305">
        <f>G3304+0.0001</f>
        <v/>
      </c>
    </row>
    <row r="3306">
      <c r="G3306">
        <f>G3305+0.0001</f>
        <v/>
      </c>
    </row>
    <row r="3307">
      <c r="G3307">
        <f>G3306+0.0001</f>
        <v/>
      </c>
    </row>
    <row r="3308">
      <c r="G3308">
        <f>G3307+0.0001</f>
        <v/>
      </c>
    </row>
    <row r="3309">
      <c r="G3309">
        <f>G3308+0.0001</f>
        <v/>
      </c>
    </row>
    <row r="3310">
      <c r="G3310">
        <f>G3309+0.0001</f>
        <v/>
      </c>
    </row>
    <row r="3311">
      <c r="G3311">
        <f>G3310+0.0001</f>
        <v/>
      </c>
    </row>
    <row r="3312">
      <c r="G3312">
        <f>G3311+0.0001</f>
        <v/>
      </c>
    </row>
    <row r="3313">
      <c r="G3313">
        <f>G3312+0.0001</f>
        <v/>
      </c>
    </row>
    <row r="3314">
      <c r="G3314">
        <f>G3313+0.0001</f>
        <v/>
      </c>
    </row>
    <row r="3315">
      <c r="G3315">
        <f>G3314+0.0001</f>
        <v/>
      </c>
    </row>
    <row r="3316">
      <c r="G3316">
        <f>G3315+0.0001</f>
        <v/>
      </c>
    </row>
    <row r="3317">
      <c r="G3317">
        <f>G3316+0.0001</f>
        <v/>
      </c>
    </row>
    <row r="3318">
      <c r="G3318">
        <f>G3317+0.0001</f>
        <v/>
      </c>
    </row>
    <row r="3319">
      <c r="G3319">
        <f>G3318+0.0001</f>
        <v/>
      </c>
    </row>
    <row r="3320">
      <c r="G3320">
        <f>G3319+0.0001</f>
        <v/>
      </c>
    </row>
    <row r="3321">
      <c r="G3321">
        <f>G3320+0.0001</f>
        <v/>
      </c>
    </row>
    <row r="3322">
      <c r="G3322">
        <f>G3321+0.0001</f>
        <v/>
      </c>
    </row>
    <row r="3323">
      <c r="G3323">
        <f>G3322+0.0001</f>
        <v/>
      </c>
    </row>
    <row r="3324">
      <c r="G3324">
        <f>G3323+0.0001</f>
        <v/>
      </c>
    </row>
    <row r="3325">
      <c r="G3325">
        <f>G3324+0.0001</f>
        <v/>
      </c>
    </row>
    <row r="3326">
      <c r="G3326">
        <f>G3325+0.0001</f>
        <v/>
      </c>
    </row>
    <row r="3327">
      <c r="G3327">
        <f>G3326+0.0001</f>
        <v/>
      </c>
    </row>
    <row r="3328">
      <c r="G3328">
        <f>G3327+0.0001</f>
        <v/>
      </c>
    </row>
    <row r="3329">
      <c r="G3329">
        <f>G3328+0.0001</f>
        <v/>
      </c>
    </row>
    <row r="3330">
      <c r="G3330">
        <f>G3329+0.0001</f>
        <v/>
      </c>
    </row>
    <row r="3331">
      <c r="G3331">
        <f>G3330+0.0001</f>
        <v/>
      </c>
    </row>
    <row r="3332">
      <c r="G3332">
        <f>G3331+0.0001</f>
        <v/>
      </c>
    </row>
    <row r="3333">
      <c r="G3333">
        <f>G3332+0.0001</f>
        <v/>
      </c>
    </row>
    <row r="3334">
      <c r="G3334">
        <f>G3333+0.0001</f>
        <v/>
      </c>
    </row>
    <row r="3335">
      <c r="G3335">
        <f>G3334+0.0001</f>
        <v/>
      </c>
    </row>
    <row r="3336">
      <c r="G3336">
        <f>G3335+0.0001</f>
        <v/>
      </c>
    </row>
    <row r="3337">
      <c r="G3337">
        <f>G3336+0.0001</f>
        <v/>
      </c>
    </row>
    <row r="3338">
      <c r="G3338">
        <f>G3337+0.0001</f>
        <v/>
      </c>
    </row>
    <row r="3339">
      <c r="G3339">
        <f>G3338+0.0001</f>
        <v/>
      </c>
    </row>
    <row r="3340">
      <c r="G3340">
        <f>G3339+0.0001</f>
        <v/>
      </c>
    </row>
    <row r="3341">
      <c r="G3341">
        <f>G3340+0.0001</f>
        <v/>
      </c>
    </row>
    <row r="3342">
      <c r="G3342">
        <f>G3341+0.0001</f>
        <v/>
      </c>
    </row>
    <row r="3343">
      <c r="G3343">
        <f>G3342+0.0001</f>
        <v/>
      </c>
    </row>
    <row r="3344">
      <c r="G3344">
        <f>G3343+0.0001</f>
        <v/>
      </c>
    </row>
    <row r="3345">
      <c r="G3345">
        <f>G3344+0.0001</f>
        <v/>
      </c>
    </row>
    <row r="3346">
      <c r="G3346">
        <f>G3345+0.0001</f>
        <v/>
      </c>
    </row>
    <row r="3347">
      <c r="G3347">
        <f>G3346+0.0001</f>
        <v/>
      </c>
    </row>
    <row r="3348">
      <c r="G3348">
        <f>G3347+0.0001</f>
        <v/>
      </c>
    </row>
    <row r="3349">
      <c r="G3349">
        <f>G3348+0.0001</f>
        <v/>
      </c>
    </row>
    <row r="3350">
      <c r="G3350">
        <f>G3349+0.0001</f>
        <v/>
      </c>
    </row>
    <row r="3351">
      <c r="G3351">
        <f>G3350+0.0001</f>
        <v/>
      </c>
    </row>
    <row r="3352">
      <c r="G3352">
        <f>G3351+0.0001</f>
        <v/>
      </c>
    </row>
    <row r="3353">
      <c r="G3353">
        <f>G3352+0.0001</f>
        <v/>
      </c>
    </row>
    <row r="3354">
      <c r="G3354">
        <f>G3353+0.0001</f>
        <v/>
      </c>
    </row>
    <row r="3355">
      <c r="G3355">
        <f>G3354+0.0001</f>
        <v/>
      </c>
    </row>
    <row r="3356">
      <c r="G3356">
        <f>G3355+0.0001</f>
        <v/>
      </c>
    </row>
    <row r="3357">
      <c r="G3357">
        <f>G3356+0.0001</f>
        <v/>
      </c>
    </row>
    <row r="3358">
      <c r="G3358">
        <f>G3357+0.0001</f>
        <v/>
      </c>
    </row>
    <row r="3359">
      <c r="G3359">
        <f>G3358+0.0001</f>
        <v/>
      </c>
    </row>
    <row r="3360">
      <c r="G3360">
        <f>G3359+0.0001</f>
        <v/>
      </c>
    </row>
    <row r="3361">
      <c r="G3361">
        <f>G3360+0.0001</f>
        <v/>
      </c>
    </row>
    <row r="3362">
      <c r="G3362">
        <f>G3361+0.0001</f>
        <v/>
      </c>
    </row>
    <row r="3363">
      <c r="G3363">
        <f>G3362+0.0001</f>
        <v/>
      </c>
    </row>
    <row r="3364">
      <c r="G3364">
        <f>G3363+0.0001</f>
        <v/>
      </c>
    </row>
    <row r="3365">
      <c r="G3365">
        <f>G3364+0.0001</f>
        <v/>
      </c>
    </row>
    <row r="3366">
      <c r="G3366">
        <f>G3365+0.0001</f>
        <v/>
      </c>
    </row>
    <row r="3367">
      <c r="G3367">
        <f>G3366+0.0001</f>
        <v/>
      </c>
    </row>
    <row r="3368">
      <c r="G3368">
        <f>G3367+0.0001</f>
        <v/>
      </c>
    </row>
    <row r="3369">
      <c r="G3369">
        <f>G3368+0.0001</f>
        <v/>
      </c>
    </row>
    <row r="3370">
      <c r="G3370">
        <f>G3369+0.0001</f>
        <v/>
      </c>
    </row>
    <row r="3371">
      <c r="G3371">
        <f>G3370+0.0001</f>
        <v/>
      </c>
    </row>
    <row r="3372">
      <c r="G3372">
        <f>G3371+0.0001</f>
        <v/>
      </c>
    </row>
    <row r="3373">
      <c r="G3373">
        <f>G3372+0.0001</f>
        <v/>
      </c>
    </row>
    <row r="3374">
      <c r="G3374">
        <f>G3373+0.0001</f>
        <v/>
      </c>
    </row>
    <row r="3375">
      <c r="G3375">
        <f>G3374+0.0001</f>
        <v/>
      </c>
    </row>
    <row r="3376">
      <c r="G3376">
        <f>G3375+0.0001</f>
        <v/>
      </c>
    </row>
    <row r="3377">
      <c r="G3377">
        <f>G3376+0.0001</f>
        <v/>
      </c>
    </row>
    <row r="3378">
      <c r="G3378">
        <f>G3377+0.0001</f>
        <v/>
      </c>
    </row>
    <row r="3379">
      <c r="G3379">
        <f>G3378+0.0001</f>
        <v/>
      </c>
    </row>
    <row r="3380">
      <c r="G3380">
        <f>G3379+0.0001</f>
        <v/>
      </c>
    </row>
    <row r="3381">
      <c r="G3381">
        <f>G3380+0.0001</f>
        <v/>
      </c>
    </row>
    <row r="3382">
      <c r="G3382">
        <f>G3381+0.0001</f>
        <v/>
      </c>
    </row>
    <row r="3383">
      <c r="G3383">
        <f>G3382+0.0001</f>
        <v/>
      </c>
    </row>
    <row r="3384">
      <c r="G3384">
        <f>G3383+0.0001</f>
        <v/>
      </c>
    </row>
    <row r="3385">
      <c r="G3385">
        <f>G3384+0.0001</f>
        <v/>
      </c>
    </row>
    <row r="3386">
      <c r="G3386">
        <f>G3385+0.0001</f>
        <v/>
      </c>
    </row>
    <row r="3387">
      <c r="G3387">
        <f>G3386+0.0001</f>
        <v/>
      </c>
    </row>
    <row r="3388">
      <c r="G3388">
        <f>G3387+0.0001</f>
        <v/>
      </c>
    </row>
    <row r="3389">
      <c r="G3389">
        <f>G3388+0.0001</f>
        <v/>
      </c>
    </row>
    <row r="3390">
      <c r="G3390">
        <f>G3389+0.0001</f>
        <v/>
      </c>
    </row>
    <row r="3391">
      <c r="G3391">
        <f>G3390+0.0001</f>
        <v/>
      </c>
    </row>
    <row r="3392">
      <c r="G3392">
        <f>G3391+0.0001</f>
        <v/>
      </c>
    </row>
    <row r="3393">
      <c r="G3393">
        <f>G3392+0.0001</f>
        <v/>
      </c>
    </row>
    <row r="3394">
      <c r="G3394">
        <f>G3393+0.0001</f>
        <v/>
      </c>
    </row>
    <row r="3395">
      <c r="G3395">
        <f>G3394+0.0001</f>
        <v/>
      </c>
    </row>
    <row r="3396">
      <c r="G3396">
        <f>G3395+0.0001</f>
        <v/>
      </c>
    </row>
    <row r="3397">
      <c r="G3397">
        <f>G3396+0.0001</f>
        <v/>
      </c>
    </row>
    <row r="3398">
      <c r="G3398">
        <f>G3397+0.0001</f>
        <v/>
      </c>
    </row>
    <row r="3399">
      <c r="G3399">
        <f>G3398+0.0001</f>
        <v/>
      </c>
    </row>
    <row r="3400">
      <c r="G3400">
        <f>G3399+0.0001</f>
        <v/>
      </c>
    </row>
    <row r="3401">
      <c r="G3401">
        <f>G3400+0.0001</f>
        <v/>
      </c>
    </row>
    <row r="3402">
      <c r="G3402">
        <f>G3401+0.0001</f>
        <v/>
      </c>
    </row>
    <row r="3403">
      <c r="G3403">
        <f>G3402+0.0001</f>
        <v/>
      </c>
    </row>
    <row r="3404">
      <c r="G3404">
        <f>G3403+0.0001</f>
        <v/>
      </c>
    </row>
    <row r="3405">
      <c r="G3405">
        <f>G3404+0.0001</f>
        <v/>
      </c>
    </row>
    <row r="3406">
      <c r="G3406">
        <f>G3405+0.0001</f>
        <v/>
      </c>
    </row>
    <row r="3407">
      <c r="G3407">
        <f>G3406+0.0001</f>
        <v/>
      </c>
    </row>
    <row r="3408">
      <c r="G3408">
        <f>G3407+0.0001</f>
        <v/>
      </c>
    </row>
    <row r="3409">
      <c r="G3409">
        <f>G3408+0.0001</f>
        <v/>
      </c>
    </row>
    <row r="3410">
      <c r="G3410">
        <f>G3409+0.0001</f>
        <v/>
      </c>
    </row>
    <row r="3411">
      <c r="G3411">
        <f>G3410+0.0001</f>
        <v/>
      </c>
    </row>
    <row r="3412">
      <c r="G3412">
        <f>G3411+0.0001</f>
        <v/>
      </c>
    </row>
    <row r="3413">
      <c r="G3413">
        <f>G3412+0.0001</f>
        <v/>
      </c>
    </row>
    <row r="3414">
      <c r="G3414">
        <f>G3413+0.0001</f>
        <v/>
      </c>
    </row>
    <row r="3415">
      <c r="G3415">
        <f>G3414+0.0001</f>
        <v/>
      </c>
    </row>
    <row r="3416">
      <c r="G3416">
        <f>G3415+0.0001</f>
        <v/>
      </c>
    </row>
    <row r="3417">
      <c r="G3417">
        <f>G3416+0.0001</f>
        <v/>
      </c>
    </row>
    <row r="3418">
      <c r="G3418">
        <f>G3417+0.0001</f>
        <v/>
      </c>
    </row>
    <row r="3419">
      <c r="G3419">
        <f>G3418+0.0001</f>
        <v/>
      </c>
    </row>
    <row r="3420">
      <c r="G3420">
        <f>G3419+0.0001</f>
        <v/>
      </c>
    </row>
    <row r="3421">
      <c r="G3421">
        <f>G3420+0.0001</f>
        <v/>
      </c>
    </row>
    <row r="3422">
      <c r="G3422">
        <f>G3421+0.0001</f>
        <v/>
      </c>
    </row>
    <row r="3423">
      <c r="G3423">
        <f>G3422+0.0001</f>
        <v/>
      </c>
    </row>
    <row r="3424">
      <c r="G3424">
        <f>G3423+0.0001</f>
        <v/>
      </c>
    </row>
    <row r="3425">
      <c r="G3425">
        <f>G3424+0.0001</f>
        <v/>
      </c>
    </row>
    <row r="3426">
      <c r="G3426">
        <f>G3425+0.0001</f>
        <v/>
      </c>
    </row>
    <row r="3427">
      <c r="G3427">
        <f>G3426+0.0001</f>
        <v/>
      </c>
    </row>
    <row r="3428">
      <c r="G3428">
        <f>G3427+0.0001</f>
        <v/>
      </c>
    </row>
    <row r="3429">
      <c r="G3429">
        <f>G3428+0.0001</f>
        <v/>
      </c>
    </row>
    <row r="3430">
      <c r="G3430">
        <f>G3429+0.0001</f>
        <v/>
      </c>
    </row>
    <row r="3431">
      <c r="G3431">
        <f>G3430+0.0001</f>
        <v/>
      </c>
    </row>
    <row r="3432">
      <c r="G3432">
        <f>G3431+0.0001</f>
        <v/>
      </c>
    </row>
    <row r="3433">
      <c r="G3433">
        <f>G3432+0.0001</f>
        <v/>
      </c>
    </row>
    <row r="3434">
      <c r="G3434">
        <f>G3433+0.0001</f>
        <v/>
      </c>
    </row>
    <row r="3435">
      <c r="G3435">
        <f>G3434+0.0001</f>
        <v/>
      </c>
    </row>
    <row r="3436">
      <c r="G3436">
        <f>G3435+0.0001</f>
        <v/>
      </c>
    </row>
    <row r="3437">
      <c r="G3437">
        <f>G3436+0.0001</f>
        <v/>
      </c>
    </row>
    <row r="3438">
      <c r="G3438">
        <f>G3437+0.0001</f>
        <v/>
      </c>
    </row>
    <row r="3439">
      <c r="G3439">
        <f>G3438+0.0001</f>
        <v/>
      </c>
    </row>
    <row r="3440">
      <c r="G3440">
        <f>G3439+0.0001</f>
        <v/>
      </c>
    </row>
    <row r="3441">
      <c r="G3441">
        <f>G3440+0.0001</f>
        <v/>
      </c>
    </row>
    <row r="3442">
      <c r="G3442">
        <f>G3441+0.0001</f>
        <v/>
      </c>
    </row>
    <row r="3443">
      <c r="G3443">
        <f>G3442+0.0001</f>
        <v/>
      </c>
    </row>
    <row r="3444">
      <c r="G3444">
        <f>G3443+0.0001</f>
        <v/>
      </c>
    </row>
    <row r="3445">
      <c r="G3445">
        <f>G3444+0.0001</f>
        <v/>
      </c>
    </row>
    <row r="3446">
      <c r="G3446">
        <f>G3445+0.0001</f>
        <v/>
      </c>
    </row>
    <row r="3447">
      <c r="G3447">
        <f>G3446+0.0001</f>
        <v/>
      </c>
    </row>
    <row r="3448">
      <c r="G3448">
        <f>G3447+0.0001</f>
        <v/>
      </c>
    </row>
    <row r="3449">
      <c r="G3449">
        <f>G3448+0.0001</f>
        <v/>
      </c>
    </row>
    <row r="3450">
      <c r="G3450">
        <f>G3449+0.0001</f>
        <v/>
      </c>
    </row>
    <row r="3451">
      <c r="G3451">
        <f>G3450+0.0001</f>
        <v/>
      </c>
    </row>
    <row r="3452">
      <c r="G3452">
        <f>G3451+0.0001</f>
        <v/>
      </c>
    </row>
    <row r="3453">
      <c r="G3453">
        <f>G3452+0.0001</f>
        <v/>
      </c>
    </row>
    <row r="3454">
      <c r="G3454">
        <f>G3453+0.0001</f>
        <v/>
      </c>
    </row>
    <row r="3455">
      <c r="G3455">
        <f>G3454+0.0001</f>
        <v/>
      </c>
    </row>
    <row r="3456">
      <c r="G3456">
        <f>G3455+0.0001</f>
        <v/>
      </c>
    </row>
    <row r="3457">
      <c r="G3457">
        <f>G3456+0.0001</f>
        <v/>
      </c>
    </row>
    <row r="3458">
      <c r="G3458">
        <f>G3457+0.0001</f>
        <v/>
      </c>
    </row>
    <row r="3459">
      <c r="G3459">
        <f>G3458+0.0001</f>
        <v/>
      </c>
    </row>
    <row r="3460">
      <c r="G3460">
        <f>G3459+0.0001</f>
        <v/>
      </c>
    </row>
    <row r="3461">
      <c r="G3461">
        <f>G3460+0.0001</f>
        <v/>
      </c>
    </row>
    <row r="3462">
      <c r="G3462">
        <f>G3461+0.0001</f>
        <v/>
      </c>
    </row>
    <row r="3463">
      <c r="G3463">
        <f>G3462+0.0001</f>
        <v/>
      </c>
    </row>
    <row r="3464">
      <c r="G3464">
        <f>G3463+0.0001</f>
        <v/>
      </c>
    </row>
    <row r="3465">
      <c r="G3465">
        <f>G3464+0.0001</f>
        <v/>
      </c>
    </row>
    <row r="3466">
      <c r="G3466">
        <f>G3465+0.0001</f>
        <v/>
      </c>
    </row>
    <row r="3467">
      <c r="G3467">
        <f>G3466+0.0001</f>
        <v/>
      </c>
    </row>
    <row r="3468">
      <c r="G3468">
        <f>G3467+0.0001</f>
        <v/>
      </c>
    </row>
    <row r="3469">
      <c r="G3469">
        <f>G3468+0.0001</f>
        <v/>
      </c>
    </row>
    <row r="3470">
      <c r="G3470">
        <f>G3469+0.0001</f>
        <v/>
      </c>
    </row>
    <row r="3471">
      <c r="G3471">
        <f>G3470+0.0001</f>
        <v/>
      </c>
    </row>
    <row r="3472">
      <c r="G3472">
        <f>G3471+0.0001</f>
        <v/>
      </c>
    </row>
    <row r="3473">
      <c r="G3473">
        <f>G3472+0.0001</f>
        <v/>
      </c>
    </row>
    <row r="3474">
      <c r="G3474">
        <f>G3473+0.0001</f>
        <v/>
      </c>
    </row>
    <row r="3475">
      <c r="G3475">
        <f>G3474+0.0001</f>
        <v/>
      </c>
    </row>
    <row r="3476">
      <c r="G3476">
        <f>G3475+0.0001</f>
        <v/>
      </c>
    </row>
    <row r="3477">
      <c r="G3477">
        <f>G3476+0.0001</f>
        <v/>
      </c>
    </row>
    <row r="3478">
      <c r="G3478">
        <f>G3477+0.0001</f>
        <v/>
      </c>
    </row>
    <row r="3479">
      <c r="G3479">
        <f>G3478+0.0001</f>
        <v/>
      </c>
    </row>
    <row r="3480">
      <c r="G3480">
        <f>G3479+0.0001</f>
        <v/>
      </c>
    </row>
    <row r="3481">
      <c r="G3481">
        <f>G3480+0.0001</f>
        <v/>
      </c>
    </row>
    <row r="3482">
      <c r="G3482">
        <f>G3481+0.0001</f>
        <v/>
      </c>
    </row>
    <row r="3483">
      <c r="G3483">
        <f>G3482+0.0001</f>
        <v/>
      </c>
    </row>
    <row r="3484">
      <c r="G3484">
        <f>G3483+0.0001</f>
        <v/>
      </c>
    </row>
    <row r="3485">
      <c r="G3485">
        <f>G3484+0.0001</f>
        <v/>
      </c>
    </row>
    <row r="3486">
      <c r="G3486">
        <f>G3485+0.0001</f>
        <v/>
      </c>
    </row>
    <row r="3487">
      <c r="G3487">
        <f>G3486+0.0001</f>
        <v/>
      </c>
    </row>
    <row r="3488">
      <c r="G3488">
        <f>G3487+0.0001</f>
        <v/>
      </c>
    </row>
    <row r="3489">
      <c r="G3489">
        <f>G3488+0.0001</f>
        <v/>
      </c>
    </row>
    <row r="3490">
      <c r="G3490">
        <f>G3489+0.0001</f>
        <v/>
      </c>
    </row>
    <row r="3491">
      <c r="G3491">
        <f>G3490+0.0001</f>
        <v/>
      </c>
    </row>
    <row r="3492">
      <c r="G3492">
        <f>G3491+0.0001</f>
        <v/>
      </c>
    </row>
    <row r="3493">
      <c r="G3493">
        <f>G3492+0.0001</f>
        <v/>
      </c>
    </row>
    <row r="3494">
      <c r="G3494">
        <f>G3493+0.0001</f>
        <v/>
      </c>
    </row>
    <row r="3495">
      <c r="G3495">
        <f>G3494+0.0001</f>
        <v/>
      </c>
    </row>
    <row r="3496">
      <c r="G3496">
        <f>G3495+0.0001</f>
        <v/>
      </c>
    </row>
    <row r="3497">
      <c r="G3497">
        <f>G3496+0.0001</f>
        <v/>
      </c>
    </row>
    <row r="3498">
      <c r="G3498">
        <f>G3497+0.0001</f>
        <v/>
      </c>
    </row>
    <row r="3499">
      <c r="G3499">
        <f>G3498+0.0001</f>
        <v/>
      </c>
    </row>
    <row r="3500">
      <c r="G3500">
        <f>G3499+0.0001</f>
        <v/>
      </c>
    </row>
    <row r="3501">
      <c r="G3501">
        <f>G3500+0.0001</f>
        <v/>
      </c>
    </row>
    <row r="3502">
      <c r="G3502">
        <f>G3501+0.0001</f>
        <v/>
      </c>
    </row>
    <row r="3503">
      <c r="G3503">
        <f>G3502+0.0001</f>
        <v/>
      </c>
    </row>
    <row r="3504">
      <c r="G3504">
        <f>G3503+0.0001</f>
        <v/>
      </c>
    </row>
    <row r="3505">
      <c r="G3505">
        <f>G3504+0.0001</f>
        <v/>
      </c>
    </row>
    <row r="3506">
      <c r="G3506">
        <f>G3505+0.0001</f>
        <v/>
      </c>
    </row>
    <row r="3507">
      <c r="G3507">
        <f>G3506+0.0001</f>
        <v/>
      </c>
    </row>
    <row r="3508">
      <c r="G3508">
        <f>G3507+0.0001</f>
        <v/>
      </c>
    </row>
    <row r="3509">
      <c r="G3509">
        <f>G3508+0.0001</f>
        <v/>
      </c>
    </row>
    <row r="3510">
      <c r="G3510">
        <f>G3509+0.0001</f>
        <v/>
      </c>
    </row>
    <row r="3511">
      <c r="G3511">
        <f>G3510+0.0001</f>
        <v/>
      </c>
    </row>
    <row r="3512">
      <c r="G3512">
        <f>G3511+0.0001</f>
        <v/>
      </c>
    </row>
    <row r="3513">
      <c r="G3513">
        <f>G3512+0.0001</f>
        <v/>
      </c>
    </row>
    <row r="3514">
      <c r="G3514">
        <f>G3513+0.0001</f>
        <v/>
      </c>
    </row>
    <row r="3515">
      <c r="G3515">
        <f>G3514+0.0001</f>
        <v/>
      </c>
    </row>
    <row r="3516">
      <c r="G3516">
        <f>G3515+0.0001</f>
        <v/>
      </c>
    </row>
    <row r="3517">
      <c r="G3517">
        <f>G3516+0.0001</f>
        <v/>
      </c>
    </row>
    <row r="3518">
      <c r="G3518">
        <f>G3517+0.0001</f>
        <v/>
      </c>
    </row>
    <row r="3519">
      <c r="G3519">
        <f>G3518+0.0001</f>
        <v/>
      </c>
    </row>
    <row r="3520">
      <c r="G3520">
        <f>G3519+0.0001</f>
        <v/>
      </c>
    </row>
    <row r="3521">
      <c r="G3521">
        <f>G3520+0.0001</f>
        <v/>
      </c>
    </row>
    <row r="3522">
      <c r="G3522">
        <f>G3521+0.0001</f>
        <v/>
      </c>
    </row>
    <row r="3523">
      <c r="G3523">
        <f>G3522+0.0001</f>
        <v/>
      </c>
    </row>
    <row r="3524">
      <c r="G3524">
        <f>G3523+0.0001</f>
        <v/>
      </c>
    </row>
    <row r="3525">
      <c r="G3525">
        <f>G3524+0.0001</f>
        <v/>
      </c>
    </row>
    <row r="3526">
      <c r="G3526">
        <f>G3525+0.0001</f>
        <v/>
      </c>
    </row>
    <row r="3527">
      <c r="G3527">
        <f>G3526+0.0001</f>
        <v/>
      </c>
    </row>
    <row r="3528">
      <c r="G3528">
        <f>G3527+0.0001</f>
        <v/>
      </c>
    </row>
    <row r="3529">
      <c r="G3529">
        <f>G3528+0.0001</f>
        <v/>
      </c>
    </row>
    <row r="3530">
      <c r="G3530">
        <f>G3529+0.0001</f>
        <v/>
      </c>
    </row>
    <row r="3531">
      <c r="G3531">
        <f>G3530+0.0001</f>
        <v/>
      </c>
    </row>
    <row r="3532">
      <c r="G3532">
        <f>G3531+0.0001</f>
        <v/>
      </c>
    </row>
    <row r="3533">
      <c r="G3533">
        <f>G3532+0.0001</f>
        <v/>
      </c>
    </row>
    <row r="3534">
      <c r="G3534">
        <f>G3533+0.0001</f>
        <v/>
      </c>
    </row>
    <row r="3535">
      <c r="G3535">
        <f>G3534+0.0001</f>
        <v/>
      </c>
    </row>
    <row r="3536">
      <c r="G3536">
        <f>G3535+0.0001</f>
        <v/>
      </c>
    </row>
    <row r="3537">
      <c r="G3537">
        <f>G3536+0.0001</f>
        <v/>
      </c>
    </row>
    <row r="3538">
      <c r="G3538">
        <f>G3537+0.0001</f>
        <v/>
      </c>
    </row>
    <row r="3539">
      <c r="G3539">
        <f>G3538+0.0001</f>
        <v/>
      </c>
    </row>
    <row r="3540">
      <c r="G3540">
        <f>G3539+0.0001</f>
        <v/>
      </c>
    </row>
    <row r="3541">
      <c r="G3541">
        <f>G3540+0.0001</f>
        <v/>
      </c>
    </row>
    <row r="3542">
      <c r="G3542">
        <f>G3541+0.0001</f>
        <v/>
      </c>
    </row>
    <row r="3543">
      <c r="G3543">
        <f>G3542+0.0001</f>
        <v/>
      </c>
    </row>
    <row r="3544">
      <c r="G3544">
        <f>G3543+0.0001</f>
        <v/>
      </c>
    </row>
    <row r="3545">
      <c r="G3545">
        <f>G3544+0.0001</f>
        <v/>
      </c>
    </row>
    <row r="3546">
      <c r="G3546">
        <f>G3545+0.0001</f>
        <v/>
      </c>
    </row>
    <row r="3547">
      <c r="G3547">
        <f>G3546+0.0001</f>
        <v/>
      </c>
    </row>
    <row r="3548">
      <c r="G3548">
        <f>G3547+0.0001</f>
        <v/>
      </c>
    </row>
    <row r="3549">
      <c r="G3549">
        <f>G3548+0.0001</f>
        <v/>
      </c>
    </row>
    <row r="3550">
      <c r="G3550">
        <f>G3549+0.0001</f>
        <v/>
      </c>
    </row>
    <row r="3551">
      <c r="G3551">
        <f>G3550+0.0001</f>
        <v/>
      </c>
    </row>
    <row r="3552">
      <c r="G3552">
        <f>G3551+0.0001</f>
        <v/>
      </c>
    </row>
    <row r="3553">
      <c r="G3553">
        <f>G3552+0.0001</f>
        <v/>
      </c>
    </row>
    <row r="3554">
      <c r="G3554">
        <f>G3553+0.0001</f>
        <v/>
      </c>
    </row>
    <row r="3555">
      <c r="G3555">
        <f>G3554+0.0001</f>
        <v/>
      </c>
    </row>
    <row r="3556">
      <c r="G3556">
        <f>G3555+0.0001</f>
        <v/>
      </c>
    </row>
    <row r="3557">
      <c r="G3557">
        <f>G3556+0.0001</f>
        <v/>
      </c>
    </row>
    <row r="3558">
      <c r="G3558">
        <f>G3557+0.0001</f>
        <v/>
      </c>
    </row>
    <row r="3559">
      <c r="G3559">
        <f>G3558+0.0001</f>
        <v/>
      </c>
    </row>
    <row r="3560">
      <c r="G3560">
        <f>G3559+0.0001</f>
        <v/>
      </c>
    </row>
    <row r="3561">
      <c r="G3561">
        <f>G3560+0.0001</f>
        <v/>
      </c>
    </row>
    <row r="3562">
      <c r="G3562">
        <f>G3561+0.0001</f>
        <v/>
      </c>
    </row>
    <row r="3563">
      <c r="G3563">
        <f>G3562+0.0001</f>
        <v/>
      </c>
    </row>
    <row r="3564">
      <c r="G3564">
        <f>G3563+0.0001</f>
        <v/>
      </c>
    </row>
    <row r="3565">
      <c r="G3565">
        <f>G3564+0.0001</f>
        <v/>
      </c>
    </row>
    <row r="3566">
      <c r="G3566">
        <f>G3565+0.0001</f>
        <v/>
      </c>
    </row>
    <row r="3567">
      <c r="G3567">
        <f>G3566+0.0001</f>
        <v/>
      </c>
    </row>
    <row r="3568">
      <c r="G3568">
        <f>G3567+0.0001</f>
        <v/>
      </c>
    </row>
    <row r="3569">
      <c r="G3569">
        <f>G3568+0.0001</f>
        <v/>
      </c>
    </row>
    <row r="3570">
      <c r="G3570">
        <f>G3569+0.0001</f>
        <v/>
      </c>
    </row>
    <row r="3571">
      <c r="G3571">
        <f>G3570+0.0001</f>
        <v/>
      </c>
    </row>
    <row r="3572">
      <c r="G3572">
        <f>G3571+0.0001</f>
        <v/>
      </c>
    </row>
    <row r="3573">
      <c r="G3573">
        <f>G3572+0.0001</f>
        <v/>
      </c>
    </row>
    <row r="3574">
      <c r="G3574">
        <f>G3573+0.0001</f>
        <v/>
      </c>
    </row>
    <row r="3575">
      <c r="G3575">
        <f>G3574+0.0001</f>
        <v/>
      </c>
    </row>
    <row r="3576">
      <c r="G3576">
        <f>G3575+0.0001</f>
        <v/>
      </c>
    </row>
    <row r="3577">
      <c r="G3577">
        <f>G3576+0.0001</f>
        <v/>
      </c>
    </row>
    <row r="3578">
      <c r="G3578">
        <f>G3577+0.0001</f>
        <v/>
      </c>
    </row>
    <row r="3579">
      <c r="G3579">
        <f>G3578+0.0001</f>
        <v/>
      </c>
    </row>
    <row r="3580">
      <c r="G3580">
        <f>G3579+0.0001</f>
        <v/>
      </c>
    </row>
    <row r="3581">
      <c r="G3581">
        <f>G3580+0.0001</f>
        <v/>
      </c>
    </row>
    <row r="3582">
      <c r="G3582">
        <f>G3581+0.0001</f>
        <v/>
      </c>
    </row>
    <row r="3583">
      <c r="G3583">
        <f>G3582+0.0001</f>
        <v/>
      </c>
    </row>
    <row r="3584">
      <c r="G3584">
        <f>G3583+0.0001</f>
        <v/>
      </c>
    </row>
    <row r="3585">
      <c r="G3585">
        <f>G3584+0.0001</f>
        <v/>
      </c>
    </row>
    <row r="3586">
      <c r="G3586">
        <f>G3585+0.0001</f>
        <v/>
      </c>
    </row>
    <row r="3587">
      <c r="G3587">
        <f>G3586+0.0001</f>
        <v/>
      </c>
    </row>
    <row r="3588">
      <c r="G3588">
        <f>G3587+0.0001</f>
        <v/>
      </c>
    </row>
    <row r="3589">
      <c r="G3589">
        <f>G3588+0.0001</f>
        <v/>
      </c>
    </row>
    <row r="3590">
      <c r="G3590">
        <f>G3589+0.0001</f>
        <v/>
      </c>
    </row>
    <row r="3591">
      <c r="G3591">
        <f>G3590+0.0001</f>
        <v/>
      </c>
    </row>
    <row r="3592">
      <c r="G3592">
        <f>G3591+0.0001</f>
        <v/>
      </c>
    </row>
    <row r="3593">
      <c r="G3593">
        <f>G3592+0.0001</f>
        <v/>
      </c>
    </row>
    <row r="3594">
      <c r="G3594">
        <f>G3593+0.0001</f>
        <v/>
      </c>
    </row>
    <row r="3595">
      <c r="G3595">
        <f>G3594+0.0001</f>
        <v/>
      </c>
    </row>
    <row r="3596">
      <c r="G3596">
        <f>G3595+0.0001</f>
        <v/>
      </c>
    </row>
    <row r="3597">
      <c r="G3597">
        <f>G3596+0.0001</f>
        <v/>
      </c>
    </row>
    <row r="3598">
      <c r="G3598">
        <f>G3597+0.0001</f>
        <v/>
      </c>
    </row>
    <row r="3599">
      <c r="G3599">
        <f>G3598+0.0001</f>
        <v/>
      </c>
    </row>
    <row r="3600">
      <c r="G3600">
        <f>G3599+0.0001</f>
        <v/>
      </c>
    </row>
    <row r="3601">
      <c r="G3601">
        <f>G3600+0.0001</f>
        <v/>
      </c>
    </row>
    <row r="3602">
      <c r="G3602">
        <f>G3601+0.0001</f>
        <v/>
      </c>
    </row>
    <row r="3603">
      <c r="G3603">
        <f>G3602+0.0001</f>
        <v/>
      </c>
    </row>
    <row r="3604">
      <c r="G3604">
        <f>G3603+0.0001</f>
        <v/>
      </c>
    </row>
    <row r="3605">
      <c r="G3605">
        <f>G3604+0.0001</f>
        <v/>
      </c>
    </row>
    <row r="3606">
      <c r="G3606">
        <f>G3605+0.0001</f>
        <v/>
      </c>
    </row>
    <row r="3607">
      <c r="G3607">
        <f>G3606+0.0001</f>
        <v/>
      </c>
    </row>
    <row r="3608">
      <c r="G3608">
        <f>G3607+0.0001</f>
        <v/>
      </c>
    </row>
    <row r="3609">
      <c r="G3609">
        <f>G3608+0.0001</f>
        <v/>
      </c>
    </row>
    <row r="3610">
      <c r="G3610">
        <f>G3609+0.0001</f>
        <v/>
      </c>
    </row>
    <row r="3611">
      <c r="G3611">
        <f>G3610+0.0001</f>
        <v/>
      </c>
    </row>
    <row r="3612">
      <c r="G3612">
        <f>G3611+0.0001</f>
        <v/>
      </c>
    </row>
    <row r="3613">
      <c r="G3613">
        <f>G3612+0.0001</f>
        <v/>
      </c>
    </row>
    <row r="3614">
      <c r="G3614">
        <f>G3613+0.0001</f>
        <v/>
      </c>
    </row>
    <row r="3615">
      <c r="G3615">
        <f>G3614+0.0001</f>
        <v/>
      </c>
    </row>
    <row r="3616">
      <c r="G3616">
        <f>G3615+0.0001</f>
        <v/>
      </c>
    </row>
    <row r="3617">
      <c r="G3617">
        <f>G3616+0.0001</f>
        <v/>
      </c>
    </row>
    <row r="3618">
      <c r="G3618">
        <f>G3617+0.0001</f>
        <v/>
      </c>
    </row>
    <row r="3619">
      <c r="G3619">
        <f>G3618+0.0001</f>
        <v/>
      </c>
    </row>
    <row r="3620">
      <c r="G3620">
        <f>G3619+0.0001</f>
        <v/>
      </c>
    </row>
    <row r="3621">
      <c r="G3621">
        <f>G3620+0.0001</f>
        <v/>
      </c>
    </row>
    <row r="3622">
      <c r="G3622">
        <f>G3621+0.0001</f>
        <v/>
      </c>
    </row>
    <row r="3623">
      <c r="G3623">
        <f>G3622+0.0001</f>
        <v/>
      </c>
    </row>
    <row r="3624">
      <c r="G3624">
        <f>G3623+0.0001</f>
        <v/>
      </c>
    </row>
    <row r="3625">
      <c r="G3625">
        <f>G3624+0.0001</f>
        <v/>
      </c>
    </row>
    <row r="3626">
      <c r="G3626">
        <f>G3625+0.0001</f>
        <v/>
      </c>
    </row>
    <row r="3627">
      <c r="G3627">
        <f>G3626+0.0001</f>
        <v/>
      </c>
    </row>
    <row r="3628">
      <c r="G3628">
        <f>G3627+0.0001</f>
        <v/>
      </c>
    </row>
    <row r="3629">
      <c r="G3629">
        <f>G3628+0.0001</f>
        <v/>
      </c>
    </row>
    <row r="3630">
      <c r="G3630">
        <f>G3629+0.0001</f>
        <v/>
      </c>
    </row>
    <row r="3631">
      <c r="G3631">
        <f>G3630+0.0001</f>
        <v/>
      </c>
    </row>
    <row r="3632">
      <c r="G3632">
        <f>G3631+0.0001</f>
        <v/>
      </c>
    </row>
    <row r="3633">
      <c r="G3633">
        <f>G3632+0.0001</f>
        <v/>
      </c>
    </row>
    <row r="3634">
      <c r="G3634">
        <f>G3633+0.0001</f>
        <v/>
      </c>
    </row>
    <row r="3635">
      <c r="G3635">
        <f>G3634+0.0001</f>
        <v/>
      </c>
    </row>
    <row r="3636">
      <c r="G3636">
        <f>G3635+0.0001</f>
        <v/>
      </c>
    </row>
    <row r="3637">
      <c r="G3637">
        <f>G3636+0.0001</f>
        <v/>
      </c>
    </row>
    <row r="3638">
      <c r="G3638">
        <f>G3637+0.0001</f>
        <v/>
      </c>
    </row>
    <row r="3639">
      <c r="G3639">
        <f>G3638+0.0001</f>
        <v/>
      </c>
    </row>
    <row r="3640">
      <c r="G3640">
        <f>G3639+0.0001</f>
        <v/>
      </c>
    </row>
    <row r="3641">
      <c r="G3641">
        <f>G3640+0.0001</f>
        <v/>
      </c>
    </row>
    <row r="3642">
      <c r="G3642">
        <f>G3641+0.0001</f>
        <v/>
      </c>
    </row>
    <row r="3643">
      <c r="G3643">
        <f>G3642+0.0001</f>
        <v/>
      </c>
    </row>
    <row r="3644">
      <c r="G3644">
        <f>G3643+0.0001</f>
        <v/>
      </c>
    </row>
    <row r="3645">
      <c r="G3645">
        <f>G3644+0.0001</f>
        <v/>
      </c>
    </row>
    <row r="3646">
      <c r="G3646">
        <f>G3645+0.0001</f>
        <v/>
      </c>
    </row>
    <row r="3647">
      <c r="G3647">
        <f>G3646+0.0001</f>
        <v/>
      </c>
    </row>
    <row r="3648">
      <c r="G3648">
        <f>G3647+0.0001</f>
        <v/>
      </c>
    </row>
    <row r="3649">
      <c r="G3649">
        <f>G3648+0.0001</f>
        <v/>
      </c>
    </row>
    <row r="3650">
      <c r="G3650">
        <f>G3649+0.0001</f>
        <v/>
      </c>
    </row>
    <row r="3651">
      <c r="G3651">
        <f>G3650+0.0001</f>
        <v/>
      </c>
    </row>
    <row r="3652">
      <c r="G3652">
        <f>G3651+0.0001</f>
        <v/>
      </c>
    </row>
    <row r="3653">
      <c r="G3653">
        <f>G3652+0.0001</f>
        <v/>
      </c>
    </row>
    <row r="3654">
      <c r="G3654">
        <f>G3653+0.0001</f>
        <v/>
      </c>
    </row>
    <row r="3655">
      <c r="G3655">
        <f>G3654+0.0001</f>
        <v/>
      </c>
    </row>
    <row r="3656">
      <c r="G3656">
        <f>G3655+0.0001</f>
        <v/>
      </c>
    </row>
    <row r="3657">
      <c r="G3657">
        <f>G3656+0.0001</f>
        <v/>
      </c>
    </row>
    <row r="3658">
      <c r="G3658">
        <f>G3657+0.0001</f>
        <v/>
      </c>
    </row>
    <row r="3659">
      <c r="G3659">
        <f>G3658+0.0001</f>
        <v/>
      </c>
    </row>
    <row r="3660">
      <c r="G3660">
        <f>G3659+0.0001</f>
        <v/>
      </c>
    </row>
    <row r="3661">
      <c r="G3661">
        <f>G3660+0.0001</f>
        <v/>
      </c>
    </row>
    <row r="3662">
      <c r="G3662">
        <f>G3661+0.0001</f>
        <v/>
      </c>
    </row>
    <row r="3663">
      <c r="G3663">
        <f>G3662+0.0001</f>
        <v/>
      </c>
    </row>
    <row r="3664">
      <c r="G3664">
        <f>G3663+0.0001</f>
        <v/>
      </c>
    </row>
    <row r="3665">
      <c r="G3665">
        <f>G3664+0.0001</f>
        <v/>
      </c>
    </row>
    <row r="3666">
      <c r="G3666">
        <f>G3665+0.0001</f>
        <v/>
      </c>
    </row>
    <row r="3667">
      <c r="G3667">
        <f>G3666+0.0001</f>
        <v/>
      </c>
    </row>
    <row r="3668">
      <c r="G3668">
        <f>G3667+0.0001</f>
        <v/>
      </c>
    </row>
    <row r="3669">
      <c r="G3669">
        <f>G3668+0.0001</f>
        <v/>
      </c>
    </row>
    <row r="3670">
      <c r="G3670">
        <f>G3669+0.0001</f>
        <v/>
      </c>
    </row>
    <row r="3671">
      <c r="G3671">
        <f>G3670+0.0001</f>
        <v/>
      </c>
    </row>
    <row r="3672">
      <c r="G3672">
        <f>G3671+0.0001</f>
        <v/>
      </c>
    </row>
    <row r="3673">
      <c r="G3673">
        <f>G3672+0.0001</f>
        <v/>
      </c>
    </row>
    <row r="3674">
      <c r="G3674">
        <f>G3673+0.0001</f>
        <v/>
      </c>
    </row>
    <row r="3675">
      <c r="G3675">
        <f>G3674+0.0001</f>
        <v/>
      </c>
    </row>
    <row r="3676">
      <c r="G3676">
        <f>G3675+0.0001</f>
        <v/>
      </c>
    </row>
    <row r="3677">
      <c r="G3677">
        <f>G3676+0.0001</f>
        <v/>
      </c>
    </row>
    <row r="3678">
      <c r="G3678">
        <f>G3677+0.0001</f>
        <v/>
      </c>
    </row>
    <row r="3679">
      <c r="G3679">
        <f>G3678+0.0001</f>
        <v/>
      </c>
    </row>
    <row r="3680">
      <c r="G3680">
        <f>G3679+0.0001</f>
        <v/>
      </c>
    </row>
    <row r="3681">
      <c r="G3681">
        <f>G3680+0.0001</f>
        <v/>
      </c>
    </row>
    <row r="3682">
      <c r="G3682">
        <f>G3681+0.0001</f>
        <v/>
      </c>
    </row>
    <row r="3683">
      <c r="G3683">
        <f>G3682+0.0001</f>
        <v/>
      </c>
    </row>
    <row r="3684">
      <c r="G3684">
        <f>G3683+0.0001</f>
        <v/>
      </c>
    </row>
    <row r="3685">
      <c r="G3685">
        <f>G3684+0.0001</f>
        <v/>
      </c>
    </row>
    <row r="3686">
      <c r="G3686">
        <f>G3685+0.0001</f>
        <v/>
      </c>
    </row>
    <row r="3687">
      <c r="G3687">
        <f>G3686+0.0001</f>
        <v/>
      </c>
    </row>
    <row r="3688">
      <c r="G3688">
        <f>G3687+0.0001</f>
        <v/>
      </c>
    </row>
    <row r="3689">
      <c r="G3689">
        <f>G3688+0.0001</f>
        <v/>
      </c>
    </row>
    <row r="3690">
      <c r="G3690">
        <f>G3689+0.0001</f>
        <v/>
      </c>
    </row>
    <row r="3691">
      <c r="G3691">
        <f>G3690+0.0001</f>
        <v/>
      </c>
    </row>
    <row r="3692">
      <c r="G3692">
        <f>G3691+0.0001</f>
        <v/>
      </c>
    </row>
    <row r="3693">
      <c r="G3693">
        <f>G3692+0.0001</f>
        <v/>
      </c>
    </row>
    <row r="3694">
      <c r="G3694">
        <f>G3693+0.0001</f>
        <v/>
      </c>
    </row>
    <row r="3695">
      <c r="G3695">
        <f>G3694+0.0001</f>
        <v/>
      </c>
    </row>
    <row r="3696">
      <c r="G3696">
        <f>G3695+0.0001</f>
        <v/>
      </c>
    </row>
    <row r="3697">
      <c r="G3697">
        <f>G3696+0.0001</f>
        <v/>
      </c>
    </row>
    <row r="3698">
      <c r="G3698">
        <f>G3697+0.0001</f>
        <v/>
      </c>
    </row>
    <row r="3699">
      <c r="G3699">
        <f>G3698+0.0001</f>
        <v/>
      </c>
    </row>
    <row r="3700">
      <c r="G3700">
        <f>G3699+0.0001</f>
        <v/>
      </c>
    </row>
    <row r="3701">
      <c r="G3701">
        <f>G3700+0.0001</f>
        <v/>
      </c>
    </row>
    <row r="3702">
      <c r="G3702">
        <f>G3701+0.0001</f>
        <v/>
      </c>
    </row>
    <row r="3703">
      <c r="G3703">
        <f>G3702+0.0001</f>
        <v/>
      </c>
    </row>
    <row r="3704">
      <c r="G3704">
        <f>G3703+0.0001</f>
        <v/>
      </c>
    </row>
    <row r="3705">
      <c r="G3705">
        <f>G3704+0.0001</f>
        <v/>
      </c>
    </row>
    <row r="3706">
      <c r="G3706">
        <f>G3705+0.0001</f>
        <v/>
      </c>
    </row>
    <row r="3707">
      <c r="G3707">
        <f>G3706+0.0001</f>
        <v/>
      </c>
    </row>
    <row r="3708">
      <c r="G3708">
        <f>G3707+0.0001</f>
        <v/>
      </c>
    </row>
    <row r="3709">
      <c r="G3709">
        <f>G3708+0.0001</f>
        <v/>
      </c>
    </row>
    <row r="3710">
      <c r="G3710">
        <f>G3709+0.0001</f>
        <v/>
      </c>
    </row>
    <row r="3711">
      <c r="G3711">
        <f>G3710+0.0001</f>
        <v/>
      </c>
    </row>
    <row r="3712">
      <c r="G3712">
        <f>G3711+0.0001</f>
        <v/>
      </c>
    </row>
    <row r="3713">
      <c r="G3713">
        <f>G3712+0.0001</f>
        <v/>
      </c>
    </row>
    <row r="3714">
      <c r="G3714">
        <f>G3713+0.0001</f>
        <v/>
      </c>
    </row>
    <row r="3715">
      <c r="G3715">
        <f>G3714+0.0001</f>
        <v/>
      </c>
    </row>
    <row r="3716">
      <c r="G3716">
        <f>G3715+0.0001</f>
        <v/>
      </c>
    </row>
    <row r="3717">
      <c r="G3717">
        <f>G3716+0.0001</f>
        <v/>
      </c>
    </row>
    <row r="3718">
      <c r="G3718">
        <f>G3717+0.0001</f>
        <v/>
      </c>
    </row>
    <row r="3719">
      <c r="G3719">
        <f>G3718+0.0001</f>
        <v/>
      </c>
    </row>
    <row r="3720">
      <c r="G3720">
        <f>G3719+0.0001</f>
        <v/>
      </c>
    </row>
    <row r="3721">
      <c r="G3721">
        <f>G3720+0.0001</f>
        <v/>
      </c>
    </row>
    <row r="3722">
      <c r="G3722">
        <f>G3721+0.0001</f>
        <v/>
      </c>
    </row>
    <row r="3723">
      <c r="G3723">
        <f>G3722+0.0001</f>
        <v/>
      </c>
    </row>
    <row r="3724">
      <c r="G3724">
        <f>G3723+0.0001</f>
        <v/>
      </c>
    </row>
    <row r="3725">
      <c r="G3725">
        <f>G3724+0.0001</f>
        <v/>
      </c>
    </row>
    <row r="3726">
      <c r="G3726">
        <f>G3725+0.0001</f>
        <v/>
      </c>
    </row>
    <row r="3727">
      <c r="G3727">
        <f>G3726+0.0001</f>
        <v/>
      </c>
    </row>
    <row r="3728">
      <c r="G3728">
        <f>G3727+0.0001</f>
        <v/>
      </c>
    </row>
    <row r="3729">
      <c r="G3729">
        <f>G3728+0.0001</f>
        <v/>
      </c>
    </row>
    <row r="3730">
      <c r="G3730">
        <f>G3729+0.0001</f>
        <v/>
      </c>
    </row>
    <row r="3731">
      <c r="G3731">
        <f>G3730+0.0001</f>
        <v/>
      </c>
    </row>
    <row r="3732">
      <c r="G3732">
        <f>G3731+0.0001</f>
        <v/>
      </c>
    </row>
    <row r="3733">
      <c r="G3733">
        <f>G3732+0.0001</f>
        <v/>
      </c>
    </row>
    <row r="3734">
      <c r="G3734">
        <f>G3733+0.0001</f>
        <v/>
      </c>
    </row>
    <row r="3735">
      <c r="G3735">
        <f>G3734+0.0001</f>
        <v/>
      </c>
    </row>
    <row r="3736">
      <c r="G3736">
        <f>G3735+0.0001</f>
        <v/>
      </c>
    </row>
    <row r="3737">
      <c r="G3737">
        <f>G3736+0.0001</f>
        <v/>
      </c>
    </row>
    <row r="3738">
      <c r="G3738">
        <f>G3737+0.0001</f>
        <v/>
      </c>
    </row>
    <row r="3739">
      <c r="G3739">
        <f>G3738+0.0001</f>
        <v/>
      </c>
    </row>
    <row r="3740">
      <c r="G3740">
        <f>G3739+0.0001</f>
        <v/>
      </c>
    </row>
    <row r="3741">
      <c r="G3741">
        <f>G3740+0.0001</f>
        <v/>
      </c>
    </row>
    <row r="3742">
      <c r="G3742">
        <f>G3741+0.0001</f>
        <v/>
      </c>
    </row>
    <row r="3743">
      <c r="G3743">
        <f>G3742+0.0001</f>
        <v/>
      </c>
    </row>
    <row r="3744">
      <c r="G3744">
        <f>G3743+0.0001</f>
        <v/>
      </c>
    </row>
    <row r="3745">
      <c r="G3745">
        <f>G3744+0.0001</f>
        <v/>
      </c>
    </row>
    <row r="3746">
      <c r="G3746">
        <f>G3745+0.0001</f>
        <v/>
      </c>
    </row>
    <row r="3747">
      <c r="G3747">
        <f>G3746+0.0001</f>
        <v/>
      </c>
    </row>
    <row r="3748">
      <c r="G3748">
        <f>G3747+0.0001</f>
        <v/>
      </c>
    </row>
    <row r="3749">
      <c r="G3749">
        <f>G3748+0.0001</f>
        <v/>
      </c>
    </row>
    <row r="3750">
      <c r="G3750">
        <f>G3749+0.0001</f>
        <v/>
      </c>
    </row>
    <row r="3751">
      <c r="G3751">
        <f>G3750+0.0001</f>
        <v/>
      </c>
    </row>
    <row r="3752">
      <c r="G3752">
        <f>G3751+0.0001</f>
        <v/>
      </c>
    </row>
    <row r="3753">
      <c r="G3753">
        <f>G3752+0.0001</f>
        <v/>
      </c>
    </row>
    <row r="3754">
      <c r="G3754">
        <f>G3753+0.0001</f>
        <v/>
      </c>
    </row>
    <row r="3755">
      <c r="G3755">
        <f>G3754+0.0001</f>
        <v/>
      </c>
    </row>
    <row r="3756">
      <c r="G3756">
        <f>G3755+0.0001</f>
        <v/>
      </c>
    </row>
    <row r="3757">
      <c r="G3757">
        <f>G3756+0.0001</f>
        <v/>
      </c>
    </row>
    <row r="3758">
      <c r="G3758">
        <f>G3757+0.0001</f>
        <v/>
      </c>
    </row>
    <row r="3759">
      <c r="G3759">
        <f>G3758+0.0001</f>
        <v/>
      </c>
    </row>
    <row r="3760">
      <c r="G3760">
        <f>G3759+0.0001</f>
        <v/>
      </c>
    </row>
    <row r="3761">
      <c r="G3761">
        <f>G3760+0.0001</f>
        <v/>
      </c>
    </row>
    <row r="3762">
      <c r="G3762">
        <f>G3761+0.0001</f>
        <v/>
      </c>
    </row>
    <row r="3763">
      <c r="G3763">
        <f>G3762+0.0001</f>
        <v/>
      </c>
    </row>
    <row r="3764">
      <c r="G3764">
        <f>G3763+0.0001</f>
        <v/>
      </c>
    </row>
    <row r="3765">
      <c r="G3765">
        <f>G3764+0.0001</f>
        <v/>
      </c>
    </row>
    <row r="3766">
      <c r="G3766">
        <f>G3765+0.0001</f>
        <v/>
      </c>
    </row>
    <row r="3767">
      <c r="G3767">
        <f>G3766+0.0001</f>
        <v/>
      </c>
    </row>
    <row r="3768">
      <c r="G3768">
        <f>G3767+0.0001</f>
        <v/>
      </c>
    </row>
    <row r="3769">
      <c r="G3769">
        <f>G3768+0.0001</f>
        <v/>
      </c>
    </row>
    <row r="3770">
      <c r="G3770">
        <f>G3769+0.0001</f>
        <v/>
      </c>
    </row>
    <row r="3771">
      <c r="G3771">
        <f>G3770+0.0001</f>
        <v/>
      </c>
    </row>
    <row r="3772">
      <c r="G3772">
        <f>G3771+0.0001</f>
        <v/>
      </c>
    </row>
    <row r="3773">
      <c r="G3773">
        <f>G3772+0.0001</f>
        <v/>
      </c>
    </row>
    <row r="3774">
      <c r="G3774">
        <f>G3773+0.0001</f>
        <v/>
      </c>
    </row>
    <row r="3775">
      <c r="G3775">
        <f>G3774+0.0001</f>
        <v/>
      </c>
    </row>
    <row r="3776">
      <c r="G3776">
        <f>G3775+0.0001</f>
        <v/>
      </c>
    </row>
    <row r="3777">
      <c r="G3777">
        <f>G3776+0.0001</f>
        <v/>
      </c>
    </row>
    <row r="3778">
      <c r="G3778">
        <f>G3777+0.0001</f>
        <v/>
      </c>
    </row>
    <row r="3779">
      <c r="G3779">
        <f>G3778+0.0001</f>
        <v/>
      </c>
    </row>
    <row r="3780">
      <c r="G3780">
        <f>G3779+0.0001</f>
        <v/>
      </c>
    </row>
    <row r="3781">
      <c r="G3781">
        <f>G3780+0.0001</f>
        <v/>
      </c>
    </row>
    <row r="3782">
      <c r="G3782">
        <f>G3781+0.0001</f>
        <v/>
      </c>
    </row>
    <row r="3783">
      <c r="G3783">
        <f>G3782+0.0001</f>
        <v/>
      </c>
    </row>
    <row r="3784">
      <c r="G3784">
        <f>G3783+0.0001</f>
        <v/>
      </c>
    </row>
    <row r="3785">
      <c r="G3785">
        <f>G3784+0.0001</f>
        <v/>
      </c>
    </row>
    <row r="3786">
      <c r="G3786">
        <f>G3785+0.0001</f>
        <v/>
      </c>
    </row>
    <row r="3787">
      <c r="G3787">
        <f>G3786+0.0001</f>
        <v/>
      </c>
    </row>
    <row r="3788">
      <c r="G3788">
        <f>G3787+0.0001</f>
        <v/>
      </c>
    </row>
    <row r="3789">
      <c r="G3789">
        <f>G3788+0.0001</f>
        <v/>
      </c>
    </row>
    <row r="3790">
      <c r="G3790">
        <f>G3789+0.0001</f>
        <v/>
      </c>
    </row>
    <row r="3791">
      <c r="G3791">
        <f>G3790+0.0001</f>
        <v/>
      </c>
    </row>
    <row r="3792">
      <c r="G3792">
        <f>G3791+0.0001</f>
        <v/>
      </c>
    </row>
    <row r="3793">
      <c r="G3793">
        <f>G3792+0.0001</f>
        <v/>
      </c>
    </row>
    <row r="3794">
      <c r="G3794">
        <f>G3793+0.0001</f>
        <v/>
      </c>
    </row>
    <row r="3795">
      <c r="G3795">
        <f>G3794+0.0001</f>
        <v/>
      </c>
    </row>
    <row r="3796">
      <c r="G3796">
        <f>G3795+0.0001</f>
        <v/>
      </c>
    </row>
    <row r="3797">
      <c r="G3797">
        <f>G3796+0.0001</f>
        <v/>
      </c>
    </row>
    <row r="3798">
      <c r="G3798">
        <f>G3797+0.0001</f>
        <v/>
      </c>
    </row>
    <row r="3799">
      <c r="G3799">
        <f>G3798+0.0001</f>
        <v/>
      </c>
    </row>
    <row r="3800">
      <c r="G3800">
        <f>G3799+0.0001</f>
        <v/>
      </c>
    </row>
    <row r="3801">
      <c r="G3801">
        <f>G3800+0.0001</f>
        <v/>
      </c>
    </row>
    <row r="3802">
      <c r="G3802">
        <f>G3801+0.0001</f>
        <v/>
      </c>
    </row>
    <row r="3803">
      <c r="G3803">
        <f>G3802+0.0001</f>
        <v/>
      </c>
    </row>
    <row r="3804">
      <c r="G3804">
        <f>G3803+0.0001</f>
        <v/>
      </c>
    </row>
    <row r="3805">
      <c r="G3805">
        <f>G3804+0.0001</f>
        <v/>
      </c>
    </row>
    <row r="3806">
      <c r="G3806">
        <f>G3805+0.0001</f>
        <v/>
      </c>
    </row>
    <row r="3807">
      <c r="G3807">
        <f>G3806+0.0001</f>
        <v/>
      </c>
    </row>
    <row r="3808">
      <c r="G3808">
        <f>G3807+0.0001</f>
        <v/>
      </c>
    </row>
    <row r="3809">
      <c r="G3809">
        <f>G3808+0.0001</f>
        <v/>
      </c>
    </row>
    <row r="3810">
      <c r="G3810">
        <f>G3809+0.0001</f>
        <v/>
      </c>
    </row>
    <row r="3811">
      <c r="G3811">
        <f>G3810+0.0001</f>
        <v/>
      </c>
    </row>
    <row r="3812">
      <c r="G3812">
        <f>G3811+0.0001</f>
        <v/>
      </c>
    </row>
    <row r="3813">
      <c r="G3813">
        <f>G3812+0.0001</f>
        <v/>
      </c>
    </row>
    <row r="3814">
      <c r="G3814">
        <f>G3813+0.0001</f>
        <v/>
      </c>
    </row>
    <row r="3815">
      <c r="G3815">
        <f>G3814+0.0001</f>
        <v/>
      </c>
    </row>
    <row r="3816">
      <c r="G3816">
        <f>G3815+0.0001</f>
        <v/>
      </c>
    </row>
    <row r="3817">
      <c r="G3817">
        <f>G3816+0.0001</f>
        <v/>
      </c>
    </row>
    <row r="3818">
      <c r="G3818">
        <f>G3817+0.0001</f>
        <v/>
      </c>
    </row>
    <row r="3819">
      <c r="G3819">
        <f>G3818+0.0001</f>
        <v/>
      </c>
    </row>
    <row r="3820">
      <c r="G3820">
        <f>G3819+0.0001</f>
        <v/>
      </c>
    </row>
    <row r="3821">
      <c r="G3821">
        <f>G3820+0.0001</f>
        <v/>
      </c>
    </row>
    <row r="3822">
      <c r="G3822">
        <f>G3821+0.0001</f>
        <v/>
      </c>
    </row>
    <row r="3823">
      <c r="G3823">
        <f>G3822+0.0001</f>
        <v/>
      </c>
    </row>
    <row r="3824">
      <c r="G3824">
        <f>G3823+0.0001</f>
        <v/>
      </c>
    </row>
    <row r="3825">
      <c r="G3825">
        <f>G3824+0.0001</f>
        <v/>
      </c>
    </row>
    <row r="3826">
      <c r="G3826">
        <f>G3825+0.0001</f>
        <v/>
      </c>
    </row>
    <row r="3827">
      <c r="G3827">
        <f>G3826+0.0001</f>
        <v/>
      </c>
    </row>
    <row r="3828">
      <c r="G3828">
        <f>G3827+0.0001</f>
        <v/>
      </c>
    </row>
    <row r="3829">
      <c r="G3829">
        <f>G3828+0.0001</f>
        <v/>
      </c>
    </row>
    <row r="3830">
      <c r="G3830">
        <f>G3829+0.0001</f>
        <v/>
      </c>
    </row>
    <row r="3831">
      <c r="G3831">
        <f>G3830+0.0001</f>
        <v/>
      </c>
    </row>
    <row r="3832">
      <c r="G3832">
        <f>G3831+0.0001</f>
        <v/>
      </c>
    </row>
    <row r="3833">
      <c r="G3833">
        <f>G3832+0.0001</f>
        <v/>
      </c>
    </row>
    <row r="3834">
      <c r="G3834">
        <f>G3833+0.0001</f>
        <v/>
      </c>
    </row>
    <row r="3835">
      <c r="G3835">
        <f>G3834+0.0001</f>
        <v/>
      </c>
    </row>
    <row r="3836">
      <c r="G3836">
        <f>G3835+0.0001</f>
        <v/>
      </c>
    </row>
    <row r="3837">
      <c r="G3837">
        <f>G3836+0.0001</f>
        <v/>
      </c>
    </row>
    <row r="3838">
      <c r="G3838">
        <f>G3837+0.0001</f>
        <v/>
      </c>
    </row>
    <row r="3839">
      <c r="G3839">
        <f>G3838+0.0001</f>
        <v/>
      </c>
    </row>
    <row r="3840">
      <c r="G3840">
        <f>G3839+0.0001</f>
        <v/>
      </c>
    </row>
    <row r="3841">
      <c r="G3841">
        <f>G3840+0.0001</f>
        <v/>
      </c>
    </row>
    <row r="3842">
      <c r="G3842">
        <f>G3841+0.0001</f>
        <v/>
      </c>
    </row>
    <row r="3843">
      <c r="G3843">
        <f>G3842+0.0001</f>
        <v/>
      </c>
    </row>
    <row r="3844">
      <c r="G3844">
        <f>G3843+0.0001</f>
        <v/>
      </c>
    </row>
    <row r="3845">
      <c r="G3845">
        <f>G3844+0.0001</f>
        <v/>
      </c>
    </row>
    <row r="3846">
      <c r="G3846">
        <f>G3845+0.0001</f>
        <v/>
      </c>
    </row>
    <row r="3847">
      <c r="G3847">
        <f>G3846+0.0001</f>
        <v/>
      </c>
    </row>
    <row r="3848">
      <c r="G3848">
        <f>G3847+0.0001</f>
        <v/>
      </c>
    </row>
    <row r="3849">
      <c r="G3849">
        <f>G3848+0.0001</f>
        <v/>
      </c>
    </row>
    <row r="3850">
      <c r="G3850">
        <f>G3849+0.0001</f>
        <v/>
      </c>
    </row>
    <row r="3851">
      <c r="G3851">
        <f>G3850+0.0001</f>
        <v/>
      </c>
    </row>
    <row r="3852">
      <c r="G3852">
        <f>G3851+0.0001</f>
        <v/>
      </c>
    </row>
    <row r="3853">
      <c r="G3853">
        <f>G3852+0.0001</f>
        <v/>
      </c>
    </row>
    <row r="3854">
      <c r="G3854">
        <f>G3853+0.0001</f>
        <v/>
      </c>
    </row>
    <row r="3855">
      <c r="G3855">
        <f>G3854+0.0001</f>
        <v/>
      </c>
    </row>
    <row r="3856">
      <c r="G3856">
        <f>G3855+0.0001</f>
        <v/>
      </c>
    </row>
    <row r="3857">
      <c r="G3857">
        <f>G3856+0.0001</f>
        <v/>
      </c>
    </row>
    <row r="3858">
      <c r="G3858">
        <f>G3857+0.0001</f>
        <v/>
      </c>
    </row>
    <row r="3859">
      <c r="G3859">
        <f>G3858+0.0001</f>
        <v/>
      </c>
    </row>
    <row r="3860">
      <c r="G3860">
        <f>G3859+0.0001</f>
        <v/>
      </c>
    </row>
    <row r="3861">
      <c r="G3861">
        <f>G3860+0.0001</f>
        <v/>
      </c>
    </row>
    <row r="3862">
      <c r="G3862">
        <f>G3861+0.0001</f>
        <v/>
      </c>
    </row>
    <row r="3863">
      <c r="G3863">
        <f>G3862+0.0001</f>
        <v/>
      </c>
    </row>
    <row r="3864">
      <c r="G3864">
        <f>G3863+0.0001</f>
        <v/>
      </c>
    </row>
    <row r="3865">
      <c r="G3865">
        <f>G3864+0.0001</f>
        <v/>
      </c>
    </row>
    <row r="3866">
      <c r="G3866">
        <f>G3865+0.0001</f>
        <v/>
      </c>
    </row>
    <row r="3867">
      <c r="G3867">
        <f>G3866+0.0001</f>
        <v/>
      </c>
    </row>
    <row r="3868">
      <c r="G3868">
        <f>G3867+0.0001</f>
        <v/>
      </c>
    </row>
    <row r="3869">
      <c r="G3869">
        <f>G3868+0.0001</f>
        <v/>
      </c>
    </row>
    <row r="3870">
      <c r="G3870">
        <f>G3869+0.0001</f>
        <v/>
      </c>
    </row>
    <row r="3871">
      <c r="G3871">
        <f>G3870+0.0001</f>
        <v/>
      </c>
    </row>
    <row r="3872">
      <c r="G3872">
        <f>G3871+0.0001</f>
        <v/>
      </c>
    </row>
    <row r="3873">
      <c r="G3873">
        <f>G3872+0.0001</f>
        <v/>
      </c>
    </row>
    <row r="3874">
      <c r="G3874">
        <f>G3873+0.0001</f>
        <v/>
      </c>
    </row>
    <row r="3875">
      <c r="G3875">
        <f>G3874+0.0001</f>
        <v/>
      </c>
    </row>
    <row r="3876">
      <c r="G3876">
        <f>G3875+0.0001</f>
        <v/>
      </c>
    </row>
    <row r="3877">
      <c r="G3877">
        <f>G3876+0.0001</f>
        <v/>
      </c>
    </row>
    <row r="3878">
      <c r="G3878">
        <f>G3877+0.0001</f>
        <v/>
      </c>
    </row>
    <row r="3879">
      <c r="G3879">
        <f>G3878+0.0001</f>
        <v/>
      </c>
    </row>
    <row r="3880">
      <c r="G3880">
        <f>G3879+0.0001</f>
        <v/>
      </c>
    </row>
    <row r="3881">
      <c r="G3881">
        <f>G3880+0.0001</f>
        <v/>
      </c>
    </row>
    <row r="3882">
      <c r="G3882">
        <f>G3881+0.0001</f>
        <v/>
      </c>
    </row>
    <row r="3883">
      <c r="G3883">
        <f>G3882+0.0001</f>
        <v/>
      </c>
    </row>
    <row r="3884">
      <c r="G3884">
        <f>G3883+0.0001</f>
        <v/>
      </c>
    </row>
    <row r="3885">
      <c r="G3885">
        <f>G3884+0.0001</f>
        <v/>
      </c>
    </row>
    <row r="3886">
      <c r="G3886">
        <f>G3885+0.0001</f>
        <v/>
      </c>
    </row>
    <row r="3887">
      <c r="G3887">
        <f>G3886+0.0001</f>
        <v/>
      </c>
    </row>
    <row r="3888">
      <c r="G3888">
        <f>G3887+0.0001</f>
        <v/>
      </c>
    </row>
    <row r="3889">
      <c r="G3889">
        <f>G3888+0.0001</f>
        <v/>
      </c>
    </row>
    <row r="3890">
      <c r="G3890">
        <f>G3889+0.0001</f>
        <v/>
      </c>
    </row>
    <row r="3891">
      <c r="G3891">
        <f>G3890+0.0001</f>
        <v/>
      </c>
    </row>
    <row r="3892">
      <c r="G3892">
        <f>G3891+0.0001</f>
        <v/>
      </c>
    </row>
    <row r="3893">
      <c r="G3893">
        <f>G3892+0.0001</f>
        <v/>
      </c>
    </row>
    <row r="3894">
      <c r="G3894">
        <f>G3893+0.0001</f>
        <v/>
      </c>
    </row>
    <row r="3895">
      <c r="G3895">
        <f>G3894+0.0001</f>
        <v/>
      </c>
    </row>
    <row r="3896">
      <c r="G3896">
        <f>G3895+0.0001</f>
        <v/>
      </c>
    </row>
    <row r="3897">
      <c r="G3897">
        <f>G3896+0.0001</f>
        <v/>
      </c>
    </row>
    <row r="3898">
      <c r="G3898">
        <f>G3897+0.0001</f>
        <v/>
      </c>
    </row>
    <row r="3899">
      <c r="G3899">
        <f>G3898+0.0001</f>
        <v/>
      </c>
    </row>
    <row r="3900">
      <c r="G3900">
        <f>G3899+0.0001</f>
        <v/>
      </c>
    </row>
    <row r="3901">
      <c r="G3901">
        <f>G3900+0.0001</f>
        <v/>
      </c>
    </row>
    <row r="3902">
      <c r="G3902">
        <f>G3901+0.0001</f>
        <v/>
      </c>
    </row>
    <row r="3903">
      <c r="G3903">
        <f>G3902+0.0001</f>
        <v/>
      </c>
    </row>
    <row r="3904">
      <c r="G3904">
        <f>G3903+0.0001</f>
        <v/>
      </c>
    </row>
    <row r="3905">
      <c r="G3905">
        <f>G3904+0.0001</f>
        <v/>
      </c>
    </row>
    <row r="3906">
      <c r="G3906">
        <f>G3905+0.0001</f>
        <v/>
      </c>
    </row>
    <row r="3907">
      <c r="G3907">
        <f>G3906+0.0001</f>
        <v/>
      </c>
    </row>
    <row r="3908">
      <c r="G3908">
        <f>G3907+0.0001</f>
        <v/>
      </c>
    </row>
    <row r="3909">
      <c r="G3909">
        <f>G3908+0.0001</f>
        <v/>
      </c>
    </row>
    <row r="3910">
      <c r="G3910">
        <f>G3909+0.0001</f>
        <v/>
      </c>
    </row>
    <row r="3911">
      <c r="G3911">
        <f>G3910+0.0001</f>
        <v/>
      </c>
    </row>
    <row r="3912">
      <c r="G3912">
        <f>G3911+0.0001</f>
        <v/>
      </c>
    </row>
    <row r="3913">
      <c r="G3913">
        <f>G3912+0.0001</f>
        <v/>
      </c>
    </row>
    <row r="3914">
      <c r="G3914">
        <f>G3913+0.0001</f>
        <v/>
      </c>
    </row>
    <row r="3915">
      <c r="G3915">
        <f>G3914+0.0001</f>
        <v/>
      </c>
    </row>
    <row r="3916">
      <c r="G3916">
        <f>G3915+0.0001</f>
        <v/>
      </c>
    </row>
    <row r="3917">
      <c r="G3917">
        <f>G3916+0.0001</f>
        <v/>
      </c>
    </row>
    <row r="3918">
      <c r="G3918">
        <f>G3917+0.0001</f>
        <v/>
      </c>
    </row>
    <row r="3919">
      <c r="G3919">
        <f>G3918+0.0001</f>
        <v/>
      </c>
    </row>
    <row r="3920">
      <c r="G3920">
        <f>G3919+0.0001</f>
        <v/>
      </c>
    </row>
    <row r="3921">
      <c r="G3921">
        <f>G3920+0.0001</f>
        <v/>
      </c>
    </row>
    <row r="3922">
      <c r="G3922">
        <f>G3921+0.0001</f>
        <v/>
      </c>
    </row>
    <row r="3923">
      <c r="G3923">
        <f>G3922+0.0001</f>
        <v/>
      </c>
    </row>
    <row r="3924">
      <c r="G3924">
        <f>G3923+0.0001</f>
        <v/>
      </c>
    </row>
    <row r="3925">
      <c r="G3925">
        <f>G3924+0.0001</f>
        <v/>
      </c>
    </row>
    <row r="3926">
      <c r="G3926">
        <f>G3925+0.0001</f>
        <v/>
      </c>
    </row>
    <row r="3927">
      <c r="G3927">
        <f>G3926+0.0001</f>
        <v/>
      </c>
    </row>
    <row r="3928">
      <c r="G3928">
        <f>G3927+0.0001</f>
        <v/>
      </c>
    </row>
    <row r="3929">
      <c r="G3929">
        <f>G3928+0.0001</f>
        <v/>
      </c>
    </row>
    <row r="3930">
      <c r="G3930">
        <f>G3929+0.0001</f>
        <v/>
      </c>
    </row>
    <row r="3931">
      <c r="G3931">
        <f>G3930+0.0001</f>
        <v/>
      </c>
    </row>
    <row r="3932">
      <c r="G3932">
        <f>G3931+0.0001</f>
        <v/>
      </c>
    </row>
    <row r="3933">
      <c r="G3933">
        <f>G3932+0.0001</f>
        <v/>
      </c>
    </row>
    <row r="3934">
      <c r="G3934">
        <f>G3933+0.0001</f>
        <v/>
      </c>
    </row>
    <row r="3935">
      <c r="G3935">
        <f>G3934+0.0001</f>
        <v/>
      </c>
    </row>
    <row r="3936">
      <c r="G3936">
        <f>G3935+0.0001</f>
        <v/>
      </c>
    </row>
    <row r="3937">
      <c r="G3937">
        <f>G3936+0.0001</f>
        <v/>
      </c>
    </row>
    <row r="3938">
      <c r="G3938">
        <f>G3937+0.0001</f>
        <v/>
      </c>
    </row>
    <row r="3939">
      <c r="G3939">
        <f>G3938+0.0001</f>
        <v/>
      </c>
    </row>
    <row r="3940">
      <c r="G3940">
        <f>G3939+0.0001</f>
        <v/>
      </c>
    </row>
    <row r="3941">
      <c r="G3941">
        <f>G3940+0.0001</f>
        <v/>
      </c>
    </row>
    <row r="3942">
      <c r="G3942">
        <f>G3941+0.0001</f>
        <v/>
      </c>
    </row>
    <row r="3943">
      <c r="G3943">
        <f>G3942+0.0001</f>
        <v/>
      </c>
    </row>
    <row r="3944">
      <c r="G3944">
        <f>G3943+0.0001</f>
        <v/>
      </c>
    </row>
    <row r="3945">
      <c r="G3945">
        <f>G3944+0.0001</f>
        <v/>
      </c>
    </row>
    <row r="3946">
      <c r="G3946">
        <f>G3945+0.0001</f>
        <v/>
      </c>
    </row>
    <row r="3947">
      <c r="G3947">
        <f>G3946+0.0001</f>
        <v/>
      </c>
    </row>
    <row r="3948">
      <c r="G3948">
        <f>G3947+0.0001</f>
        <v/>
      </c>
    </row>
    <row r="3949">
      <c r="G3949">
        <f>G3948+0.0001</f>
        <v/>
      </c>
    </row>
    <row r="3950">
      <c r="G3950">
        <f>G3949+0.0001</f>
        <v/>
      </c>
    </row>
    <row r="3951">
      <c r="G3951">
        <f>G3950+0.0001</f>
        <v/>
      </c>
    </row>
    <row r="3952">
      <c r="G3952">
        <f>G3951+0.0001</f>
        <v/>
      </c>
    </row>
    <row r="3953">
      <c r="G3953">
        <f>G3952+0.0001</f>
        <v/>
      </c>
    </row>
    <row r="3954">
      <c r="G3954">
        <f>G3953+0.0001</f>
        <v/>
      </c>
    </row>
    <row r="3955">
      <c r="G3955">
        <f>G3954+0.0001</f>
        <v/>
      </c>
    </row>
    <row r="3956">
      <c r="G3956">
        <f>G3955+0.0001</f>
        <v/>
      </c>
    </row>
    <row r="3957">
      <c r="G3957">
        <f>G3956+0.0001</f>
        <v/>
      </c>
    </row>
    <row r="3958">
      <c r="G3958">
        <f>G3957+0.0001</f>
        <v/>
      </c>
    </row>
    <row r="3959">
      <c r="G3959">
        <f>G3958+0.0001</f>
        <v/>
      </c>
    </row>
    <row r="3960">
      <c r="G3960">
        <f>G3959+0.0001</f>
        <v/>
      </c>
    </row>
    <row r="3961">
      <c r="G3961">
        <f>G3960+0.0001</f>
        <v/>
      </c>
    </row>
    <row r="3962">
      <c r="G3962">
        <f>G3961+0.0001</f>
        <v/>
      </c>
    </row>
    <row r="3963">
      <c r="G3963">
        <f>G3962+0.0001</f>
        <v/>
      </c>
    </row>
    <row r="3964">
      <c r="G3964">
        <f>G3963+0.0001</f>
        <v/>
      </c>
    </row>
    <row r="3965">
      <c r="G3965">
        <f>G3964+0.0001</f>
        <v/>
      </c>
    </row>
    <row r="3966">
      <c r="G3966">
        <f>G3965+0.0001</f>
        <v/>
      </c>
    </row>
    <row r="3967">
      <c r="G3967">
        <f>G3966+0.0001</f>
        <v/>
      </c>
    </row>
    <row r="3968">
      <c r="G3968">
        <f>G3967+0.0001</f>
        <v/>
      </c>
    </row>
    <row r="3969">
      <c r="G3969">
        <f>G3968+0.0001</f>
        <v/>
      </c>
    </row>
    <row r="3970">
      <c r="G3970">
        <f>G3969+0.0001</f>
        <v/>
      </c>
    </row>
    <row r="3971">
      <c r="G3971">
        <f>G3970+0.0001</f>
        <v/>
      </c>
    </row>
    <row r="3972">
      <c r="G3972">
        <f>G3971+0.0001</f>
        <v/>
      </c>
    </row>
    <row r="3973">
      <c r="G3973">
        <f>G3972+0.0001</f>
        <v/>
      </c>
    </row>
    <row r="3974">
      <c r="G3974">
        <f>G3973+0.0001</f>
        <v/>
      </c>
    </row>
    <row r="3975">
      <c r="G3975">
        <f>G3974+0.0001</f>
        <v/>
      </c>
    </row>
    <row r="3976">
      <c r="G3976">
        <f>G3975+0.0001</f>
        <v/>
      </c>
    </row>
    <row r="3977">
      <c r="G3977">
        <f>G3976+0.0001</f>
        <v/>
      </c>
    </row>
    <row r="3978">
      <c r="G3978">
        <f>G3977+0.0001</f>
        <v/>
      </c>
    </row>
    <row r="3979">
      <c r="G3979">
        <f>G3978+0.0001</f>
        <v/>
      </c>
    </row>
    <row r="3980">
      <c r="G3980">
        <f>G3979+0.0001</f>
        <v/>
      </c>
    </row>
    <row r="3981">
      <c r="G3981">
        <f>G3980+0.0001</f>
        <v/>
      </c>
    </row>
    <row r="3982">
      <c r="G3982">
        <f>G3981+0.0001</f>
        <v/>
      </c>
    </row>
    <row r="3983">
      <c r="G3983">
        <f>G3982+0.0001</f>
        <v/>
      </c>
    </row>
    <row r="3984">
      <c r="G3984">
        <f>G3983+0.0001</f>
        <v/>
      </c>
    </row>
    <row r="3985">
      <c r="G3985">
        <f>G3984+0.0001</f>
        <v/>
      </c>
    </row>
    <row r="3986">
      <c r="G3986">
        <f>G3985+0.0001</f>
        <v/>
      </c>
    </row>
    <row r="3987">
      <c r="G3987">
        <f>G3986+0.0001</f>
        <v/>
      </c>
    </row>
    <row r="3988">
      <c r="G3988">
        <f>G3987+0.0001</f>
        <v/>
      </c>
    </row>
    <row r="3989">
      <c r="G3989">
        <f>G3988+0.0001</f>
        <v/>
      </c>
    </row>
    <row r="3990">
      <c r="G3990">
        <f>G3989+0.0001</f>
        <v/>
      </c>
    </row>
    <row r="3991">
      <c r="G3991">
        <f>G3990+0.0001</f>
        <v/>
      </c>
    </row>
    <row r="3992">
      <c r="G3992">
        <f>G3991+0.0001</f>
        <v/>
      </c>
    </row>
    <row r="3993">
      <c r="G3993">
        <f>G3992+0.0001</f>
        <v/>
      </c>
    </row>
    <row r="3994">
      <c r="G3994">
        <f>G3993+0.0001</f>
        <v/>
      </c>
    </row>
    <row r="3995">
      <c r="G3995">
        <f>G3994+0.0001</f>
        <v/>
      </c>
    </row>
    <row r="3996">
      <c r="G3996">
        <f>G3995+0.0001</f>
        <v/>
      </c>
    </row>
    <row r="3997">
      <c r="G3997">
        <f>G3996+0.0001</f>
        <v/>
      </c>
    </row>
    <row r="3998">
      <c r="G3998">
        <f>G3997+0.0001</f>
        <v/>
      </c>
    </row>
    <row r="3999">
      <c r="G3999">
        <f>G3998+0.0001</f>
        <v/>
      </c>
    </row>
    <row r="4000">
      <c r="G4000">
        <f>G3999+0.0001</f>
        <v/>
      </c>
    </row>
    <row r="4001">
      <c r="G4001">
        <f>G4000+0.0001</f>
        <v/>
      </c>
    </row>
    <row r="4002">
      <c r="G4002">
        <f>G4001+0.0001</f>
        <v/>
      </c>
    </row>
    <row r="4003">
      <c r="G4003">
        <f>G4002+0.0001</f>
        <v/>
      </c>
    </row>
    <row r="4004">
      <c r="G4004">
        <f>G4003+0.0001</f>
        <v/>
      </c>
    </row>
    <row r="4005">
      <c r="G4005">
        <f>G4004+0.0001</f>
        <v/>
      </c>
    </row>
    <row r="4006">
      <c r="G4006">
        <f>G4005+0.0001</f>
        <v/>
      </c>
    </row>
    <row r="4007">
      <c r="G4007">
        <f>G4006+0.0001</f>
        <v/>
      </c>
    </row>
    <row r="4008">
      <c r="G4008">
        <f>G4007+0.0001</f>
        <v/>
      </c>
    </row>
    <row r="4009">
      <c r="G4009">
        <f>G4008+0.0001</f>
        <v/>
      </c>
    </row>
    <row r="4010">
      <c r="G4010">
        <f>G4009+0.0001</f>
        <v/>
      </c>
    </row>
    <row r="4011">
      <c r="G4011">
        <f>G4010+0.0001</f>
        <v/>
      </c>
    </row>
    <row r="4012">
      <c r="G4012">
        <f>G4011+0.0001</f>
        <v/>
      </c>
    </row>
    <row r="4013">
      <c r="G4013">
        <f>G4012+0.0001</f>
        <v/>
      </c>
    </row>
    <row r="4014">
      <c r="G4014">
        <f>G4013+0.0001</f>
        <v/>
      </c>
    </row>
    <row r="4015">
      <c r="G4015">
        <f>G4014+0.0001</f>
        <v/>
      </c>
    </row>
    <row r="4016">
      <c r="G4016">
        <f>G4015+0.0001</f>
        <v/>
      </c>
    </row>
    <row r="4017">
      <c r="G4017">
        <f>G4016+0.0001</f>
        <v/>
      </c>
    </row>
    <row r="4018">
      <c r="G4018">
        <f>G4017+0.0001</f>
        <v/>
      </c>
    </row>
    <row r="4019">
      <c r="G4019">
        <f>G4018+0.0001</f>
        <v/>
      </c>
    </row>
    <row r="4020">
      <c r="G4020">
        <f>G4019+0.0001</f>
        <v/>
      </c>
    </row>
    <row r="4021">
      <c r="G4021">
        <f>G4020+0.0001</f>
        <v/>
      </c>
    </row>
    <row r="4022">
      <c r="G4022">
        <f>G4021+0.0001</f>
        <v/>
      </c>
    </row>
    <row r="4023">
      <c r="G4023">
        <f>G4022+0.0001</f>
        <v/>
      </c>
    </row>
    <row r="4024">
      <c r="G4024">
        <f>G4023+0.0001</f>
        <v/>
      </c>
    </row>
    <row r="4025">
      <c r="G4025">
        <f>G4024+0.0001</f>
        <v/>
      </c>
    </row>
    <row r="4026">
      <c r="G4026">
        <f>G4025+0.0001</f>
        <v/>
      </c>
    </row>
    <row r="4027">
      <c r="G4027">
        <f>G4026+0.0001</f>
        <v/>
      </c>
    </row>
    <row r="4028">
      <c r="G4028">
        <f>G4027+0.0001</f>
        <v/>
      </c>
    </row>
    <row r="4029">
      <c r="G4029">
        <f>G4028+0.0001</f>
        <v/>
      </c>
    </row>
    <row r="4030">
      <c r="G4030">
        <f>G4029+0.0001</f>
        <v/>
      </c>
    </row>
    <row r="4031">
      <c r="G4031">
        <f>G4030+0.0001</f>
        <v/>
      </c>
    </row>
    <row r="4032">
      <c r="G4032">
        <f>G4031+0.0001</f>
        <v/>
      </c>
    </row>
    <row r="4033">
      <c r="G4033">
        <f>G4032+0.0001</f>
        <v/>
      </c>
    </row>
    <row r="4034">
      <c r="G4034">
        <f>G4033+0.0001</f>
        <v/>
      </c>
    </row>
    <row r="4035">
      <c r="G4035">
        <f>G4034+0.0001</f>
        <v/>
      </c>
    </row>
    <row r="4036">
      <c r="G4036">
        <f>G4035+0.0001</f>
        <v/>
      </c>
    </row>
    <row r="4037">
      <c r="G4037">
        <f>G4036+0.0001</f>
        <v/>
      </c>
    </row>
    <row r="4038">
      <c r="G4038">
        <f>G4037+0.0001</f>
        <v/>
      </c>
    </row>
    <row r="4039">
      <c r="G4039">
        <f>G4038+0.0001</f>
        <v/>
      </c>
    </row>
    <row r="4040">
      <c r="G4040">
        <f>G4039+0.0001</f>
        <v/>
      </c>
    </row>
    <row r="4041">
      <c r="G4041">
        <f>G4040+0.0001</f>
        <v/>
      </c>
    </row>
    <row r="4042">
      <c r="G4042">
        <f>G4041+0.0001</f>
        <v/>
      </c>
    </row>
    <row r="4043">
      <c r="G4043">
        <f>G4042+0.0001</f>
        <v/>
      </c>
    </row>
    <row r="4044">
      <c r="G4044">
        <f>G4043+0.0001</f>
        <v/>
      </c>
    </row>
    <row r="4045">
      <c r="G4045">
        <f>G4044+0.0001</f>
        <v/>
      </c>
    </row>
    <row r="4046">
      <c r="G4046">
        <f>G4045+0.0001</f>
        <v/>
      </c>
    </row>
    <row r="4047">
      <c r="G4047">
        <f>G4046+0.0001</f>
        <v/>
      </c>
    </row>
    <row r="4048">
      <c r="G4048">
        <f>G4047+0.0001</f>
        <v/>
      </c>
    </row>
    <row r="4049">
      <c r="G4049">
        <f>G4048+0.0001</f>
        <v/>
      </c>
    </row>
    <row r="4050">
      <c r="G4050">
        <f>G4049+0.0001</f>
        <v/>
      </c>
    </row>
    <row r="4051">
      <c r="G4051">
        <f>G4050+0.0001</f>
        <v/>
      </c>
    </row>
    <row r="4052">
      <c r="G4052">
        <f>G4051+0.0001</f>
        <v/>
      </c>
    </row>
    <row r="4053">
      <c r="G4053">
        <f>G4052+0.0001</f>
        <v/>
      </c>
    </row>
    <row r="4054">
      <c r="G4054">
        <f>G4053+0.0001</f>
        <v/>
      </c>
    </row>
    <row r="4055">
      <c r="G4055">
        <f>G4054+0.0001</f>
        <v/>
      </c>
    </row>
    <row r="4056">
      <c r="G4056">
        <f>G4055+0.0001</f>
        <v/>
      </c>
    </row>
    <row r="4057">
      <c r="G4057">
        <f>G4056+0.0001</f>
        <v/>
      </c>
    </row>
    <row r="4058">
      <c r="G4058">
        <f>G4057+0.0001</f>
        <v/>
      </c>
    </row>
    <row r="4059">
      <c r="G4059">
        <f>G4058+0.0001</f>
        <v/>
      </c>
    </row>
    <row r="4060">
      <c r="G4060">
        <f>G4059+0.0001</f>
        <v/>
      </c>
    </row>
    <row r="4061">
      <c r="G4061">
        <f>G4060+0.0001</f>
        <v/>
      </c>
    </row>
    <row r="4062">
      <c r="G4062">
        <f>G4061+0.0001</f>
        <v/>
      </c>
    </row>
    <row r="4063">
      <c r="G4063">
        <f>G4062+0.0001</f>
        <v/>
      </c>
    </row>
    <row r="4064">
      <c r="G4064">
        <f>G4063+0.0001</f>
        <v/>
      </c>
    </row>
    <row r="4065">
      <c r="G4065">
        <f>G4064+0.0001</f>
        <v/>
      </c>
    </row>
    <row r="4066">
      <c r="G4066">
        <f>G4065+0.0001</f>
        <v/>
      </c>
    </row>
    <row r="4067">
      <c r="G4067">
        <f>G4066+0.0001</f>
        <v/>
      </c>
    </row>
    <row r="4068">
      <c r="G4068">
        <f>G4067+0.0001</f>
        <v/>
      </c>
    </row>
    <row r="4069">
      <c r="G4069">
        <f>G4068+0.0001</f>
        <v/>
      </c>
    </row>
    <row r="4070">
      <c r="G4070">
        <f>G4069+0.0001</f>
        <v/>
      </c>
    </row>
    <row r="4071">
      <c r="G4071">
        <f>G4070+0.0001</f>
        <v/>
      </c>
    </row>
    <row r="4072">
      <c r="G4072">
        <f>G4071+0.0001</f>
        <v/>
      </c>
    </row>
    <row r="4073">
      <c r="G4073">
        <f>G4072+0.0001</f>
        <v/>
      </c>
    </row>
    <row r="4074">
      <c r="G4074">
        <f>G4073+0.0001</f>
        <v/>
      </c>
    </row>
    <row r="4075">
      <c r="G4075">
        <f>G4074+0.0001</f>
        <v/>
      </c>
    </row>
    <row r="4076">
      <c r="G4076">
        <f>G4075+0.0001</f>
        <v/>
      </c>
    </row>
    <row r="4077">
      <c r="G4077">
        <f>G4076+0.0001</f>
        <v/>
      </c>
    </row>
    <row r="4078">
      <c r="G4078">
        <f>G4077+0.0001</f>
        <v/>
      </c>
    </row>
    <row r="4079">
      <c r="G4079">
        <f>G4078+0.0001</f>
        <v/>
      </c>
    </row>
    <row r="4080">
      <c r="G4080">
        <f>G4079+0.0001</f>
        <v/>
      </c>
    </row>
    <row r="4081">
      <c r="G4081">
        <f>G4080+0.0001</f>
        <v/>
      </c>
    </row>
    <row r="4082">
      <c r="G4082">
        <f>G4081+0.0001</f>
        <v/>
      </c>
    </row>
    <row r="4083">
      <c r="G4083">
        <f>G4082+0.0001</f>
        <v/>
      </c>
    </row>
    <row r="4084">
      <c r="G4084">
        <f>G4083+0.0001</f>
        <v/>
      </c>
    </row>
    <row r="4085">
      <c r="G4085">
        <f>G4084+0.0001</f>
        <v/>
      </c>
    </row>
    <row r="4086">
      <c r="G4086">
        <f>G4085+0.0001</f>
        <v/>
      </c>
    </row>
    <row r="4087">
      <c r="G4087">
        <f>G4086+0.0001</f>
        <v/>
      </c>
    </row>
    <row r="4088">
      <c r="G4088">
        <f>G4087+0.0001</f>
        <v/>
      </c>
    </row>
    <row r="4089">
      <c r="G4089">
        <f>G4088+0.0001</f>
        <v/>
      </c>
    </row>
    <row r="4090">
      <c r="G4090">
        <f>G4089+0.0001</f>
        <v/>
      </c>
    </row>
    <row r="4091">
      <c r="G4091">
        <f>G4090+0.0001</f>
        <v/>
      </c>
    </row>
    <row r="4092">
      <c r="G4092">
        <f>G4091+0.0001</f>
        <v/>
      </c>
    </row>
    <row r="4093">
      <c r="G4093">
        <f>G4092+0.0001</f>
        <v/>
      </c>
    </row>
    <row r="4094">
      <c r="G4094">
        <f>G4093+0.0001</f>
        <v/>
      </c>
    </row>
    <row r="4095">
      <c r="G4095">
        <f>G4094+0.0001</f>
        <v/>
      </c>
    </row>
    <row r="4096">
      <c r="G4096">
        <f>G4095+0.0001</f>
        <v/>
      </c>
    </row>
    <row r="4097">
      <c r="G4097">
        <f>G4096+0.0001</f>
        <v/>
      </c>
    </row>
    <row r="4098">
      <c r="G4098">
        <f>G4097+0.0001</f>
        <v/>
      </c>
    </row>
    <row r="4099">
      <c r="G4099">
        <f>G4098+0.0001</f>
        <v/>
      </c>
    </row>
    <row r="4100">
      <c r="G4100">
        <f>G4099+0.0001</f>
        <v/>
      </c>
    </row>
    <row r="4101">
      <c r="G4101">
        <f>G4100+0.0001</f>
        <v/>
      </c>
    </row>
    <row r="4102">
      <c r="G4102">
        <f>G4101+0.0001</f>
        <v/>
      </c>
    </row>
    <row r="4103">
      <c r="G4103">
        <f>G4102+0.0001</f>
        <v/>
      </c>
    </row>
    <row r="4104">
      <c r="G4104">
        <f>G4103+0.0001</f>
        <v/>
      </c>
    </row>
    <row r="4105">
      <c r="G4105">
        <f>G4104+0.0001</f>
        <v/>
      </c>
    </row>
    <row r="4106">
      <c r="G4106">
        <f>G4105+0.0001</f>
        <v/>
      </c>
    </row>
    <row r="4107">
      <c r="G4107">
        <f>G4106+0.0001</f>
        <v/>
      </c>
    </row>
    <row r="4108">
      <c r="G4108">
        <f>G4107+0.0001</f>
        <v/>
      </c>
    </row>
    <row r="4109">
      <c r="G4109">
        <f>G4108+0.0001</f>
        <v/>
      </c>
    </row>
    <row r="4110">
      <c r="G4110">
        <f>G4109+0.0001</f>
        <v/>
      </c>
    </row>
    <row r="4111">
      <c r="G4111">
        <f>G4110+0.0001</f>
        <v/>
      </c>
    </row>
    <row r="4112">
      <c r="G4112">
        <f>G4111+0.0001</f>
        <v/>
      </c>
    </row>
    <row r="4113">
      <c r="G4113">
        <f>G4112+0.0001</f>
        <v/>
      </c>
    </row>
    <row r="4114">
      <c r="G4114">
        <f>G4113+0.0001</f>
        <v/>
      </c>
    </row>
    <row r="4115">
      <c r="G4115">
        <f>G4114+0.0001</f>
        <v/>
      </c>
    </row>
    <row r="4116">
      <c r="G4116">
        <f>G4115+0.0001</f>
        <v/>
      </c>
    </row>
    <row r="4117">
      <c r="G4117">
        <f>G4116+0.0001</f>
        <v/>
      </c>
    </row>
    <row r="4118">
      <c r="G4118">
        <f>G4117+0.0001</f>
        <v/>
      </c>
    </row>
    <row r="4119">
      <c r="G4119">
        <f>G4118+0.0001</f>
        <v/>
      </c>
    </row>
    <row r="4120">
      <c r="G4120">
        <f>G4119+0.0001</f>
        <v/>
      </c>
    </row>
    <row r="4121">
      <c r="G4121">
        <f>G4120+0.0001</f>
        <v/>
      </c>
    </row>
    <row r="4122">
      <c r="G4122">
        <f>G4121+0.0001</f>
        <v/>
      </c>
    </row>
    <row r="4123">
      <c r="G4123">
        <f>G4122+0.0001</f>
        <v/>
      </c>
    </row>
    <row r="4124">
      <c r="G4124">
        <f>G4123+0.0001</f>
        <v/>
      </c>
    </row>
    <row r="4125">
      <c r="G4125">
        <f>G4124+0.0001</f>
        <v/>
      </c>
    </row>
    <row r="4126">
      <c r="G4126">
        <f>G4125+0.0001</f>
        <v/>
      </c>
    </row>
    <row r="4127">
      <c r="G4127">
        <f>G4126+0.0001</f>
        <v/>
      </c>
    </row>
    <row r="4128">
      <c r="G4128">
        <f>G4127+0.0001</f>
        <v/>
      </c>
    </row>
    <row r="4129">
      <c r="G4129">
        <f>G4128+0.0001</f>
        <v/>
      </c>
    </row>
    <row r="4130">
      <c r="G4130">
        <f>G4129+0.0001</f>
        <v/>
      </c>
    </row>
    <row r="4131">
      <c r="G4131">
        <f>G4130+0.0001</f>
        <v/>
      </c>
    </row>
    <row r="4132">
      <c r="G4132">
        <f>G4131+0.0001</f>
        <v/>
      </c>
    </row>
    <row r="4133">
      <c r="G4133">
        <f>G4132+0.0001</f>
        <v/>
      </c>
    </row>
    <row r="4134">
      <c r="G4134">
        <f>G4133+0.0001</f>
        <v/>
      </c>
    </row>
    <row r="4135">
      <c r="G4135">
        <f>G4134+0.0001</f>
        <v/>
      </c>
    </row>
    <row r="4136">
      <c r="G4136">
        <f>G4135+0.0001</f>
        <v/>
      </c>
    </row>
    <row r="4137">
      <c r="G4137">
        <f>G4136+0.0001</f>
        <v/>
      </c>
    </row>
    <row r="4138">
      <c r="G4138">
        <f>G4137+0.0001</f>
        <v/>
      </c>
    </row>
    <row r="4139">
      <c r="G4139">
        <f>G4138+0.0001</f>
        <v/>
      </c>
    </row>
    <row r="4140">
      <c r="G4140">
        <f>G4139+0.0001</f>
        <v/>
      </c>
    </row>
    <row r="4141">
      <c r="G4141">
        <f>G4140+0.0001</f>
        <v/>
      </c>
    </row>
    <row r="4142">
      <c r="G4142">
        <f>G4141+0.0001</f>
        <v/>
      </c>
    </row>
    <row r="4143">
      <c r="G4143">
        <f>G4142+0.0001</f>
        <v/>
      </c>
    </row>
    <row r="4144">
      <c r="G4144">
        <f>G4143+0.0001</f>
        <v/>
      </c>
    </row>
    <row r="4145">
      <c r="G4145">
        <f>G4144+0.0001</f>
        <v/>
      </c>
    </row>
    <row r="4146">
      <c r="G4146">
        <f>G4145+0.0001</f>
        <v/>
      </c>
    </row>
    <row r="4147">
      <c r="G4147">
        <f>G4146+0.0001</f>
        <v/>
      </c>
    </row>
    <row r="4148">
      <c r="G4148">
        <f>G4147+0.0001</f>
        <v/>
      </c>
    </row>
    <row r="4149">
      <c r="G4149">
        <f>G4148+0.0001</f>
        <v/>
      </c>
    </row>
    <row r="4150">
      <c r="G4150">
        <f>G4149+0.0001</f>
        <v/>
      </c>
    </row>
    <row r="4151">
      <c r="G4151">
        <f>G4150+0.0001</f>
        <v/>
      </c>
    </row>
    <row r="4152">
      <c r="G4152">
        <f>G4151+0.0001</f>
        <v/>
      </c>
    </row>
    <row r="4153">
      <c r="G4153">
        <f>G4152+0.0001</f>
        <v/>
      </c>
    </row>
    <row r="4154">
      <c r="G4154">
        <f>G4153+0.0001</f>
        <v/>
      </c>
    </row>
    <row r="4155">
      <c r="G4155">
        <f>G4154+0.0001</f>
        <v/>
      </c>
    </row>
    <row r="4156">
      <c r="G4156">
        <f>G4155+0.0001</f>
        <v/>
      </c>
    </row>
    <row r="4157">
      <c r="G4157">
        <f>G4156+0.0001</f>
        <v/>
      </c>
    </row>
    <row r="4158">
      <c r="G4158">
        <f>G4157+0.0001</f>
        <v/>
      </c>
    </row>
    <row r="4159">
      <c r="G4159">
        <f>G4158+0.0001</f>
        <v/>
      </c>
    </row>
    <row r="4160">
      <c r="G4160">
        <f>G4159+0.0001</f>
        <v/>
      </c>
    </row>
    <row r="4161">
      <c r="G4161">
        <f>G4160+0.0001</f>
        <v/>
      </c>
    </row>
    <row r="4162">
      <c r="G4162">
        <f>G4161+0.0001</f>
        <v/>
      </c>
    </row>
    <row r="4163">
      <c r="G4163">
        <f>G4162+0.0001</f>
        <v/>
      </c>
    </row>
    <row r="4164">
      <c r="G4164">
        <f>G4163+0.0001</f>
        <v/>
      </c>
    </row>
    <row r="4165">
      <c r="G4165">
        <f>G4164+0.0001</f>
        <v/>
      </c>
    </row>
    <row r="4166">
      <c r="G4166">
        <f>G4165+0.0001</f>
        <v/>
      </c>
    </row>
    <row r="4167">
      <c r="G4167">
        <f>G4166+0.0001</f>
        <v/>
      </c>
    </row>
    <row r="4168">
      <c r="G4168">
        <f>G4167+0.0001</f>
        <v/>
      </c>
    </row>
    <row r="4169">
      <c r="G4169">
        <f>G4168+0.0001</f>
        <v/>
      </c>
    </row>
    <row r="4170">
      <c r="G4170">
        <f>G4169+0.0001</f>
        <v/>
      </c>
    </row>
    <row r="4171">
      <c r="G4171">
        <f>G4170+0.0001</f>
        <v/>
      </c>
    </row>
    <row r="4172">
      <c r="G4172">
        <f>G4171+0.0001</f>
        <v/>
      </c>
    </row>
    <row r="4173">
      <c r="G4173">
        <f>G4172+0.0001</f>
        <v/>
      </c>
    </row>
    <row r="4174">
      <c r="G4174">
        <f>G4173+0.0001</f>
        <v/>
      </c>
    </row>
    <row r="4175">
      <c r="G4175">
        <f>G4174+0.0001</f>
        <v/>
      </c>
    </row>
    <row r="4176">
      <c r="G4176">
        <f>G4175+0.0001</f>
        <v/>
      </c>
    </row>
    <row r="4177">
      <c r="G4177">
        <f>G4176+0.0001</f>
        <v/>
      </c>
    </row>
    <row r="4178">
      <c r="G4178">
        <f>G4177+0.0001</f>
        <v/>
      </c>
    </row>
    <row r="4179">
      <c r="G4179">
        <f>G4178+0.0001</f>
        <v/>
      </c>
    </row>
    <row r="4180">
      <c r="G4180">
        <f>G4179+0.0001</f>
        <v/>
      </c>
    </row>
    <row r="4181">
      <c r="G4181">
        <f>G4180+0.0001</f>
        <v/>
      </c>
    </row>
    <row r="4182">
      <c r="G4182">
        <f>G4181+0.0001</f>
        <v/>
      </c>
    </row>
    <row r="4183">
      <c r="G4183">
        <f>G4182+0.0001</f>
        <v/>
      </c>
    </row>
    <row r="4184">
      <c r="G4184">
        <f>G4183+0.0001</f>
        <v/>
      </c>
    </row>
    <row r="4185">
      <c r="G4185">
        <f>G4184+0.0001</f>
        <v/>
      </c>
    </row>
    <row r="4186">
      <c r="G4186">
        <f>G4185+0.0001</f>
        <v/>
      </c>
    </row>
    <row r="4187">
      <c r="G4187">
        <f>G4186+0.0001</f>
        <v/>
      </c>
    </row>
    <row r="4188">
      <c r="G4188">
        <f>G4187+0.0001</f>
        <v/>
      </c>
    </row>
    <row r="4189">
      <c r="G4189">
        <f>G4188+0.0001</f>
        <v/>
      </c>
    </row>
    <row r="4190">
      <c r="G4190">
        <f>G4189+0.0001</f>
        <v/>
      </c>
    </row>
    <row r="4191">
      <c r="G4191">
        <f>G4190+0.0001</f>
        <v/>
      </c>
    </row>
    <row r="4192">
      <c r="G4192">
        <f>G4191+0.0001</f>
        <v/>
      </c>
    </row>
    <row r="4193">
      <c r="G4193">
        <f>G4192+0.0001</f>
        <v/>
      </c>
    </row>
    <row r="4194">
      <c r="G4194">
        <f>G4193+0.0001</f>
        <v/>
      </c>
    </row>
    <row r="4195">
      <c r="G4195">
        <f>G4194+0.0001</f>
        <v/>
      </c>
    </row>
    <row r="4196">
      <c r="G4196">
        <f>G4195+0.0001</f>
        <v/>
      </c>
    </row>
    <row r="4197">
      <c r="G4197">
        <f>G4196+0.0001</f>
        <v/>
      </c>
    </row>
    <row r="4198">
      <c r="G4198">
        <f>G4197+0.0001</f>
        <v/>
      </c>
    </row>
    <row r="4199">
      <c r="G4199">
        <f>G4198+0.0001</f>
        <v/>
      </c>
    </row>
    <row r="4200">
      <c r="G4200">
        <f>G4199+0.0001</f>
        <v/>
      </c>
    </row>
    <row r="4201">
      <c r="G4201">
        <f>G4200+0.0001</f>
        <v/>
      </c>
    </row>
    <row r="4202">
      <c r="G4202">
        <f>G4201+0.0001</f>
        <v/>
      </c>
    </row>
    <row r="4203">
      <c r="G4203">
        <f>G4202+0.0001</f>
        <v/>
      </c>
    </row>
    <row r="4204">
      <c r="G4204">
        <f>G4203+0.0001</f>
        <v/>
      </c>
    </row>
    <row r="4205">
      <c r="G4205">
        <f>G4204+0.0001</f>
        <v/>
      </c>
    </row>
    <row r="4206">
      <c r="G4206">
        <f>G4205+0.0001</f>
        <v/>
      </c>
    </row>
    <row r="4207">
      <c r="G4207">
        <f>G4206+0.0001</f>
        <v/>
      </c>
    </row>
    <row r="4208">
      <c r="G4208">
        <f>G4207+0.0001</f>
        <v/>
      </c>
    </row>
    <row r="4209">
      <c r="G4209">
        <f>G4208+0.0001</f>
        <v/>
      </c>
    </row>
    <row r="4210">
      <c r="G4210">
        <f>G4209+0.0001</f>
        <v/>
      </c>
    </row>
    <row r="4211">
      <c r="G4211">
        <f>G4210+0.0001</f>
        <v/>
      </c>
    </row>
    <row r="4212">
      <c r="G4212">
        <f>G4211+0.0001</f>
        <v/>
      </c>
    </row>
    <row r="4213">
      <c r="G4213">
        <f>G4212+0.0001</f>
        <v/>
      </c>
    </row>
    <row r="4214">
      <c r="G4214">
        <f>G4213+0.0001</f>
        <v/>
      </c>
    </row>
    <row r="4215">
      <c r="G4215">
        <f>G4214+0.0001</f>
        <v/>
      </c>
    </row>
    <row r="4216">
      <c r="G4216">
        <f>G4215+0.0001</f>
        <v/>
      </c>
    </row>
    <row r="4217">
      <c r="G4217">
        <f>G4216+0.0001</f>
        <v/>
      </c>
    </row>
    <row r="4218">
      <c r="G4218">
        <f>G4217+0.0001</f>
        <v/>
      </c>
    </row>
    <row r="4219">
      <c r="G4219">
        <f>G4218+0.0001</f>
        <v/>
      </c>
    </row>
    <row r="4220">
      <c r="G4220">
        <f>G4219+0.0001</f>
        <v/>
      </c>
    </row>
    <row r="4221">
      <c r="G4221">
        <f>G4220+0.0001</f>
        <v/>
      </c>
    </row>
    <row r="4222">
      <c r="G4222">
        <f>G4221+0.0001</f>
        <v/>
      </c>
    </row>
    <row r="4223">
      <c r="G4223">
        <f>G4222+0.0001</f>
        <v/>
      </c>
    </row>
    <row r="4224">
      <c r="G4224">
        <f>G4223+0.0001</f>
        <v/>
      </c>
    </row>
    <row r="4225">
      <c r="G4225">
        <f>G4224+0.0001</f>
        <v/>
      </c>
    </row>
    <row r="4226">
      <c r="G4226">
        <f>G4225+0.0001</f>
        <v/>
      </c>
    </row>
    <row r="4227">
      <c r="G4227">
        <f>G4226+0.0001</f>
        <v/>
      </c>
    </row>
    <row r="4228">
      <c r="G4228">
        <f>G4227+0.0001</f>
        <v/>
      </c>
    </row>
    <row r="4229">
      <c r="G4229">
        <f>G4228+0.0001</f>
        <v/>
      </c>
    </row>
    <row r="4230">
      <c r="G4230">
        <f>G4229+0.0001</f>
        <v/>
      </c>
    </row>
    <row r="4231">
      <c r="G4231">
        <f>G4230+0.0001</f>
        <v/>
      </c>
    </row>
    <row r="4232">
      <c r="G4232">
        <f>G4231+0.0001</f>
        <v/>
      </c>
    </row>
    <row r="4233">
      <c r="G4233">
        <f>G4232+0.0001</f>
        <v/>
      </c>
    </row>
    <row r="4234">
      <c r="G4234">
        <f>G4233+0.0001</f>
        <v/>
      </c>
    </row>
    <row r="4235">
      <c r="G4235">
        <f>G4234+0.0001</f>
        <v/>
      </c>
    </row>
    <row r="4236">
      <c r="G4236">
        <f>G4235+0.0001</f>
        <v/>
      </c>
    </row>
    <row r="4237">
      <c r="G4237">
        <f>G4236+0.0001</f>
        <v/>
      </c>
    </row>
    <row r="4238">
      <c r="G4238">
        <f>G4237+0.0001</f>
        <v/>
      </c>
    </row>
    <row r="4239">
      <c r="G4239">
        <f>G4238+0.0001</f>
        <v/>
      </c>
    </row>
    <row r="4240">
      <c r="G4240">
        <f>G4239+0.0001</f>
        <v/>
      </c>
    </row>
    <row r="4241">
      <c r="G4241">
        <f>G4240+0.0001</f>
        <v/>
      </c>
    </row>
    <row r="4242">
      <c r="G4242">
        <f>G4241+0.0001</f>
        <v/>
      </c>
    </row>
    <row r="4243">
      <c r="G4243">
        <f>G4242+0.0001</f>
        <v/>
      </c>
    </row>
    <row r="4244">
      <c r="G4244">
        <f>G4243+0.0001</f>
        <v/>
      </c>
    </row>
    <row r="4245">
      <c r="G4245">
        <f>G4244+0.0001</f>
        <v/>
      </c>
    </row>
    <row r="4246">
      <c r="G4246">
        <f>G4245+0.0001</f>
        <v/>
      </c>
    </row>
    <row r="4247">
      <c r="G4247">
        <f>G4246+0.0001</f>
        <v/>
      </c>
    </row>
    <row r="4248">
      <c r="G4248">
        <f>G4247+0.0001</f>
        <v/>
      </c>
    </row>
    <row r="4249">
      <c r="G4249">
        <f>G4248+0.0001</f>
        <v/>
      </c>
    </row>
    <row r="4250">
      <c r="G4250">
        <f>G4249+0.0001</f>
        <v/>
      </c>
    </row>
    <row r="4251">
      <c r="G4251">
        <f>G4250+0.0001</f>
        <v/>
      </c>
    </row>
    <row r="4252">
      <c r="G4252">
        <f>G4251+0.0001</f>
        <v/>
      </c>
    </row>
    <row r="4253">
      <c r="G4253">
        <f>G4252+0.0001</f>
        <v/>
      </c>
    </row>
    <row r="4254">
      <c r="G4254">
        <f>G4253+0.0001</f>
        <v/>
      </c>
    </row>
    <row r="4255">
      <c r="G4255">
        <f>G4254+0.0001</f>
        <v/>
      </c>
    </row>
    <row r="4256">
      <c r="G4256">
        <f>G4255+0.0001</f>
        <v/>
      </c>
    </row>
    <row r="4257">
      <c r="G4257">
        <f>G4256+0.0001</f>
        <v/>
      </c>
    </row>
    <row r="4258">
      <c r="G4258">
        <f>G4257+0.0001</f>
        <v/>
      </c>
    </row>
    <row r="4259">
      <c r="G4259">
        <f>G4258+0.0001</f>
        <v/>
      </c>
    </row>
    <row r="4260">
      <c r="G4260">
        <f>G4259+0.0001</f>
        <v/>
      </c>
    </row>
    <row r="4261">
      <c r="G4261">
        <f>G4260+0.0001</f>
        <v/>
      </c>
    </row>
    <row r="4262">
      <c r="G4262">
        <f>G4261+0.0001</f>
        <v/>
      </c>
    </row>
    <row r="4263">
      <c r="G4263">
        <f>G4262+0.0001</f>
        <v/>
      </c>
    </row>
    <row r="4264">
      <c r="G4264">
        <f>G4263+0.0001</f>
        <v/>
      </c>
    </row>
    <row r="4265">
      <c r="G4265">
        <f>G4264+0.0001</f>
        <v/>
      </c>
    </row>
    <row r="4266">
      <c r="G4266">
        <f>G4265+0.0001</f>
        <v/>
      </c>
    </row>
    <row r="4267">
      <c r="G4267">
        <f>G4266+0.0001</f>
        <v/>
      </c>
    </row>
    <row r="4268">
      <c r="G4268">
        <f>G4267+0.0001</f>
        <v/>
      </c>
    </row>
    <row r="4269">
      <c r="G4269">
        <f>G4268+0.0001</f>
        <v/>
      </c>
    </row>
    <row r="4270">
      <c r="G4270">
        <f>G4269+0.0001</f>
        <v/>
      </c>
    </row>
    <row r="4271">
      <c r="G4271">
        <f>G4270+0.0001</f>
        <v/>
      </c>
    </row>
    <row r="4272">
      <c r="G4272">
        <f>G4271+0.0001</f>
        <v/>
      </c>
    </row>
    <row r="4273">
      <c r="G4273">
        <f>G4272+0.0001</f>
        <v/>
      </c>
    </row>
    <row r="4274">
      <c r="G4274">
        <f>G4273+0.0001</f>
        <v/>
      </c>
    </row>
    <row r="4275">
      <c r="G4275">
        <f>G4274+0.0001</f>
        <v/>
      </c>
    </row>
    <row r="4276">
      <c r="G4276">
        <f>G4275+0.0001</f>
        <v/>
      </c>
    </row>
    <row r="4277">
      <c r="G4277">
        <f>G4276+0.0001</f>
        <v/>
      </c>
    </row>
    <row r="4278">
      <c r="G4278">
        <f>G4277+0.0001</f>
        <v/>
      </c>
    </row>
    <row r="4279">
      <c r="G4279">
        <f>G4278+0.0001</f>
        <v/>
      </c>
    </row>
    <row r="4280">
      <c r="G4280">
        <f>G4279+0.0001</f>
        <v/>
      </c>
    </row>
    <row r="4281">
      <c r="G4281">
        <f>G4280+0.0001</f>
        <v/>
      </c>
    </row>
    <row r="4282">
      <c r="G4282">
        <f>G4281+0.0001</f>
        <v/>
      </c>
    </row>
    <row r="4283">
      <c r="G4283">
        <f>G4282+0.0001</f>
        <v/>
      </c>
    </row>
    <row r="4284">
      <c r="G4284">
        <f>G4283+0.0001</f>
        <v/>
      </c>
    </row>
    <row r="4285">
      <c r="G4285">
        <f>G4284+0.0001</f>
        <v/>
      </c>
    </row>
    <row r="4286">
      <c r="G4286">
        <f>G4285+0.0001</f>
        <v/>
      </c>
    </row>
    <row r="4287">
      <c r="G4287">
        <f>G4286+0.0001</f>
        <v/>
      </c>
    </row>
    <row r="4288">
      <c r="G4288">
        <f>G4287+0.0001</f>
        <v/>
      </c>
    </row>
    <row r="4289">
      <c r="G4289">
        <f>G4288+0.0001</f>
        <v/>
      </c>
    </row>
    <row r="4290">
      <c r="G4290">
        <f>G4289+0.0001</f>
        <v/>
      </c>
    </row>
    <row r="4291">
      <c r="G4291">
        <f>G4290+0.0001</f>
        <v/>
      </c>
    </row>
    <row r="4292">
      <c r="G4292">
        <f>G4291+0.0001</f>
        <v/>
      </c>
    </row>
    <row r="4293">
      <c r="G4293">
        <f>G4292+0.0001</f>
        <v/>
      </c>
    </row>
    <row r="4294">
      <c r="G4294">
        <f>G4293+0.0001</f>
        <v/>
      </c>
    </row>
    <row r="4295">
      <c r="G4295">
        <f>G4294+0.0001</f>
        <v/>
      </c>
    </row>
    <row r="4296">
      <c r="G4296">
        <f>G4295+0.0001</f>
        <v/>
      </c>
    </row>
    <row r="4297">
      <c r="G4297">
        <f>G4296+0.0001</f>
        <v/>
      </c>
    </row>
    <row r="4298">
      <c r="G4298">
        <f>G4297+0.0001</f>
        <v/>
      </c>
    </row>
    <row r="4299">
      <c r="G4299">
        <f>G4298+0.0001</f>
        <v/>
      </c>
    </row>
    <row r="4300">
      <c r="G4300">
        <f>G4299+0.0001</f>
        <v/>
      </c>
    </row>
    <row r="4301">
      <c r="G4301">
        <f>G4300+0.0001</f>
        <v/>
      </c>
    </row>
    <row r="4302">
      <c r="G4302">
        <f>G4301+0.0001</f>
        <v/>
      </c>
    </row>
    <row r="4303">
      <c r="G4303">
        <f>G4302+0.0001</f>
        <v/>
      </c>
    </row>
    <row r="4304">
      <c r="G4304">
        <f>G4303+0.0001</f>
        <v/>
      </c>
    </row>
    <row r="4305">
      <c r="G4305">
        <f>G4304+0.0001</f>
        <v/>
      </c>
    </row>
    <row r="4306">
      <c r="G4306">
        <f>G4305+0.0001</f>
        <v/>
      </c>
    </row>
    <row r="4307">
      <c r="G4307">
        <f>G4306+0.0001</f>
        <v/>
      </c>
    </row>
    <row r="4308">
      <c r="G4308">
        <f>G4307+0.0001</f>
        <v/>
      </c>
    </row>
    <row r="4309">
      <c r="G4309">
        <f>G4308+0.0001</f>
        <v/>
      </c>
    </row>
    <row r="4310">
      <c r="G4310">
        <f>G4309+0.0001</f>
        <v/>
      </c>
    </row>
    <row r="4311">
      <c r="G4311">
        <f>G4310+0.0001</f>
        <v/>
      </c>
    </row>
    <row r="4312">
      <c r="G4312">
        <f>G4311+0.0001</f>
        <v/>
      </c>
    </row>
    <row r="4313">
      <c r="G4313">
        <f>G4312+0.0001</f>
        <v/>
      </c>
    </row>
    <row r="4314">
      <c r="G4314">
        <f>G4313+0.0001</f>
        <v/>
      </c>
    </row>
    <row r="4315">
      <c r="G4315">
        <f>G4314+0.0001</f>
        <v/>
      </c>
    </row>
    <row r="4316">
      <c r="G4316">
        <f>G4315+0.0001</f>
        <v/>
      </c>
    </row>
    <row r="4317">
      <c r="G4317">
        <f>G4316+0.0001</f>
        <v/>
      </c>
    </row>
    <row r="4318">
      <c r="G4318">
        <f>G4317+0.0001</f>
        <v/>
      </c>
    </row>
    <row r="4319">
      <c r="G4319">
        <f>G4318+0.0001</f>
        <v/>
      </c>
    </row>
    <row r="4320">
      <c r="G4320">
        <f>G4319+0.0001</f>
        <v/>
      </c>
    </row>
    <row r="4321">
      <c r="G4321">
        <f>G4320+0.0001</f>
        <v/>
      </c>
    </row>
    <row r="4322">
      <c r="G4322">
        <f>G4321+0.0001</f>
        <v/>
      </c>
    </row>
    <row r="4323">
      <c r="G4323">
        <f>G4322+0.0001</f>
        <v/>
      </c>
    </row>
    <row r="4324">
      <c r="G4324">
        <f>G4323+0.0001</f>
        <v/>
      </c>
    </row>
    <row r="4325">
      <c r="G4325">
        <f>G4324+0.0001</f>
        <v/>
      </c>
    </row>
    <row r="4326">
      <c r="G4326">
        <f>G4325+0.0001</f>
        <v/>
      </c>
    </row>
    <row r="4327">
      <c r="G4327">
        <f>G4326+0.0001</f>
        <v/>
      </c>
    </row>
    <row r="4328">
      <c r="G4328">
        <f>G4327+0.0001</f>
        <v/>
      </c>
    </row>
    <row r="4329">
      <c r="G4329">
        <f>G4328+0.0001</f>
        <v/>
      </c>
    </row>
    <row r="4330">
      <c r="G4330">
        <f>G4329+0.0001</f>
        <v/>
      </c>
    </row>
    <row r="4331">
      <c r="G4331">
        <f>G4330+0.0001</f>
        <v/>
      </c>
    </row>
    <row r="4332">
      <c r="G4332">
        <f>G4331+0.0001</f>
        <v/>
      </c>
    </row>
    <row r="4333">
      <c r="G4333">
        <f>G4332+0.0001</f>
        <v/>
      </c>
    </row>
    <row r="4334">
      <c r="G4334">
        <f>G4333+0.0001</f>
        <v/>
      </c>
    </row>
    <row r="4335">
      <c r="G4335">
        <f>G4334+0.0001</f>
        <v/>
      </c>
    </row>
    <row r="4336">
      <c r="G4336">
        <f>G4335+0.0001</f>
        <v/>
      </c>
    </row>
    <row r="4337">
      <c r="G4337">
        <f>G4336+0.0001</f>
        <v/>
      </c>
    </row>
    <row r="4338">
      <c r="G4338">
        <f>G4337+0.0001</f>
        <v/>
      </c>
    </row>
    <row r="4339">
      <c r="G4339">
        <f>G4338+0.0001</f>
        <v/>
      </c>
    </row>
    <row r="4340">
      <c r="G4340">
        <f>G4339+0.0001</f>
        <v/>
      </c>
    </row>
    <row r="4341">
      <c r="G4341">
        <f>G4340+0.0001</f>
        <v/>
      </c>
    </row>
    <row r="4342">
      <c r="G4342">
        <f>G4341+0.0001</f>
        <v/>
      </c>
    </row>
    <row r="4343">
      <c r="G4343">
        <f>G4342+0.0001</f>
        <v/>
      </c>
    </row>
    <row r="4344">
      <c r="G4344">
        <f>G4343+0.0001</f>
        <v/>
      </c>
    </row>
    <row r="4345">
      <c r="G4345">
        <f>G4344+0.0001</f>
        <v/>
      </c>
    </row>
    <row r="4346">
      <c r="G4346">
        <f>G4345+0.0001</f>
        <v/>
      </c>
    </row>
    <row r="4347">
      <c r="G4347">
        <f>G4346+0.0001</f>
        <v/>
      </c>
    </row>
    <row r="4348">
      <c r="G4348">
        <f>G4347+0.0001</f>
        <v/>
      </c>
    </row>
    <row r="4349">
      <c r="G4349">
        <f>G4348+0.0001</f>
        <v/>
      </c>
    </row>
    <row r="4350">
      <c r="G4350">
        <f>G4349+0.0001</f>
        <v/>
      </c>
    </row>
    <row r="4351">
      <c r="G4351">
        <f>G4350+0.0001</f>
        <v/>
      </c>
    </row>
    <row r="4352">
      <c r="G4352">
        <f>G4351+0.0001</f>
        <v/>
      </c>
    </row>
    <row r="4353">
      <c r="G4353">
        <f>G4352+0.0001</f>
        <v/>
      </c>
    </row>
    <row r="4354">
      <c r="G4354">
        <f>G4353+0.0001</f>
        <v/>
      </c>
    </row>
    <row r="4355">
      <c r="G4355">
        <f>G4354+0.0001</f>
        <v/>
      </c>
    </row>
    <row r="4356">
      <c r="G4356">
        <f>G4355+0.0001</f>
        <v/>
      </c>
    </row>
    <row r="4357">
      <c r="G4357">
        <f>G4356+0.0001</f>
        <v/>
      </c>
    </row>
    <row r="4358">
      <c r="G4358">
        <f>G4357+0.0001</f>
        <v/>
      </c>
    </row>
    <row r="4359">
      <c r="G4359">
        <f>G4358+0.0001</f>
        <v/>
      </c>
    </row>
    <row r="4360">
      <c r="G4360">
        <f>G4359+0.0001</f>
        <v/>
      </c>
    </row>
    <row r="4361">
      <c r="G4361">
        <f>G4360+0.0001</f>
        <v/>
      </c>
    </row>
    <row r="4362">
      <c r="G4362">
        <f>G4361+0.0001</f>
        <v/>
      </c>
    </row>
    <row r="4363">
      <c r="G4363">
        <f>G4362+0.0001</f>
        <v/>
      </c>
    </row>
    <row r="4364">
      <c r="G4364">
        <f>G4363+0.0001</f>
        <v/>
      </c>
    </row>
    <row r="4365">
      <c r="G4365">
        <f>G4364+0.0001</f>
        <v/>
      </c>
    </row>
    <row r="4366">
      <c r="G4366">
        <f>G4365+0.0001</f>
        <v/>
      </c>
    </row>
    <row r="4367">
      <c r="G4367">
        <f>G4366+0.0001</f>
        <v/>
      </c>
    </row>
    <row r="4368">
      <c r="G4368">
        <f>G4367+0.0001</f>
        <v/>
      </c>
    </row>
    <row r="4369">
      <c r="G4369">
        <f>G4368+0.0001</f>
        <v/>
      </c>
    </row>
    <row r="4370">
      <c r="G4370">
        <f>G4369+0.0001</f>
        <v/>
      </c>
    </row>
    <row r="4371">
      <c r="G4371">
        <f>G4370+0.0001</f>
        <v/>
      </c>
    </row>
    <row r="4372">
      <c r="G4372">
        <f>G4371+0.0001</f>
        <v/>
      </c>
    </row>
    <row r="4373">
      <c r="G4373">
        <f>G4372+0.0001</f>
        <v/>
      </c>
    </row>
    <row r="4374">
      <c r="G4374">
        <f>G4373+0.0001</f>
        <v/>
      </c>
    </row>
    <row r="4375">
      <c r="G4375">
        <f>G4374+0.0001</f>
        <v/>
      </c>
    </row>
    <row r="4376">
      <c r="G4376">
        <f>G4375+0.0001</f>
        <v/>
      </c>
    </row>
    <row r="4377">
      <c r="G4377">
        <f>G4376+0.0001</f>
        <v/>
      </c>
    </row>
    <row r="4378">
      <c r="G4378">
        <f>G4377+0.0001</f>
        <v/>
      </c>
    </row>
    <row r="4379">
      <c r="G4379">
        <f>G4378+0.0001</f>
        <v/>
      </c>
    </row>
    <row r="4380">
      <c r="G4380">
        <f>G4379+0.0001</f>
        <v/>
      </c>
    </row>
    <row r="4381">
      <c r="G4381">
        <f>G4380+0.0001</f>
        <v/>
      </c>
    </row>
    <row r="4382">
      <c r="G4382">
        <f>G4381+0.0001</f>
        <v/>
      </c>
    </row>
    <row r="4383">
      <c r="G4383">
        <f>G4382+0.0001</f>
        <v/>
      </c>
    </row>
    <row r="4384">
      <c r="G4384">
        <f>G4383+0.0001</f>
        <v/>
      </c>
    </row>
    <row r="4385">
      <c r="G4385">
        <f>G4384+0.0001</f>
        <v/>
      </c>
    </row>
    <row r="4386">
      <c r="G4386">
        <f>G4385+0.0001</f>
        <v/>
      </c>
    </row>
    <row r="4387">
      <c r="G4387">
        <f>G4386+0.0001</f>
        <v/>
      </c>
    </row>
    <row r="4388">
      <c r="G4388">
        <f>G4387+0.0001</f>
        <v/>
      </c>
    </row>
    <row r="4389">
      <c r="G4389">
        <f>G4388+0.0001</f>
        <v/>
      </c>
    </row>
    <row r="4390">
      <c r="G4390">
        <f>G4389+0.0001</f>
        <v/>
      </c>
    </row>
    <row r="4391">
      <c r="G4391">
        <f>G4390+0.0001</f>
        <v/>
      </c>
    </row>
    <row r="4392">
      <c r="G4392">
        <f>G4391+0.0001</f>
        <v/>
      </c>
    </row>
    <row r="4393">
      <c r="G4393">
        <f>G4392+0.0001</f>
        <v/>
      </c>
    </row>
    <row r="4394">
      <c r="G4394">
        <f>G4393+0.0001</f>
        <v/>
      </c>
    </row>
    <row r="4395">
      <c r="G4395">
        <f>G4394+0.0001</f>
        <v/>
      </c>
    </row>
    <row r="4396">
      <c r="G4396">
        <f>G4395+0.0001</f>
        <v/>
      </c>
    </row>
    <row r="4397">
      <c r="G4397">
        <f>G4396+0.0001</f>
        <v/>
      </c>
    </row>
    <row r="4398">
      <c r="G4398">
        <f>G4397+0.0001</f>
        <v/>
      </c>
    </row>
    <row r="4399">
      <c r="G4399">
        <f>G4398+0.0001</f>
        <v/>
      </c>
    </row>
    <row r="4400">
      <c r="G4400">
        <f>G4399+0.0001</f>
        <v/>
      </c>
    </row>
    <row r="4401">
      <c r="G4401">
        <f>G4400+0.0001</f>
        <v/>
      </c>
    </row>
    <row r="4402">
      <c r="G4402">
        <f>G4401+0.0001</f>
        <v/>
      </c>
    </row>
    <row r="4403">
      <c r="G4403">
        <f>G4402+0.0001</f>
        <v/>
      </c>
    </row>
    <row r="4404">
      <c r="G4404">
        <f>G4403+0.0001</f>
        <v/>
      </c>
    </row>
    <row r="4405">
      <c r="G4405">
        <f>G4404+0.0001</f>
        <v/>
      </c>
    </row>
    <row r="4406">
      <c r="G4406">
        <f>G4405+0.0001</f>
        <v/>
      </c>
    </row>
    <row r="4407">
      <c r="G4407">
        <f>G4406+0.0001</f>
        <v/>
      </c>
    </row>
    <row r="4408">
      <c r="G4408">
        <f>G4407+0.0001</f>
        <v/>
      </c>
    </row>
    <row r="4409">
      <c r="G4409">
        <f>G4408+0.0001</f>
        <v/>
      </c>
    </row>
    <row r="4410">
      <c r="G4410">
        <f>G4409+0.0001</f>
        <v/>
      </c>
    </row>
    <row r="4411">
      <c r="G4411">
        <f>G4410+0.0001</f>
        <v/>
      </c>
    </row>
    <row r="4412">
      <c r="G4412">
        <f>G4411+0.0001</f>
        <v/>
      </c>
    </row>
    <row r="4413">
      <c r="G4413">
        <f>G4412+0.0001</f>
        <v/>
      </c>
    </row>
    <row r="4414">
      <c r="G4414">
        <f>G4413+0.0001</f>
        <v/>
      </c>
    </row>
    <row r="4415">
      <c r="G4415">
        <f>G4414+0.0001</f>
        <v/>
      </c>
    </row>
    <row r="4416">
      <c r="G4416">
        <f>G4415+0.0001</f>
        <v/>
      </c>
    </row>
    <row r="4417">
      <c r="G4417">
        <f>G4416+0.0001</f>
        <v/>
      </c>
    </row>
    <row r="4418">
      <c r="G4418">
        <f>G4417+0.0001</f>
        <v/>
      </c>
    </row>
    <row r="4419">
      <c r="G4419">
        <f>G4418+0.0001</f>
        <v/>
      </c>
    </row>
    <row r="4420">
      <c r="G4420">
        <f>G4419+0.0001</f>
        <v/>
      </c>
    </row>
    <row r="4421">
      <c r="G4421">
        <f>G4420+0.0001</f>
        <v/>
      </c>
    </row>
    <row r="4422">
      <c r="G4422">
        <f>G4421+0.0001</f>
        <v/>
      </c>
    </row>
    <row r="4423">
      <c r="G4423">
        <f>G4422+0.0001</f>
        <v/>
      </c>
    </row>
    <row r="4424">
      <c r="G4424">
        <f>G4423+0.0001</f>
        <v/>
      </c>
    </row>
    <row r="4425">
      <c r="G4425">
        <f>G4424+0.0001</f>
        <v/>
      </c>
    </row>
    <row r="4426">
      <c r="G4426">
        <f>G4425+0.0001</f>
        <v/>
      </c>
    </row>
    <row r="4427">
      <c r="G4427">
        <f>G4426+0.0001</f>
        <v/>
      </c>
    </row>
    <row r="4428">
      <c r="G4428">
        <f>G4427+0.0001</f>
        <v/>
      </c>
    </row>
    <row r="4429">
      <c r="G4429">
        <f>G4428+0.0001</f>
        <v/>
      </c>
    </row>
    <row r="4430">
      <c r="G4430">
        <f>G4429+0.0001</f>
        <v/>
      </c>
    </row>
    <row r="4431">
      <c r="G4431">
        <f>G4430+0.0001</f>
        <v/>
      </c>
    </row>
    <row r="4432">
      <c r="G4432">
        <f>G4431+0.0001</f>
        <v/>
      </c>
    </row>
    <row r="4433">
      <c r="G4433">
        <f>G4432+0.0001</f>
        <v/>
      </c>
    </row>
    <row r="4434">
      <c r="G4434">
        <f>G4433+0.0001</f>
        <v/>
      </c>
    </row>
    <row r="4435">
      <c r="G4435">
        <f>G4434+0.0001</f>
        <v/>
      </c>
    </row>
    <row r="4436">
      <c r="G4436">
        <f>G4435+0.0001</f>
        <v/>
      </c>
    </row>
    <row r="4437">
      <c r="G4437">
        <f>G4436+0.0001</f>
        <v/>
      </c>
    </row>
    <row r="4438">
      <c r="G4438">
        <f>G4437+0.0001</f>
        <v/>
      </c>
    </row>
    <row r="4439">
      <c r="G4439">
        <f>G4438+0.0001</f>
        <v/>
      </c>
    </row>
    <row r="4440">
      <c r="G4440">
        <f>G4439+0.0001</f>
        <v/>
      </c>
    </row>
    <row r="4441">
      <c r="G4441">
        <f>G4440+0.0001</f>
        <v/>
      </c>
    </row>
    <row r="4442">
      <c r="G4442">
        <f>G4441+0.0001</f>
        <v/>
      </c>
    </row>
    <row r="4443">
      <c r="G4443">
        <f>G4442+0.0001</f>
        <v/>
      </c>
    </row>
    <row r="4444">
      <c r="G4444">
        <f>G4443+0.0001</f>
        <v/>
      </c>
    </row>
    <row r="4445">
      <c r="G4445">
        <f>G4444+0.0001</f>
        <v/>
      </c>
    </row>
    <row r="4446">
      <c r="G4446">
        <f>G4445+0.0001</f>
        <v/>
      </c>
    </row>
    <row r="4447">
      <c r="G4447">
        <f>G4446+0.0001</f>
        <v/>
      </c>
    </row>
    <row r="4448">
      <c r="G4448">
        <f>G4447+0.0001</f>
        <v/>
      </c>
    </row>
    <row r="4449">
      <c r="G4449">
        <f>G4448+0.0001</f>
        <v/>
      </c>
    </row>
    <row r="4450">
      <c r="G4450">
        <f>G4449+0.0001</f>
        <v/>
      </c>
    </row>
    <row r="4451">
      <c r="G4451">
        <f>G4450+0.0001</f>
        <v/>
      </c>
    </row>
    <row r="4452">
      <c r="G4452">
        <f>G4451+0.0001</f>
        <v/>
      </c>
    </row>
    <row r="4453">
      <c r="G4453">
        <f>G4452+0.0001</f>
        <v/>
      </c>
    </row>
    <row r="4454">
      <c r="G4454">
        <f>G4453+0.0001</f>
        <v/>
      </c>
    </row>
    <row r="4455">
      <c r="G4455">
        <f>G4454+0.0001</f>
        <v/>
      </c>
    </row>
    <row r="4456">
      <c r="G4456">
        <f>G4455+0.0001</f>
        <v/>
      </c>
    </row>
    <row r="4457">
      <c r="G4457">
        <f>G4456+0.0001</f>
        <v/>
      </c>
    </row>
    <row r="4458">
      <c r="G4458">
        <f>G4457+0.0001</f>
        <v/>
      </c>
    </row>
    <row r="4459">
      <c r="G4459">
        <f>G4458+0.0001</f>
        <v/>
      </c>
    </row>
    <row r="4460">
      <c r="G4460">
        <f>G4459+0.0001</f>
        <v/>
      </c>
    </row>
    <row r="4461">
      <c r="G4461">
        <f>G4460+0.0001</f>
        <v/>
      </c>
    </row>
    <row r="4462">
      <c r="G4462">
        <f>G4461+0.0001</f>
        <v/>
      </c>
    </row>
    <row r="4463">
      <c r="G4463">
        <f>G4462+0.0001</f>
        <v/>
      </c>
    </row>
    <row r="4464">
      <c r="G4464">
        <f>G4463+0.0001</f>
        <v/>
      </c>
    </row>
    <row r="4465">
      <c r="G4465">
        <f>G4464+0.0001</f>
        <v/>
      </c>
    </row>
    <row r="4466">
      <c r="G4466">
        <f>G4465+0.0001</f>
        <v/>
      </c>
    </row>
    <row r="4467">
      <c r="G4467">
        <f>G4466+0.0001</f>
        <v/>
      </c>
    </row>
    <row r="4468">
      <c r="G4468">
        <f>G4467+0.0001</f>
        <v/>
      </c>
    </row>
    <row r="4469">
      <c r="G4469">
        <f>G4468+0.0001</f>
        <v/>
      </c>
    </row>
    <row r="4470">
      <c r="G4470">
        <f>G4469+0.0001</f>
        <v/>
      </c>
    </row>
    <row r="4471">
      <c r="G4471">
        <f>G4470+0.0001</f>
        <v/>
      </c>
    </row>
    <row r="4472">
      <c r="G4472">
        <f>G4471+0.0001</f>
        <v/>
      </c>
    </row>
    <row r="4473">
      <c r="G4473">
        <f>G4472+0.0001</f>
        <v/>
      </c>
    </row>
    <row r="4474">
      <c r="G4474">
        <f>G4473+0.0001</f>
        <v/>
      </c>
    </row>
    <row r="4475">
      <c r="G4475">
        <f>G4474+0.0001</f>
        <v/>
      </c>
    </row>
    <row r="4476">
      <c r="G4476">
        <f>G4475+0.0001</f>
        <v/>
      </c>
    </row>
    <row r="4477">
      <c r="G4477">
        <f>G4476+0.0001</f>
        <v/>
      </c>
    </row>
    <row r="4478">
      <c r="G4478">
        <f>G4477+0.0001</f>
        <v/>
      </c>
    </row>
    <row r="4479">
      <c r="G4479">
        <f>G4478+0.0001</f>
        <v/>
      </c>
    </row>
    <row r="4480">
      <c r="G4480">
        <f>G4479+0.0001</f>
        <v/>
      </c>
    </row>
    <row r="4481">
      <c r="G4481">
        <f>G4480+0.0001</f>
        <v/>
      </c>
    </row>
    <row r="4482">
      <c r="G4482">
        <f>G4481+0.0001</f>
        <v/>
      </c>
    </row>
    <row r="4483">
      <c r="G4483">
        <f>G4482+0.0001</f>
        <v/>
      </c>
    </row>
    <row r="4484">
      <c r="G4484">
        <f>G4483+0.0001</f>
        <v/>
      </c>
    </row>
    <row r="4485">
      <c r="G4485">
        <f>G4484+0.0001</f>
        <v/>
      </c>
    </row>
    <row r="4486">
      <c r="G4486">
        <f>G4485+0.0001</f>
        <v/>
      </c>
    </row>
    <row r="4487">
      <c r="G4487">
        <f>G4486+0.0001</f>
        <v/>
      </c>
    </row>
    <row r="4488">
      <c r="G4488">
        <f>G4487+0.0001</f>
        <v/>
      </c>
    </row>
    <row r="4489">
      <c r="G4489">
        <f>G4488+0.0001</f>
        <v/>
      </c>
    </row>
    <row r="4490">
      <c r="G4490">
        <f>G4489+0.0001</f>
        <v/>
      </c>
    </row>
    <row r="4491">
      <c r="G4491">
        <f>G4490+0.0001</f>
        <v/>
      </c>
    </row>
    <row r="4492">
      <c r="G4492">
        <f>G4491+0.0001</f>
        <v/>
      </c>
    </row>
    <row r="4493">
      <c r="G4493">
        <f>G4492+0.0001</f>
        <v/>
      </c>
    </row>
    <row r="4494">
      <c r="G4494">
        <f>G4493+0.0001</f>
        <v/>
      </c>
    </row>
    <row r="4495">
      <c r="G4495">
        <f>G4494+0.0001</f>
        <v/>
      </c>
    </row>
    <row r="4496">
      <c r="G4496">
        <f>G4495+0.0001</f>
        <v/>
      </c>
    </row>
    <row r="4497">
      <c r="G4497">
        <f>G4496+0.0001</f>
        <v/>
      </c>
    </row>
    <row r="4498">
      <c r="G4498">
        <f>G4497+0.0001</f>
        <v/>
      </c>
    </row>
    <row r="4499">
      <c r="G4499">
        <f>G4498+0.0001</f>
        <v/>
      </c>
    </row>
    <row r="4500">
      <c r="G4500">
        <f>G4499+0.0001</f>
        <v/>
      </c>
    </row>
    <row r="4501">
      <c r="G4501">
        <f>G4500+0.0001</f>
        <v/>
      </c>
    </row>
    <row r="4502">
      <c r="G4502">
        <f>G4501+0.0001</f>
        <v/>
      </c>
    </row>
    <row r="4503">
      <c r="G4503">
        <f>G4502+0.0001</f>
        <v/>
      </c>
    </row>
    <row r="4504">
      <c r="G4504">
        <f>G4503+0.0001</f>
        <v/>
      </c>
    </row>
    <row r="4505">
      <c r="G4505">
        <f>G4504+0.0001</f>
        <v/>
      </c>
    </row>
    <row r="4506">
      <c r="G4506">
        <f>G4505+0.0001</f>
        <v/>
      </c>
    </row>
    <row r="4507">
      <c r="G4507">
        <f>G4506+0.0001</f>
        <v/>
      </c>
    </row>
    <row r="4508">
      <c r="G4508">
        <f>G4507+0.0001</f>
        <v/>
      </c>
    </row>
    <row r="4509">
      <c r="G4509">
        <f>G4508+0.0001</f>
        <v/>
      </c>
    </row>
    <row r="4510">
      <c r="G4510">
        <f>G4509+0.0001</f>
        <v/>
      </c>
    </row>
    <row r="4511">
      <c r="G4511">
        <f>G4510+0.0001</f>
        <v/>
      </c>
    </row>
    <row r="4512">
      <c r="G4512">
        <f>G4511+0.0001</f>
        <v/>
      </c>
    </row>
    <row r="4513">
      <c r="G4513">
        <f>G4512+0.0001</f>
        <v/>
      </c>
    </row>
    <row r="4514">
      <c r="G4514">
        <f>G4513+0.0001</f>
        <v/>
      </c>
    </row>
    <row r="4515">
      <c r="G4515">
        <f>G4514+0.0001</f>
        <v/>
      </c>
    </row>
    <row r="4516">
      <c r="G4516">
        <f>G4515+0.0001</f>
        <v/>
      </c>
    </row>
    <row r="4517">
      <c r="G4517">
        <f>G4516+0.0001</f>
        <v/>
      </c>
    </row>
    <row r="4518">
      <c r="G4518">
        <f>G4517+0.0001</f>
        <v/>
      </c>
    </row>
    <row r="4519">
      <c r="G4519">
        <f>G4518+0.0001</f>
        <v/>
      </c>
    </row>
    <row r="4520">
      <c r="G4520">
        <f>G4519+0.0001</f>
        <v/>
      </c>
    </row>
    <row r="4521">
      <c r="G4521">
        <f>G4520+0.0001</f>
        <v/>
      </c>
    </row>
    <row r="4522">
      <c r="G4522">
        <f>G4521+0.0001</f>
        <v/>
      </c>
    </row>
    <row r="4523">
      <c r="G4523">
        <f>G4522+0.0001</f>
        <v/>
      </c>
    </row>
    <row r="4524">
      <c r="G4524">
        <f>G4523+0.0001</f>
        <v/>
      </c>
    </row>
    <row r="4525">
      <c r="G4525">
        <f>G4524+0.0001</f>
        <v/>
      </c>
    </row>
    <row r="4526">
      <c r="G4526">
        <f>G4525+0.0001</f>
        <v/>
      </c>
    </row>
    <row r="4527">
      <c r="G4527">
        <f>G4526+0.0001</f>
        <v/>
      </c>
    </row>
    <row r="4528">
      <c r="G4528">
        <f>G4527+0.0001</f>
        <v/>
      </c>
    </row>
    <row r="4529">
      <c r="G4529">
        <f>G4528+0.0001</f>
        <v/>
      </c>
    </row>
    <row r="4530">
      <c r="G4530">
        <f>G4529+0.0001</f>
        <v/>
      </c>
    </row>
    <row r="4531">
      <c r="G4531">
        <f>G4530+0.0001</f>
        <v/>
      </c>
    </row>
    <row r="4532">
      <c r="G4532">
        <f>G4531+0.0001</f>
        <v/>
      </c>
    </row>
    <row r="4533">
      <c r="G4533">
        <f>G4532+0.0001</f>
        <v/>
      </c>
    </row>
    <row r="4534">
      <c r="G4534">
        <f>G4533+0.0001</f>
        <v/>
      </c>
    </row>
    <row r="4535">
      <c r="G4535">
        <f>G4534+0.0001</f>
        <v/>
      </c>
    </row>
    <row r="4536">
      <c r="G4536">
        <f>G4535+0.0001</f>
        <v/>
      </c>
    </row>
    <row r="4537">
      <c r="G4537">
        <f>G4536+0.0001</f>
        <v/>
      </c>
    </row>
    <row r="4538">
      <c r="G4538">
        <f>G4537+0.0001</f>
        <v/>
      </c>
    </row>
    <row r="4539">
      <c r="G4539">
        <f>G4538+0.0001</f>
        <v/>
      </c>
    </row>
    <row r="4540">
      <c r="G4540">
        <f>G4539+0.0001</f>
        <v/>
      </c>
    </row>
    <row r="4541">
      <c r="G4541">
        <f>G4540+0.0001</f>
        <v/>
      </c>
    </row>
    <row r="4542">
      <c r="G4542">
        <f>G4541+0.0001</f>
        <v/>
      </c>
    </row>
    <row r="4543">
      <c r="G4543">
        <f>G4542+0.0001</f>
        <v/>
      </c>
    </row>
    <row r="4544">
      <c r="G4544">
        <f>G4543+0.0001</f>
        <v/>
      </c>
    </row>
    <row r="4545">
      <c r="G4545">
        <f>G4544+0.0001</f>
        <v/>
      </c>
    </row>
    <row r="4546">
      <c r="G4546">
        <f>G4545+0.0001</f>
        <v/>
      </c>
    </row>
    <row r="4547">
      <c r="G4547">
        <f>G4546+0.0001</f>
        <v/>
      </c>
    </row>
    <row r="4548">
      <c r="G4548">
        <f>G4547+0.0001</f>
        <v/>
      </c>
    </row>
    <row r="4549">
      <c r="G4549">
        <f>G4548+0.0001</f>
        <v/>
      </c>
    </row>
    <row r="4550">
      <c r="G4550">
        <f>G4549+0.0001</f>
        <v/>
      </c>
    </row>
    <row r="4551">
      <c r="G4551">
        <f>G4550+0.0001</f>
        <v/>
      </c>
    </row>
    <row r="4552">
      <c r="G4552">
        <f>G4551+0.0001</f>
        <v/>
      </c>
    </row>
    <row r="4553">
      <c r="G4553">
        <f>G4552+0.0001</f>
        <v/>
      </c>
    </row>
    <row r="4554">
      <c r="G4554">
        <f>G4553+0.0001</f>
        <v/>
      </c>
    </row>
    <row r="4555">
      <c r="G4555">
        <f>G4554+0.0001</f>
        <v/>
      </c>
    </row>
    <row r="4556">
      <c r="G4556">
        <f>G4555+0.0001</f>
        <v/>
      </c>
    </row>
    <row r="4557">
      <c r="G4557">
        <f>G4556+0.0001</f>
        <v/>
      </c>
    </row>
    <row r="4558">
      <c r="G4558">
        <f>G4557+0.0001</f>
        <v/>
      </c>
    </row>
    <row r="4559">
      <c r="G4559">
        <f>G4558+0.0001</f>
        <v/>
      </c>
    </row>
    <row r="4560">
      <c r="G4560">
        <f>G4559+0.0001</f>
        <v/>
      </c>
    </row>
    <row r="4561">
      <c r="G4561">
        <f>G4560+0.0001</f>
        <v/>
      </c>
    </row>
    <row r="4562">
      <c r="G4562">
        <f>G4561+0.0001</f>
        <v/>
      </c>
    </row>
    <row r="4563">
      <c r="G4563">
        <f>G4562+0.0001</f>
        <v/>
      </c>
    </row>
    <row r="4564">
      <c r="G4564">
        <f>G4563+0.0001</f>
        <v/>
      </c>
    </row>
    <row r="4565">
      <c r="G4565">
        <f>G4564+0.0001</f>
        <v/>
      </c>
    </row>
    <row r="4566">
      <c r="G4566">
        <f>G4565+0.0001</f>
        <v/>
      </c>
    </row>
    <row r="4567">
      <c r="G4567">
        <f>G4566+0.0001</f>
        <v/>
      </c>
    </row>
    <row r="4568">
      <c r="G4568">
        <f>G4567+0.0001</f>
        <v/>
      </c>
    </row>
    <row r="4569">
      <c r="G4569">
        <f>G4568+0.0001</f>
        <v/>
      </c>
    </row>
    <row r="4570">
      <c r="G4570">
        <f>G4569+0.0001</f>
        <v/>
      </c>
    </row>
    <row r="4571">
      <c r="G4571">
        <f>G4570+0.0001</f>
        <v/>
      </c>
    </row>
    <row r="4572">
      <c r="G4572">
        <f>G4571+0.0001</f>
        <v/>
      </c>
    </row>
    <row r="4573">
      <c r="G4573">
        <f>G4572+0.0001</f>
        <v/>
      </c>
    </row>
    <row r="4574">
      <c r="G4574">
        <f>G4573+0.0001</f>
        <v/>
      </c>
    </row>
    <row r="4575">
      <c r="G4575">
        <f>G4574+0.0001</f>
        <v/>
      </c>
    </row>
    <row r="4576">
      <c r="G4576">
        <f>G4575+0.0001</f>
        <v/>
      </c>
    </row>
    <row r="4577">
      <c r="G4577">
        <f>G4576+0.0001</f>
        <v/>
      </c>
    </row>
    <row r="4578">
      <c r="G4578">
        <f>G4577+0.0001</f>
        <v/>
      </c>
    </row>
    <row r="4579">
      <c r="G4579">
        <f>G4578+0.0001</f>
        <v/>
      </c>
    </row>
    <row r="4580">
      <c r="G4580">
        <f>G4579+0.0001</f>
        <v/>
      </c>
    </row>
    <row r="4581">
      <c r="G4581">
        <f>G4580+0.0001</f>
        <v/>
      </c>
    </row>
    <row r="4582">
      <c r="G4582">
        <f>G4581+0.0001</f>
        <v/>
      </c>
    </row>
    <row r="4583">
      <c r="G4583">
        <f>G4582+0.0001</f>
        <v/>
      </c>
    </row>
    <row r="4584">
      <c r="G4584">
        <f>G4583+0.0001</f>
        <v/>
      </c>
    </row>
    <row r="4585">
      <c r="G4585">
        <f>G4584+0.0001</f>
        <v/>
      </c>
    </row>
    <row r="4586">
      <c r="G4586">
        <f>G4585+0.0001</f>
        <v/>
      </c>
    </row>
    <row r="4587">
      <c r="G4587">
        <f>G4586+0.0001</f>
        <v/>
      </c>
    </row>
    <row r="4588">
      <c r="G4588">
        <f>G4587+0.0001</f>
        <v/>
      </c>
    </row>
    <row r="4589">
      <c r="G4589">
        <f>G4588+0.0001</f>
        <v/>
      </c>
    </row>
    <row r="4590">
      <c r="G4590">
        <f>G4589+0.0001</f>
        <v/>
      </c>
    </row>
    <row r="4591">
      <c r="G4591">
        <f>G4590+0.0001</f>
        <v/>
      </c>
    </row>
    <row r="4592">
      <c r="G4592">
        <f>G4591+0.0001</f>
        <v/>
      </c>
    </row>
    <row r="4593">
      <c r="G4593">
        <f>G4592+0.0001</f>
        <v/>
      </c>
    </row>
    <row r="4594">
      <c r="G4594">
        <f>G4593+0.0001</f>
        <v/>
      </c>
    </row>
    <row r="4595">
      <c r="G4595">
        <f>G4594+0.0001</f>
        <v/>
      </c>
    </row>
    <row r="4596">
      <c r="G4596">
        <f>G4595+0.0001</f>
        <v/>
      </c>
    </row>
    <row r="4597">
      <c r="G4597">
        <f>G4596+0.0001</f>
        <v/>
      </c>
    </row>
    <row r="4598">
      <c r="G4598">
        <f>G4597+0.0001</f>
        <v/>
      </c>
    </row>
    <row r="4599">
      <c r="G4599">
        <f>G4598+0.0001</f>
        <v/>
      </c>
    </row>
    <row r="4600">
      <c r="G4600">
        <f>G4599+0.0001</f>
        <v/>
      </c>
    </row>
    <row r="4601">
      <c r="G4601">
        <f>G4600+0.0001</f>
        <v/>
      </c>
    </row>
    <row r="4602">
      <c r="G4602">
        <f>G4601+0.0001</f>
        <v/>
      </c>
    </row>
    <row r="4603">
      <c r="G4603">
        <f>G4602+0.0001</f>
        <v/>
      </c>
    </row>
    <row r="4604">
      <c r="G4604">
        <f>G4603+0.0001</f>
        <v/>
      </c>
    </row>
    <row r="4605">
      <c r="G4605">
        <f>G4604+0.0001</f>
        <v/>
      </c>
    </row>
    <row r="4606">
      <c r="G4606">
        <f>G4605+0.0001</f>
        <v/>
      </c>
    </row>
    <row r="4607">
      <c r="G4607">
        <f>G4606+0.0001</f>
        <v/>
      </c>
    </row>
    <row r="4608">
      <c r="G4608">
        <f>G4607+0.0001</f>
        <v/>
      </c>
    </row>
    <row r="4609">
      <c r="G4609">
        <f>G4608+0.0001</f>
        <v/>
      </c>
    </row>
    <row r="4610">
      <c r="G4610">
        <f>G4609+0.0001</f>
        <v/>
      </c>
    </row>
    <row r="4611">
      <c r="G4611">
        <f>G4610+0.0001</f>
        <v/>
      </c>
    </row>
    <row r="4612">
      <c r="G4612">
        <f>G4611+0.0001</f>
        <v/>
      </c>
    </row>
    <row r="4613">
      <c r="G4613">
        <f>G4612+0.0001</f>
        <v/>
      </c>
    </row>
    <row r="4614">
      <c r="G4614">
        <f>G4613+0.0001</f>
        <v/>
      </c>
    </row>
    <row r="4615">
      <c r="G4615">
        <f>G4614+0.0001</f>
        <v/>
      </c>
    </row>
    <row r="4616">
      <c r="G4616">
        <f>G4615+0.0001</f>
        <v/>
      </c>
    </row>
    <row r="4617">
      <c r="G4617">
        <f>G4616+0.0001</f>
        <v/>
      </c>
    </row>
    <row r="4618">
      <c r="G4618">
        <f>G4617+0.0001</f>
        <v/>
      </c>
    </row>
    <row r="4619">
      <c r="G4619">
        <f>G4618+0.0001</f>
        <v/>
      </c>
    </row>
    <row r="4620">
      <c r="G4620">
        <f>G4619+0.0001</f>
        <v/>
      </c>
    </row>
    <row r="4621">
      <c r="G4621">
        <f>G4620+0.0001</f>
        <v/>
      </c>
    </row>
    <row r="4622">
      <c r="G4622">
        <f>G4621+0.0001</f>
        <v/>
      </c>
    </row>
    <row r="4623">
      <c r="G4623">
        <f>G4622+0.0001</f>
        <v/>
      </c>
    </row>
    <row r="4624">
      <c r="G4624">
        <f>G4623+0.0001</f>
        <v/>
      </c>
    </row>
    <row r="4625">
      <c r="G4625">
        <f>G4624+0.0001</f>
        <v/>
      </c>
    </row>
    <row r="4626">
      <c r="G4626">
        <f>G4625+0.0001</f>
        <v/>
      </c>
    </row>
    <row r="4627">
      <c r="G4627">
        <f>G4626+0.0001</f>
        <v/>
      </c>
    </row>
    <row r="4628">
      <c r="G4628">
        <f>G4627+0.0001</f>
        <v/>
      </c>
    </row>
    <row r="4629">
      <c r="G4629">
        <f>G4628+0.0001</f>
        <v/>
      </c>
    </row>
    <row r="4630">
      <c r="G4630">
        <f>G4629+0.0001</f>
        <v/>
      </c>
    </row>
    <row r="4631">
      <c r="G4631">
        <f>G4630+0.0001</f>
        <v/>
      </c>
    </row>
    <row r="4632">
      <c r="G4632">
        <f>G4631+0.0001</f>
        <v/>
      </c>
    </row>
    <row r="4633">
      <c r="G4633">
        <f>G4632+0.0001</f>
        <v/>
      </c>
    </row>
    <row r="4634">
      <c r="G4634">
        <f>G4633+0.0001</f>
        <v/>
      </c>
    </row>
    <row r="4635">
      <c r="G4635">
        <f>G4634+0.0001</f>
        <v/>
      </c>
    </row>
    <row r="4636">
      <c r="G4636">
        <f>G4635+0.0001</f>
        <v/>
      </c>
    </row>
    <row r="4637">
      <c r="G4637">
        <f>G4636+0.0001</f>
        <v/>
      </c>
    </row>
    <row r="4638">
      <c r="G4638">
        <f>G4637+0.0001</f>
        <v/>
      </c>
    </row>
    <row r="4639">
      <c r="G4639">
        <f>G4638+0.0001</f>
        <v/>
      </c>
    </row>
    <row r="4640">
      <c r="G4640">
        <f>G4639+0.0001</f>
        <v/>
      </c>
    </row>
    <row r="4641">
      <c r="G4641">
        <f>G4640+0.0001</f>
        <v/>
      </c>
    </row>
    <row r="4642">
      <c r="G4642">
        <f>G4641+0.0001</f>
        <v/>
      </c>
    </row>
    <row r="4643">
      <c r="G4643">
        <f>G4642+0.0001</f>
        <v/>
      </c>
    </row>
    <row r="4644">
      <c r="G4644">
        <f>G4643+0.0001</f>
        <v/>
      </c>
    </row>
    <row r="4645">
      <c r="G4645">
        <f>G4644+0.0001</f>
        <v/>
      </c>
    </row>
    <row r="4646">
      <c r="G4646">
        <f>G4645+0.0001</f>
        <v/>
      </c>
    </row>
    <row r="4647">
      <c r="G4647">
        <f>G4646+0.0001</f>
        <v/>
      </c>
    </row>
    <row r="4648">
      <c r="G4648">
        <f>G4647+0.0001</f>
        <v/>
      </c>
    </row>
    <row r="4649">
      <c r="G4649">
        <f>G4648+0.0001</f>
        <v/>
      </c>
    </row>
    <row r="4650">
      <c r="G4650">
        <f>G4649+0.0001</f>
        <v/>
      </c>
    </row>
    <row r="4651">
      <c r="G4651">
        <f>G4650+0.0001</f>
        <v/>
      </c>
    </row>
    <row r="4652">
      <c r="G4652">
        <f>G4651+0.0001</f>
        <v/>
      </c>
    </row>
    <row r="4653">
      <c r="G4653">
        <f>G4652+0.0001</f>
        <v/>
      </c>
    </row>
    <row r="4654">
      <c r="G4654">
        <f>G4653+0.0001</f>
        <v/>
      </c>
    </row>
    <row r="4655">
      <c r="G4655">
        <f>G4654+0.0001</f>
        <v/>
      </c>
    </row>
    <row r="4656">
      <c r="G4656">
        <f>G4655+0.0001</f>
        <v/>
      </c>
    </row>
    <row r="4657">
      <c r="G4657">
        <f>G4656+0.0001</f>
        <v/>
      </c>
    </row>
    <row r="4658">
      <c r="G4658">
        <f>G4657+0.0001</f>
        <v/>
      </c>
    </row>
    <row r="4659">
      <c r="G4659">
        <f>G4658+0.0001</f>
        <v/>
      </c>
    </row>
    <row r="4660">
      <c r="G4660">
        <f>G4659+0.0001</f>
        <v/>
      </c>
    </row>
    <row r="4661">
      <c r="G4661">
        <f>G4660+0.0001</f>
        <v/>
      </c>
    </row>
    <row r="4662">
      <c r="G4662">
        <f>G4661+0.0001</f>
        <v/>
      </c>
    </row>
    <row r="4663">
      <c r="G4663">
        <f>G4662+0.0001</f>
        <v/>
      </c>
    </row>
    <row r="4664">
      <c r="G4664">
        <f>G4663+0.0001</f>
        <v/>
      </c>
    </row>
    <row r="4665">
      <c r="G4665">
        <f>G4664+0.0001</f>
        <v/>
      </c>
    </row>
    <row r="4666">
      <c r="G4666">
        <f>G4665+0.0001</f>
        <v/>
      </c>
    </row>
    <row r="4667">
      <c r="G4667">
        <f>G4666+0.0001</f>
        <v/>
      </c>
    </row>
    <row r="4668">
      <c r="G4668">
        <f>G4667+0.0001</f>
        <v/>
      </c>
    </row>
    <row r="4669">
      <c r="G4669">
        <f>G4668+0.0001</f>
        <v/>
      </c>
    </row>
    <row r="4670">
      <c r="G4670">
        <f>G4669+0.0001</f>
        <v/>
      </c>
    </row>
    <row r="4671">
      <c r="G4671">
        <f>G4670+0.0001</f>
        <v/>
      </c>
    </row>
    <row r="4672">
      <c r="G4672">
        <f>G4671+0.0001</f>
        <v/>
      </c>
    </row>
    <row r="4673">
      <c r="G4673">
        <f>G4672+0.0001</f>
        <v/>
      </c>
    </row>
    <row r="4674">
      <c r="G4674">
        <f>G4673+0.0001</f>
        <v/>
      </c>
    </row>
    <row r="4675">
      <c r="G4675">
        <f>G4674+0.0001</f>
        <v/>
      </c>
    </row>
    <row r="4676">
      <c r="G4676">
        <f>G4675+0.0001</f>
        <v/>
      </c>
    </row>
    <row r="4677">
      <c r="G4677">
        <f>G4676+0.0001</f>
        <v/>
      </c>
    </row>
    <row r="4678">
      <c r="G4678">
        <f>G4677+0.0001</f>
        <v/>
      </c>
    </row>
    <row r="4679">
      <c r="G4679">
        <f>G4678+0.0001</f>
        <v/>
      </c>
    </row>
    <row r="4680">
      <c r="G4680">
        <f>G4679+0.0001</f>
        <v/>
      </c>
    </row>
    <row r="4681">
      <c r="G4681">
        <f>G4680+0.0001</f>
        <v/>
      </c>
    </row>
    <row r="4682">
      <c r="G4682">
        <f>G4681+0.0001</f>
        <v/>
      </c>
    </row>
    <row r="4683">
      <c r="G4683">
        <f>G4682+0.0001</f>
        <v/>
      </c>
    </row>
    <row r="4684">
      <c r="G4684">
        <f>G4683+0.0001</f>
        <v/>
      </c>
    </row>
    <row r="4685">
      <c r="G4685">
        <f>G4684+0.0001</f>
        <v/>
      </c>
    </row>
    <row r="4686">
      <c r="G4686">
        <f>G4685+0.0001</f>
        <v/>
      </c>
    </row>
    <row r="4687">
      <c r="G4687">
        <f>G4686+0.0001</f>
        <v/>
      </c>
    </row>
    <row r="4688">
      <c r="G4688">
        <f>G4687+0.0001</f>
        <v/>
      </c>
    </row>
    <row r="4689">
      <c r="G4689">
        <f>G4688+0.0001</f>
        <v/>
      </c>
    </row>
    <row r="4690">
      <c r="G4690">
        <f>G4689+0.0001</f>
        <v/>
      </c>
    </row>
    <row r="4691">
      <c r="G4691">
        <f>G4690+0.0001</f>
        <v/>
      </c>
    </row>
    <row r="4692">
      <c r="G4692">
        <f>G4691+0.0001</f>
        <v/>
      </c>
    </row>
    <row r="4693">
      <c r="G4693">
        <f>G4692+0.0001</f>
        <v/>
      </c>
    </row>
    <row r="4694">
      <c r="G4694">
        <f>G4693+0.0001</f>
        <v/>
      </c>
    </row>
    <row r="4695">
      <c r="G4695">
        <f>G4694+0.0001</f>
        <v/>
      </c>
    </row>
    <row r="4696">
      <c r="G4696">
        <f>G4695+0.0001</f>
        <v/>
      </c>
    </row>
    <row r="4697">
      <c r="G4697">
        <f>G4696+0.0001</f>
        <v/>
      </c>
    </row>
    <row r="4698">
      <c r="G4698">
        <f>G4697+0.0001</f>
        <v/>
      </c>
    </row>
    <row r="4699">
      <c r="G4699">
        <f>G4698+0.0001</f>
        <v/>
      </c>
    </row>
    <row r="4700">
      <c r="G4700">
        <f>G4699+0.0001</f>
        <v/>
      </c>
    </row>
    <row r="4701">
      <c r="G4701">
        <f>G4700+0.0001</f>
        <v/>
      </c>
    </row>
    <row r="4702">
      <c r="G4702">
        <f>G4701+0.0001</f>
        <v/>
      </c>
    </row>
    <row r="4703">
      <c r="G4703">
        <f>G4702+0.0001</f>
        <v/>
      </c>
    </row>
    <row r="4704">
      <c r="G4704">
        <f>G4703+0.0001</f>
        <v/>
      </c>
    </row>
    <row r="4705">
      <c r="G4705">
        <f>G4704+0.0001</f>
        <v/>
      </c>
    </row>
    <row r="4706">
      <c r="G4706">
        <f>G4705+0.0001</f>
        <v/>
      </c>
    </row>
    <row r="4707">
      <c r="G4707">
        <f>G4706+0.0001</f>
        <v/>
      </c>
    </row>
    <row r="4708">
      <c r="G4708">
        <f>G4707+0.0001</f>
        <v/>
      </c>
    </row>
    <row r="4709">
      <c r="G4709">
        <f>G4708+0.0001</f>
        <v/>
      </c>
    </row>
    <row r="4710">
      <c r="G4710">
        <f>G4709+0.0001</f>
        <v/>
      </c>
    </row>
    <row r="4711">
      <c r="G4711">
        <f>G4710+0.0001</f>
        <v/>
      </c>
    </row>
    <row r="4712">
      <c r="G4712">
        <f>G4711+0.0001</f>
        <v/>
      </c>
    </row>
    <row r="4713">
      <c r="G4713">
        <f>G4712+0.0001</f>
        <v/>
      </c>
    </row>
    <row r="4714">
      <c r="G4714">
        <f>G4713+0.0001</f>
        <v/>
      </c>
    </row>
    <row r="4715">
      <c r="G4715">
        <f>G4714+0.0001</f>
        <v/>
      </c>
    </row>
    <row r="4716">
      <c r="G4716">
        <f>G4715+0.0001</f>
        <v/>
      </c>
    </row>
    <row r="4717">
      <c r="G4717">
        <f>G4716+0.0001</f>
        <v/>
      </c>
    </row>
    <row r="4718">
      <c r="G4718">
        <f>G4717+0.0001</f>
        <v/>
      </c>
    </row>
    <row r="4719">
      <c r="G4719">
        <f>G4718+0.0001</f>
        <v/>
      </c>
    </row>
    <row r="4720">
      <c r="G4720">
        <f>G4719+0.0001</f>
        <v/>
      </c>
    </row>
    <row r="4721">
      <c r="G4721">
        <f>G4720+0.0001</f>
        <v/>
      </c>
    </row>
    <row r="4722">
      <c r="G4722">
        <f>G4721+0.0001</f>
        <v/>
      </c>
    </row>
    <row r="4723">
      <c r="G4723">
        <f>G4722+0.0001</f>
        <v/>
      </c>
    </row>
    <row r="4724">
      <c r="G4724">
        <f>G4723+0.0001</f>
        <v/>
      </c>
    </row>
    <row r="4725">
      <c r="G4725">
        <f>G4724+0.0001</f>
        <v/>
      </c>
    </row>
    <row r="4726">
      <c r="G4726">
        <f>G4725+0.0001</f>
        <v/>
      </c>
    </row>
    <row r="4727">
      <c r="G4727">
        <f>G4726+0.0001</f>
        <v/>
      </c>
    </row>
    <row r="4728">
      <c r="G4728">
        <f>G4727+0.0001</f>
        <v/>
      </c>
    </row>
    <row r="4729">
      <c r="G4729">
        <f>G4728+0.0001</f>
        <v/>
      </c>
    </row>
    <row r="4730">
      <c r="G4730">
        <f>G4729+0.0001</f>
        <v/>
      </c>
    </row>
    <row r="4731">
      <c r="G4731">
        <f>G4730+0.0001</f>
        <v/>
      </c>
    </row>
    <row r="4732">
      <c r="G4732">
        <f>G4731+0.0001</f>
        <v/>
      </c>
    </row>
    <row r="4733">
      <c r="G4733">
        <f>G4732+0.0001</f>
        <v/>
      </c>
    </row>
    <row r="4734">
      <c r="G4734">
        <f>G4733+0.0001</f>
        <v/>
      </c>
    </row>
    <row r="4735">
      <c r="G4735">
        <f>G4734+0.0001</f>
        <v/>
      </c>
    </row>
    <row r="4736">
      <c r="G4736">
        <f>G4735+0.0001</f>
        <v/>
      </c>
    </row>
    <row r="4737">
      <c r="G4737">
        <f>G4736+0.0001</f>
        <v/>
      </c>
    </row>
    <row r="4738">
      <c r="G4738">
        <f>G4737+0.0001</f>
        <v/>
      </c>
    </row>
    <row r="4739">
      <c r="G4739">
        <f>G4738+0.0001</f>
        <v/>
      </c>
    </row>
    <row r="4740">
      <c r="G4740">
        <f>G4739+0.0001</f>
        <v/>
      </c>
    </row>
    <row r="4741">
      <c r="G4741">
        <f>G4740+0.0001</f>
        <v/>
      </c>
    </row>
    <row r="4742">
      <c r="G4742">
        <f>G4741+0.0001</f>
        <v/>
      </c>
    </row>
    <row r="4743">
      <c r="G4743">
        <f>G4742+0.0001</f>
        <v/>
      </c>
    </row>
    <row r="4744">
      <c r="G4744">
        <f>G4743+0.0001</f>
        <v/>
      </c>
    </row>
    <row r="4745">
      <c r="G4745">
        <f>G4744+0.0001</f>
        <v/>
      </c>
    </row>
    <row r="4746">
      <c r="G4746">
        <f>G4745+0.0001</f>
        <v/>
      </c>
    </row>
    <row r="4747">
      <c r="G4747">
        <f>G4746+0.0001</f>
        <v/>
      </c>
    </row>
    <row r="4748">
      <c r="G4748">
        <f>G4747+0.0001</f>
        <v/>
      </c>
    </row>
    <row r="4749">
      <c r="G4749">
        <f>G4748+0.0001</f>
        <v/>
      </c>
    </row>
    <row r="4750">
      <c r="G4750">
        <f>G4749+0.0001</f>
        <v/>
      </c>
    </row>
    <row r="4751">
      <c r="G4751">
        <f>G4750+0.0001</f>
        <v/>
      </c>
    </row>
    <row r="4752">
      <c r="G4752">
        <f>G4751+0.0001</f>
        <v/>
      </c>
    </row>
    <row r="4753">
      <c r="G4753">
        <f>G4752+0.0001</f>
        <v/>
      </c>
    </row>
    <row r="4754">
      <c r="G4754">
        <f>G4753+0.0001</f>
        <v/>
      </c>
    </row>
    <row r="4755">
      <c r="G4755">
        <f>G4754+0.0001</f>
        <v/>
      </c>
    </row>
    <row r="4756">
      <c r="G4756">
        <f>G4755+0.0001</f>
        <v/>
      </c>
    </row>
    <row r="4757">
      <c r="G4757">
        <f>G4756+0.0001</f>
        <v/>
      </c>
    </row>
    <row r="4758">
      <c r="G4758">
        <f>G4757+0.0001</f>
        <v/>
      </c>
    </row>
    <row r="4759">
      <c r="G4759">
        <f>G4758+0.0001</f>
        <v/>
      </c>
    </row>
    <row r="4760">
      <c r="G4760">
        <f>G4759+0.0001</f>
        <v/>
      </c>
    </row>
    <row r="4761">
      <c r="G4761">
        <f>G4760+0.0001</f>
        <v/>
      </c>
    </row>
    <row r="4762">
      <c r="G4762">
        <f>G4761+0.0001</f>
        <v/>
      </c>
    </row>
    <row r="4763">
      <c r="G4763">
        <f>G4762+0.0001</f>
        <v/>
      </c>
    </row>
    <row r="4764">
      <c r="G4764">
        <f>G4763+0.0001</f>
        <v/>
      </c>
    </row>
    <row r="4765">
      <c r="G4765">
        <f>G4764+0.0001</f>
        <v/>
      </c>
    </row>
    <row r="4766">
      <c r="G4766">
        <f>G4765+0.0001</f>
        <v/>
      </c>
    </row>
    <row r="4767">
      <c r="G4767">
        <f>G4766+0.0001</f>
        <v/>
      </c>
    </row>
    <row r="4768">
      <c r="G4768">
        <f>G4767+0.0001</f>
        <v/>
      </c>
    </row>
    <row r="4769">
      <c r="G4769">
        <f>G4768+0.0001</f>
        <v/>
      </c>
    </row>
    <row r="4770">
      <c r="G4770">
        <f>G4769+0.0001</f>
        <v/>
      </c>
    </row>
    <row r="4771">
      <c r="G4771">
        <f>G4770+0.0001</f>
        <v/>
      </c>
    </row>
    <row r="4772">
      <c r="G4772">
        <f>G4771+0.0001</f>
        <v/>
      </c>
    </row>
    <row r="4773">
      <c r="G4773">
        <f>G4772+0.0001</f>
        <v/>
      </c>
    </row>
    <row r="4774">
      <c r="G4774">
        <f>G4773+0.0001</f>
        <v/>
      </c>
    </row>
    <row r="4775">
      <c r="G4775">
        <f>G4774+0.0001</f>
        <v/>
      </c>
    </row>
    <row r="4776">
      <c r="G4776">
        <f>G4775+0.0001</f>
        <v/>
      </c>
    </row>
    <row r="4777">
      <c r="G4777">
        <f>G4776+0.0001</f>
        <v/>
      </c>
    </row>
    <row r="4778">
      <c r="G4778">
        <f>G4777+0.0001</f>
        <v/>
      </c>
    </row>
    <row r="4779">
      <c r="G4779">
        <f>G4778+0.0001</f>
        <v/>
      </c>
    </row>
    <row r="4780">
      <c r="G4780">
        <f>G4779+0.0001</f>
        <v/>
      </c>
    </row>
    <row r="4781">
      <c r="G4781">
        <f>G4780+0.0001</f>
        <v/>
      </c>
    </row>
    <row r="4782">
      <c r="G4782">
        <f>G4781+0.0001</f>
        <v/>
      </c>
    </row>
    <row r="4783">
      <c r="G4783">
        <f>G4782+0.0001</f>
        <v/>
      </c>
    </row>
    <row r="4784">
      <c r="G4784">
        <f>G4783+0.0001</f>
        <v/>
      </c>
    </row>
    <row r="4785">
      <c r="G4785">
        <f>G4784+0.0001</f>
        <v/>
      </c>
    </row>
    <row r="4786">
      <c r="G4786">
        <f>G4785+0.0001</f>
        <v/>
      </c>
    </row>
    <row r="4787">
      <c r="G4787">
        <f>G4786+0.0001</f>
        <v/>
      </c>
    </row>
    <row r="4788">
      <c r="G4788">
        <f>G4787+0.0001</f>
        <v/>
      </c>
    </row>
    <row r="4789">
      <c r="G4789">
        <f>G4788+0.0001</f>
        <v/>
      </c>
    </row>
    <row r="4790">
      <c r="G4790">
        <f>G4789+0.0001</f>
        <v/>
      </c>
    </row>
    <row r="4791">
      <c r="G4791">
        <f>G4790+0.0001</f>
        <v/>
      </c>
    </row>
    <row r="4792">
      <c r="G4792">
        <f>G4791+0.0001</f>
        <v/>
      </c>
    </row>
    <row r="4793">
      <c r="G4793">
        <f>G4792+0.0001</f>
        <v/>
      </c>
    </row>
    <row r="4794">
      <c r="G4794">
        <f>G4793+0.0001</f>
        <v/>
      </c>
    </row>
    <row r="4795">
      <c r="G4795">
        <f>G4794+0.0001</f>
        <v/>
      </c>
    </row>
    <row r="4796">
      <c r="G4796">
        <f>G4795+0.0001</f>
        <v/>
      </c>
    </row>
    <row r="4797">
      <c r="G4797">
        <f>G4796+0.0001</f>
        <v/>
      </c>
    </row>
    <row r="4798">
      <c r="G4798">
        <f>G4797+0.0001</f>
        <v/>
      </c>
    </row>
    <row r="4799">
      <c r="G4799">
        <f>G4798+0.0001</f>
        <v/>
      </c>
    </row>
    <row r="4800">
      <c r="G4800">
        <f>G4799+0.0001</f>
        <v/>
      </c>
    </row>
    <row r="4801">
      <c r="G4801">
        <f>G4800+0.0001</f>
        <v/>
      </c>
    </row>
    <row r="4802">
      <c r="G4802">
        <f>G4801+0.0001</f>
        <v/>
      </c>
    </row>
    <row r="4803">
      <c r="G4803">
        <f>G4802+0.0001</f>
        <v/>
      </c>
    </row>
    <row r="4804">
      <c r="G4804">
        <f>G4803+0.0001</f>
        <v/>
      </c>
    </row>
    <row r="4805">
      <c r="G4805">
        <f>G4804+0.0001</f>
        <v/>
      </c>
    </row>
    <row r="4806">
      <c r="G4806">
        <f>G4805+0.0001</f>
        <v/>
      </c>
    </row>
    <row r="4807">
      <c r="G4807">
        <f>G4806+0.0001</f>
        <v/>
      </c>
    </row>
    <row r="4808">
      <c r="G4808">
        <f>G4807+0.0001</f>
        <v/>
      </c>
    </row>
    <row r="4809">
      <c r="G4809">
        <f>G4808+0.0001</f>
        <v/>
      </c>
    </row>
    <row r="4810">
      <c r="G4810">
        <f>G4809+0.0001</f>
        <v/>
      </c>
    </row>
    <row r="4811">
      <c r="G4811">
        <f>G4810+0.0001</f>
        <v/>
      </c>
    </row>
    <row r="4812">
      <c r="G4812">
        <f>G4811+0.0001</f>
        <v/>
      </c>
    </row>
    <row r="4813">
      <c r="G4813">
        <f>G4812+0.0001</f>
        <v/>
      </c>
    </row>
    <row r="4814">
      <c r="G4814">
        <f>G4813+0.0001</f>
        <v/>
      </c>
    </row>
    <row r="4815">
      <c r="G4815">
        <f>G4814+0.0001</f>
        <v/>
      </c>
    </row>
    <row r="4816">
      <c r="G4816">
        <f>G4815+0.0001</f>
        <v/>
      </c>
    </row>
    <row r="4817">
      <c r="G4817">
        <f>G4816+0.0001</f>
        <v/>
      </c>
    </row>
    <row r="4818">
      <c r="G4818">
        <f>G4817+0.0001</f>
        <v/>
      </c>
    </row>
    <row r="4819">
      <c r="G4819">
        <f>G4818+0.0001</f>
        <v/>
      </c>
    </row>
    <row r="4820">
      <c r="G4820">
        <f>G4819+0.0001</f>
        <v/>
      </c>
    </row>
    <row r="4821">
      <c r="G4821">
        <f>G4820+0.0001</f>
        <v/>
      </c>
    </row>
    <row r="4822">
      <c r="G4822">
        <f>G4821+0.0001</f>
        <v/>
      </c>
    </row>
    <row r="4823">
      <c r="G4823">
        <f>G4822+0.0001</f>
        <v/>
      </c>
    </row>
    <row r="4824">
      <c r="G4824">
        <f>G4823+0.0001</f>
        <v/>
      </c>
    </row>
    <row r="4825">
      <c r="G4825">
        <f>G4824+0.0001</f>
        <v/>
      </c>
    </row>
    <row r="4826">
      <c r="G4826">
        <f>G4825+0.0001</f>
        <v/>
      </c>
    </row>
    <row r="4827">
      <c r="G4827">
        <f>G4826+0.0001</f>
        <v/>
      </c>
    </row>
    <row r="4828">
      <c r="G4828">
        <f>G4827+0.0001</f>
        <v/>
      </c>
    </row>
    <row r="4829">
      <c r="G4829">
        <f>G4828+0.0001</f>
        <v/>
      </c>
    </row>
    <row r="4830">
      <c r="G4830">
        <f>G4829+0.0001</f>
        <v/>
      </c>
    </row>
    <row r="4831">
      <c r="G4831">
        <f>G4830+0.0001</f>
        <v/>
      </c>
    </row>
    <row r="4832">
      <c r="G4832">
        <f>G4831+0.0001</f>
        <v/>
      </c>
    </row>
    <row r="4833">
      <c r="G4833">
        <f>G4832+0.0001</f>
        <v/>
      </c>
    </row>
    <row r="4834">
      <c r="G4834">
        <f>G4833+0.0001</f>
        <v/>
      </c>
    </row>
    <row r="4835">
      <c r="G4835">
        <f>G4834+0.0001</f>
        <v/>
      </c>
    </row>
    <row r="4836">
      <c r="G4836">
        <f>G4835+0.0001</f>
        <v/>
      </c>
    </row>
    <row r="4837">
      <c r="G4837">
        <f>G4836+0.0001</f>
        <v/>
      </c>
    </row>
    <row r="4838">
      <c r="G4838">
        <f>G4837+0.0001</f>
        <v/>
      </c>
    </row>
    <row r="4839">
      <c r="G4839">
        <f>G4838+0.0001</f>
        <v/>
      </c>
    </row>
    <row r="4840">
      <c r="G4840">
        <f>G4839+0.0001</f>
        <v/>
      </c>
    </row>
    <row r="4841">
      <c r="G4841">
        <f>G4840+0.0001</f>
        <v/>
      </c>
    </row>
    <row r="4842">
      <c r="G4842">
        <f>G4841+0.0001</f>
        <v/>
      </c>
    </row>
    <row r="4843">
      <c r="G4843">
        <f>G4842+0.0001</f>
        <v/>
      </c>
    </row>
    <row r="4844">
      <c r="G4844">
        <f>G4843+0.0001</f>
        <v/>
      </c>
    </row>
    <row r="4845">
      <c r="G4845">
        <f>G4844+0.0001</f>
        <v/>
      </c>
    </row>
    <row r="4846">
      <c r="G4846">
        <f>G4845+0.0001</f>
        <v/>
      </c>
    </row>
    <row r="4847">
      <c r="G4847">
        <f>G4846+0.0001</f>
        <v/>
      </c>
    </row>
    <row r="4848">
      <c r="G4848">
        <f>G4847+0.0001</f>
        <v/>
      </c>
    </row>
    <row r="4849">
      <c r="G4849">
        <f>G4848+0.0001</f>
        <v/>
      </c>
    </row>
    <row r="4850">
      <c r="G4850">
        <f>G4849+0.0001</f>
        <v/>
      </c>
    </row>
    <row r="4851">
      <c r="G4851">
        <f>G4850+0.0001</f>
        <v/>
      </c>
    </row>
    <row r="4852">
      <c r="G4852">
        <f>G4851+0.0001</f>
        <v/>
      </c>
    </row>
    <row r="4853">
      <c r="G4853">
        <f>G4852+0.0001</f>
        <v/>
      </c>
    </row>
    <row r="4854">
      <c r="G4854">
        <f>G4853+0.0001</f>
        <v/>
      </c>
    </row>
    <row r="4855">
      <c r="G4855">
        <f>G4854+0.0001</f>
        <v/>
      </c>
    </row>
    <row r="4856">
      <c r="G4856">
        <f>G4855+0.0001</f>
        <v/>
      </c>
    </row>
    <row r="4857">
      <c r="G4857">
        <f>G4856+0.0001</f>
        <v/>
      </c>
    </row>
    <row r="4858">
      <c r="G4858">
        <f>G4857+0.0001</f>
        <v/>
      </c>
    </row>
    <row r="4859">
      <c r="G4859">
        <f>G4858+0.0001</f>
        <v/>
      </c>
    </row>
    <row r="4860">
      <c r="G4860">
        <f>G4859+0.0001</f>
        <v/>
      </c>
    </row>
    <row r="4861">
      <c r="G4861">
        <f>G4860+0.0001</f>
        <v/>
      </c>
    </row>
    <row r="4862">
      <c r="G4862">
        <f>G4861+0.0001</f>
        <v/>
      </c>
    </row>
    <row r="4863">
      <c r="G4863">
        <f>G4862+0.0001</f>
        <v/>
      </c>
    </row>
    <row r="4864">
      <c r="G4864">
        <f>G4863+0.0001</f>
        <v/>
      </c>
    </row>
    <row r="4865">
      <c r="G4865">
        <f>G4864+0.0001</f>
        <v/>
      </c>
    </row>
    <row r="4866">
      <c r="G4866">
        <f>G4865+0.0001</f>
        <v/>
      </c>
    </row>
    <row r="4867">
      <c r="G4867">
        <f>G4866+0.0001</f>
        <v/>
      </c>
    </row>
    <row r="4868">
      <c r="G4868">
        <f>G4867+0.0001</f>
        <v/>
      </c>
    </row>
    <row r="4869">
      <c r="G4869">
        <f>G4868+0.0001</f>
        <v/>
      </c>
    </row>
    <row r="4870">
      <c r="G4870">
        <f>G4869+0.0001</f>
        <v/>
      </c>
    </row>
    <row r="4871">
      <c r="G4871">
        <f>G4870+0.0001</f>
        <v/>
      </c>
    </row>
    <row r="4872">
      <c r="G4872">
        <f>G4871+0.0001</f>
        <v/>
      </c>
    </row>
    <row r="4873">
      <c r="G4873">
        <f>G4872+0.0001</f>
        <v/>
      </c>
    </row>
    <row r="4874">
      <c r="G4874">
        <f>G4873+0.0001</f>
        <v/>
      </c>
    </row>
    <row r="4875">
      <c r="G4875">
        <f>G4874+0.0001</f>
        <v/>
      </c>
    </row>
    <row r="4876">
      <c r="G4876">
        <f>G4875+0.0001</f>
        <v/>
      </c>
    </row>
    <row r="4877">
      <c r="G4877">
        <f>G4876+0.0001</f>
        <v/>
      </c>
    </row>
    <row r="4878">
      <c r="G4878">
        <f>G4877+0.0001</f>
        <v/>
      </c>
    </row>
    <row r="4879">
      <c r="G4879">
        <f>G4878+0.0001</f>
        <v/>
      </c>
    </row>
    <row r="4880">
      <c r="G4880">
        <f>G4879+0.0001</f>
        <v/>
      </c>
    </row>
    <row r="4881">
      <c r="G4881">
        <f>G4880+0.0001</f>
        <v/>
      </c>
    </row>
    <row r="4882">
      <c r="G4882">
        <f>G4881+0.0001</f>
        <v/>
      </c>
    </row>
    <row r="4883">
      <c r="G4883">
        <f>G4882+0.0001</f>
        <v/>
      </c>
    </row>
    <row r="4884">
      <c r="G4884">
        <f>G4883+0.0001</f>
        <v/>
      </c>
    </row>
    <row r="4885">
      <c r="G4885">
        <f>G4884+0.0001</f>
        <v/>
      </c>
    </row>
    <row r="4886">
      <c r="G4886">
        <f>G4885+0.0001</f>
        <v/>
      </c>
    </row>
    <row r="4887">
      <c r="G4887">
        <f>G4886+0.0001</f>
        <v/>
      </c>
    </row>
    <row r="4888">
      <c r="G4888">
        <f>G4887+0.0001</f>
        <v/>
      </c>
    </row>
    <row r="4889">
      <c r="G4889">
        <f>G4888+0.0001</f>
        <v/>
      </c>
    </row>
    <row r="4890">
      <c r="G4890">
        <f>G4889+0.0001</f>
        <v/>
      </c>
    </row>
    <row r="4891">
      <c r="G4891">
        <f>G4890+0.0001</f>
        <v/>
      </c>
    </row>
    <row r="4892">
      <c r="G4892">
        <f>G4891+0.0001</f>
        <v/>
      </c>
    </row>
    <row r="4893">
      <c r="G4893">
        <f>G4892+0.0001</f>
        <v/>
      </c>
    </row>
    <row r="4894">
      <c r="G4894">
        <f>G4893+0.0001</f>
        <v/>
      </c>
    </row>
    <row r="4895">
      <c r="G4895">
        <f>G4894+0.0001</f>
        <v/>
      </c>
    </row>
    <row r="4896">
      <c r="G4896">
        <f>G4895+0.0001</f>
        <v/>
      </c>
    </row>
    <row r="4897">
      <c r="G4897">
        <f>G4896+0.0001</f>
        <v/>
      </c>
    </row>
    <row r="4898">
      <c r="G4898">
        <f>G4897+0.0001</f>
        <v/>
      </c>
    </row>
    <row r="4899">
      <c r="G4899">
        <f>G4898+0.0001</f>
        <v/>
      </c>
    </row>
    <row r="4900">
      <c r="G4900">
        <f>G4899+0.0001</f>
        <v/>
      </c>
    </row>
    <row r="4901">
      <c r="G4901">
        <f>G4900+0.0001</f>
        <v/>
      </c>
    </row>
    <row r="4902">
      <c r="G4902">
        <f>G4901+0.0001</f>
        <v/>
      </c>
    </row>
    <row r="4903">
      <c r="G4903">
        <f>G4902+0.0001</f>
        <v/>
      </c>
    </row>
    <row r="4904">
      <c r="G4904">
        <f>G4903+0.0001</f>
        <v/>
      </c>
    </row>
    <row r="4905">
      <c r="G4905">
        <f>G4904+0.0001</f>
        <v/>
      </c>
    </row>
    <row r="4906">
      <c r="G4906">
        <f>G4905+0.0001</f>
        <v/>
      </c>
    </row>
    <row r="4907">
      <c r="G4907">
        <f>G4906+0.0001</f>
        <v/>
      </c>
    </row>
    <row r="4908">
      <c r="G4908">
        <f>G4907+0.0001</f>
        <v/>
      </c>
    </row>
    <row r="4909">
      <c r="G4909">
        <f>G4908+0.0001</f>
        <v/>
      </c>
    </row>
    <row r="4910">
      <c r="G4910">
        <f>G4909+0.0001</f>
        <v/>
      </c>
    </row>
    <row r="4911">
      <c r="G4911">
        <f>G4910+0.0001</f>
        <v/>
      </c>
    </row>
    <row r="4912">
      <c r="G4912">
        <f>G4911+0.0001</f>
        <v/>
      </c>
    </row>
    <row r="4913">
      <c r="G4913">
        <f>G4912+0.0001</f>
        <v/>
      </c>
    </row>
    <row r="4914">
      <c r="G4914">
        <f>G4913+0.0001</f>
        <v/>
      </c>
    </row>
    <row r="4915">
      <c r="G4915">
        <f>G4914+0.0001</f>
        <v/>
      </c>
    </row>
    <row r="4916">
      <c r="G4916">
        <f>G4915+0.0001</f>
        <v/>
      </c>
    </row>
    <row r="4917">
      <c r="G4917">
        <f>G4916+0.0001</f>
        <v/>
      </c>
    </row>
    <row r="4918">
      <c r="G4918">
        <f>G4917+0.0001</f>
        <v/>
      </c>
    </row>
    <row r="4919">
      <c r="G4919">
        <f>G4918+0.0001</f>
        <v/>
      </c>
    </row>
    <row r="4920">
      <c r="G4920">
        <f>G4919+0.0001</f>
        <v/>
      </c>
    </row>
    <row r="4921">
      <c r="G4921">
        <f>G4920+0.0001</f>
        <v/>
      </c>
    </row>
    <row r="4922">
      <c r="G4922">
        <f>G4921+0.0001</f>
        <v/>
      </c>
    </row>
    <row r="4923">
      <c r="G4923">
        <f>G4922+0.0001</f>
        <v/>
      </c>
    </row>
    <row r="4924">
      <c r="G4924">
        <f>G4923+0.0001</f>
        <v/>
      </c>
    </row>
    <row r="4925">
      <c r="G4925">
        <f>G4924+0.0001</f>
        <v/>
      </c>
    </row>
    <row r="4926">
      <c r="G4926">
        <f>G4925+0.0001</f>
        <v/>
      </c>
    </row>
    <row r="4927">
      <c r="G4927">
        <f>G4926+0.0001</f>
        <v/>
      </c>
    </row>
    <row r="4928">
      <c r="G4928">
        <f>G4927+0.0001</f>
        <v/>
      </c>
    </row>
    <row r="4929">
      <c r="G4929">
        <f>G4928+0.0001</f>
        <v/>
      </c>
    </row>
    <row r="4930">
      <c r="G4930">
        <f>G4929+0.0001</f>
        <v/>
      </c>
    </row>
    <row r="4931">
      <c r="G4931">
        <f>G4930+0.0001</f>
        <v/>
      </c>
    </row>
    <row r="4932">
      <c r="G4932">
        <f>G4931+0.0001</f>
        <v/>
      </c>
    </row>
    <row r="4933">
      <c r="G4933">
        <f>G4932+0.0001</f>
        <v/>
      </c>
    </row>
    <row r="4934">
      <c r="G4934">
        <f>G4933+0.0001</f>
        <v/>
      </c>
    </row>
    <row r="4935">
      <c r="G4935">
        <f>G4934+0.0001</f>
        <v/>
      </c>
    </row>
    <row r="4936">
      <c r="G4936">
        <f>G4935+0.0001</f>
        <v/>
      </c>
    </row>
    <row r="4937">
      <c r="G4937">
        <f>G4936+0.0001</f>
        <v/>
      </c>
    </row>
    <row r="4938">
      <c r="G4938">
        <f>G4937+0.0001</f>
        <v/>
      </c>
    </row>
    <row r="4939">
      <c r="G4939">
        <f>G4938+0.0001</f>
        <v/>
      </c>
    </row>
    <row r="4940">
      <c r="G4940">
        <f>G4939+0.0001</f>
        <v/>
      </c>
    </row>
    <row r="4941">
      <c r="G4941">
        <f>G4940+0.0001</f>
        <v/>
      </c>
    </row>
    <row r="4942">
      <c r="G4942">
        <f>G4941+0.0001</f>
        <v/>
      </c>
    </row>
    <row r="4943">
      <c r="G4943">
        <f>G4942+0.0001</f>
        <v/>
      </c>
    </row>
    <row r="4944">
      <c r="G4944">
        <f>G4943+0.0001</f>
        <v/>
      </c>
    </row>
    <row r="4945">
      <c r="G4945">
        <f>G4944+0.0001</f>
        <v/>
      </c>
    </row>
    <row r="4946">
      <c r="G4946">
        <f>G4945+0.0001</f>
        <v/>
      </c>
    </row>
    <row r="4947">
      <c r="G4947">
        <f>G4946+0.0001</f>
        <v/>
      </c>
    </row>
    <row r="4948">
      <c r="G4948">
        <f>G4947+0.0001</f>
        <v/>
      </c>
    </row>
    <row r="4949">
      <c r="G4949">
        <f>G4948+0.0001</f>
        <v/>
      </c>
    </row>
    <row r="4950">
      <c r="G4950">
        <f>G4949+0.0001</f>
        <v/>
      </c>
    </row>
    <row r="4951">
      <c r="G4951">
        <f>G4950+0.0001</f>
        <v/>
      </c>
    </row>
    <row r="4952">
      <c r="G4952">
        <f>G4951+0.0001</f>
        <v/>
      </c>
    </row>
    <row r="4953">
      <c r="G4953">
        <f>G4952+0.0001</f>
        <v/>
      </c>
    </row>
    <row r="4954">
      <c r="G4954">
        <f>G4953+0.0001</f>
        <v/>
      </c>
    </row>
    <row r="4955">
      <c r="G4955">
        <f>G4954+0.0001</f>
        <v/>
      </c>
    </row>
    <row r="4956">
      <c r="G4956">
        <f>G4955+0.0001</f>
        <v/>
      </c>
    </row>
    <row r="4957">
      <c r="G4957">
        <f>G4956+0.0001</f>
        <v/>
      </c>
    </row>
    <row r="4958">
      <c r="G4958">
        <f>G4957+0.0001</f>
        <v/>
      </c>
    </row>
    <row r="4959">
      <c r="G4959">
        <f>G4958+0.0001</f>
        <v/>
      </c>
    </row>
    <row r="4960">
      <c r="G4960">
        <f>G4959+0.0001</f>
        <v/>
      </c>
    </row>
    <row r="4961">
      <c r="G4961">
        <f>G4960+0.0001</f>
        <v/>
      </c>
    </row>
    <row r="4962">
      <c r="G4962">
        <f>G4961+0.0001</f>
        <v/>
      </c>
    </row>
    <row r="4963">
      <c r="G4963">
        <f>G4962+0.0001</f>
        <v/>
      </c>
    </row>
    <row r="4964">
      <c r="G4964">
        <f>G4963+0.0001</f>
        <v/>
      </c>
    </row>
    <row r="4965">
      <c r="G4965">
        <f>G4964+0.0001</f>
        <v/>
      </c>
    </row>
    <row r="4966">
      <c r="G4966">
        <f>G4965+0.0001</f>
        <v/>
      </c>
    </row>
    <row r="4967">
      <c r="G4967">
        <f>G4966+0.0001</f>
        <v/>
      </c>
    </row>
    <row r="4968">
      <c r="G4968">
        <f>G4967+0.0001</f>
        <v/>
      </c>
    </row>
    <row r="4969">
      <c r="G4969">
        <f>G4968+0.0001</f>
        <v/>
      </c>
    </row>
    <row r="4970">
      <c r="G4970">
        <f>G4969+0.0001</f>
        <v/>
      </c>
    </row>
    <row r="4971">
      <c r="G4971">
        <f>G4970+0.0001</f>
        <v/>
      </c>
    </row>
    <row r="4972">
      <c r="G4972">
        <f>G4971+0.0001</f>
        <v/>
      </c>
    </row>
    <row r="4973">
      <c r="G4973">
        <f>G4972+0.0001</f>
        <v/>
      </c>
    </row>
    <row r="4974">
      <c r="G4974">
        <f>G4973+0.0001</f>
        <v/>
      </c>
    </row>
    <row r="4975">
      <c r="G4975">
        <f>G4974+0.0001</f>
        <v/>
      </c>
    </row>
    <row r="4976">
      <c r="G4976">
        <f>G4975+0.0001</f>
        <v/>
      </c>
    </row>
    <row r="4977">
      <c r="G4977">
        <f>G4976+0.0001</f>
        <v/>
      </c>
    </row>
    <row r="4978">
      <c r="G4978">
        <f>G4977+0.0001</f>
        <v/>
      </c>
    </row>
    <row r="4979">
      <c r="G4979">
        <f>G4978+0.0001</f>
        <v/>
      </c>
    </row>
    <row r="4980">
      <c r="G4980">
        <f>G4979+0.0001</f>
        <v/>
      </c>
    </row>
    <row r="4981">
      <c r="G4981">
        <f>G4980+0.0001</f>
        <v/>
      </c>
    </row>
    <row r="4982">
      <c r="G4982">
        <f>G4981+0.0001</f>
        <v/>
      </c>
    </row>
    <row r="4983">
      <c r="G4983">
        <f>G4982+0.0001</f>
        <v/>
      </c>
    </row>
    <row r="4984">
      <c r="G4984">
        <f>G4983+0.0001</f>
        <v/>
      </c>
    </row>
    <row r="4985">
      <c r="G4985">
        <f>G4984+0.0001</f>
        <v/>
      </c>
    </row>
    <row r="4986">
      <c r="G4986">
        <f>G4985+0.0001</f>
        <v/>
      </c>
    </row>
    <row r="4987">
      <c r="G4987">
        <f>G4986+0.0001</f>
        <v/>
      </c>
    </row>
    <row r="4988">
      <c r="G4988">
        <f>G4987+0.0001</f>
        <v/>
      </c>
    </row>
    <row r="4989">
      <c r="G4989">
        <f>G4988+0.0001</f>
        <v/>
      </c>
    </row>
    <row r="4990">
      <c r="G4990">
        <f>G4989+0.0001</f>
        <v/>
      </c>
    </row>
    <row r="4991">
      <c r="G4991">
        <f>G4990+0.0001</f>
        <v/>
      </c>
    </row>
    <row r="4992">
      <c r="G4992">
        <f>G4991+0.0001</f>
        <v/>
      </c>
    </row>
    <row r="4993">
      <c r="G4993">
        <f>G4992+0.0001</f>
        <v/>
      </c>
    </row>
    <row r="4994">
      <c r="G4994">
        <f>G4993+0.0001</f>
        <v/>
      </c>
    </row>
    <row r="4995">
      <c r="G4995">
        <f>G4994+0.0001</f>
        <v/>
      </c>
    </row>
    <row r="4996">
      <c r="G4996">
        <f>G4995+0.0001</f>
        <v/>
      </c>
    </row>
    <row r="4997">
      <c r="G4997">
        <f>G4996+0.0001</f>
        <v/>
      </c>
    </row>
    <row r="4998">
      <c r="G4998">
        <f>G4997+0.0001</f>
        <v/>
      </c>
    </row>
    <row r="4999">
      <c r="G4999">
        <f>G4998+0.0001</f>
        <v/>
      </c>
    </row>
    <row r="5000">
      <c r="G5000">
        <f>G4999+0.0001</f>
        <v/>
      </c>
    </row>
    <row r="5001">
      <c r="G5001">
        <f>G5000+0.0001</f>
        <v/>
      </c>
    </row>
    <row r="5002">
      <c r="G5002">
        <f>G5001+0.0001</f>
        <v/>
      </c>
    </row>
    <row r="5003">
      <c r="G5003">
        <f>G5002+0.0001</f>
        <v/>
      </c>
    </row>
    <row r="5004">
      <c r="G5004">
        <f>G5003+0.0001</f>
        <v/>
      </c>
    </row>
    <row r="5005">
      <c r="G5005">
        <f>G5004+0.0001</f>
        <v/>
      </c>
    </row>
    <row r="5006">
      <c r="G5006">
        <f>G5005+0.0001</f>
        <v/>
      </c>
    </row>
    <row r="5007">
      <c r="G5007">
        <f>G5006+0.0001</f>
        <v/>
      </c>
    </row>
    <row r="5008">
      <c r="G5008">
        <f>G5007+0.0001</f>
        <v/>
      </c>
    </row>
    <row r="5009">
      <c r="G5009">
        <f>G5008+0.0001</f>
        <v/>
      </c>
    </row>
    <row r="5010">
      <c r="G5010">
        <f>G5009+0.0001</f>
        <v/>
      </c>
    </row>
    <row r="5011">
      <c r="G5011">
        <f>G5010+0.0001</f>
        <v/>
      </c>
    </row>
    <row r="5012">
      <c r="G5012">
        <f>G5011+0.0001</f>
        <v/>
      </c>
    </row>
    <row r="5013">
      <c r="G5013">
        <f>G5012+0.0001</f>
        <v/>
      </c>
    </row>
    <row r="5014">
      <c r="G5014">
        <f>G5013+0.0001</f>
        <v/>
      </c>
    </row>
    <row r="5015">
      <c r="G5015">
        <f>G5014+0.0001</f>
        <v/>
      </c>
    </row>
    <row r="5016">
      <c r="G5016">
        <f>G5015+0.0001</f>
        <v/>
      </c>
    </row>
    <row r="5017">
      <c r="G5017">
        <f>G5016+0.0001</f>
        <v/>
      </c>
    </row>
    <row r="5018">
      <c r="G5018">
        <f>G5017+0.0001</f>
        <v/>
      </c>
    </row>
    <row r="5019">
      <c r="G5019">
        <f>G5018+0.0001</f>
        <v/>
      </c>
    </row>
    <row r="5020">
      <c r="G5020">
        <f>G5019+0.0001</f>
        <v/>
      </c>
    </row>
    <row r="5021">
      <c r="G5021">
        <f>G5020+0.0001</f>
        <v/>
      </c>
    </row>
    <row r="5022">
      <c r="G5022">
        <f>G5021+0.0001</f>
        <v/>
      </c>
    </row>
    <row r="5023">
      <c r="G5023">
        <f>G5022+0.0001</f>
        <v/>
      </c>
    </row>
    <row r="5024">
      <c r="G5024">
        <f>G5023+0.0001</f>
        <v/>
      </c>
    </row>
    <row r="5025">
      <c r="G5025">
        <f>G5024+0.0001</f>
        <v/>
      </c>
    </row>
    <row r="5026">
      <c r="G5026">
        <f>G5025+0.0001</f>
        <v/>
      </c>
    </row>
    <row r="5027">
      <c r="G5027">
        <f>G5026+0.0001</f>
        <v/>
      </c>
    </row>
    <row r="5028">
      <c r="G5028">
        <f>G5027+0.0001</f>
        <v/>
      </c>
    </row>
    <row r="5029">
      <c r="G5029">
        <f>G5028+0.0001</f>
        <v/>
      </c>
    </row>
    <row r="5030">
      <c r="G5030">
        <f>G5029+0.0001</f>
        <v/>
      </c>
    </row>
    <row r="5031">
      <c r="G5031">
        <f>G5030+0.0001</f>
        <v/>
      </c>
    </row>
    <row r="5032">
      <c r="G5032">
        <f>G5031+0.0001</f>
        <v/>
      </c>
    </row>
    <row r="5033">
      <c r="G5033">
        <f>G5032+0.0001</f>
        <v/>
      </c>
    </row>
    <row r="5034">
      <c r="G5034">
        <f>G5033+0.0001</f>
        <v/>
      </c>
    </row>
    <row r="5035">
      <c r="G5035">
        <f>G5034+0.0001</f>
        <v/>
      </c>
    </row>
    <row r="5036">
      <c r="G5036">
        <f>G5035+0.0001</f>
        <v/>
      </c>
    </row>
    <row r="5037">
      <c r="G5037">
        <f>G5036+0.0001</f>
        <v/>
      </c>
    </row>
    <row r="5038">
      <c r="G5038">
        <f>G5037+0.0001</f>
        <v/>
      </c>
    </row>
    <row r="5039">
      <c r="G5039">
        <f>G5038+0.0001</f>
        <v/>
      </c>
    </row>
    <row r="5040">
      <c r="G5040">
        <f>G5039+0.0001</f>
        <v/>
      </c>
    </row>
    <row r="5041">
      <c r="G5041">
        <f>G5040+0.0001</f>
        <v/>
      </c>
    </row>
    <row r="5042">
      <c r="G5042">
        <f>G5041+0.0001</f>
        <v/>
      </c>
    </row>
    <row r="5043">
      <c r="G5043">
        <f>G5042+0.0001</f>
        <v/>
      </c>
    </row>
    <row r="5044">
      <c r="G5044">
        <f>G5043+0.0001</f>
        <v/>
      </c>
    </row>
    <row r="5045">
      <c r="G5045">
        <f>G5044+0.0001</f>
        <v/>
      </c>
    </row>
    <row r="5046">
      <c r="G5046">
        <f>G5045+0.0001</f>
        <v/>
      </c>
    </row>
    <row r="5047">
      <c r="G5047">
        <f>G5046+0.0001</f>
        <v/>
      </c>
    </row>
    <row r="5048">
      <c r="G5048">
        <f>G5047+0.0001</f>
        <v/>
      </c>
    </row>
    <row r="5049">
      <c r="G5049">
        <f>G5048+0.0001</f>
        <v/>
      </c>
    </row>
    <row r="5050">
      <c r="G5050">
        <f>G5049+0.0001</f>
        <v/>
      </c>
    </row>
    <row r="5051">
      <c r="G5051">
        <f>G5050+0.0001</f>
        <v/>
      </c>
    </row>
    <row r="5052">
      <c r="G5052">
        <f>G5051+0.0001</f>
        <v/>
      </c>
    </row>
    <row r="5053">
      <c r="G5053">
        <f>G5052+0.0001</f>
        <v/>
      </c>
    </row>
    <row r="5054">
      <c r="G5054">
        <f>G5053+0.0001</f>
        <v/>
      </c>
    </row>
    <row r="5055">
      <c r="G5055">
        <f>G5054+0.0001</f>
        <v/>
      </c>
    </row>
    <row r="5056">
      <c r="G5056">
        <f>G5055+0.0001</f>
        <v/>
      </c>
    </row>
    <row r="5057">
      <c r="G5057">
        <f>G5056+0.0001</f>
        <v/>
      </c>
    </row>
    <row r="5058">
      <c r="G5058">
        <f>G5057+0.0001</f>
        <v/>
      </c>
    </row>
    <row r="5059">
      <c r="G5059">
        <f>G5058+0.0001</f>
        <v/>
      </c>
    </row>
    <row r="5060">
      <c r="G5060">
        <f>G5059+0.0001</f>
        <v/>
      </c>
    </row>
    <row r="5061">
      <c r="G5061">
        <f>G5060+0.0001</f>
        <v/>
      </c>
    </row>
    <row r="5062">
      <c r="G5062">
        <f>G5061+0.0001</f>
        <v/>
      </c>
    </row>
    <row r="5063">
      <c r="G5063">
        <f>G5062+0.0001</f>
        <v/>
      </c>
    </row>
    <row r="5064">
      <c r="G5064">
        <f>G5063+0.0001</f>
        <v/>
      </c>
    </row>
    <row r="5065">
      <c r="G5065">
        <f>G5064+0.0001</f>
        <v/>
      </c>
    </row>
    <row r="5066">
      <c r="G5066">
        <f>G5065+0.0001</f>
        <v/>
      </c>
    </row>
    <row r="5067">
      <c r="G5067">
        <f>G5066+0.0001</f>
        <v/>
      </c>
    </row>
    <row r="5068">
      <c r="G5068">
        <f>G5067+0.0001</f>
        <v/>
      </c>
    </row>
    <row r="5069">
      <c r="G5069">
        <f>G5068+0.0001</f>
        <v/>
      </c>
    </row>
    <row r="5070">
      <c r="G5070">
        <f>G5069+0.0001</f>
        <v/>
      </c>
    </row>
    <row r="5071">
      <c r="G5071">
        <f>G5070+0.0001</f>
        <v/>
      </c>
    </row>
    <row r="5072">
      <c r="G5072">
        <f>G5071+0.0001</f>
        <v/>
      </c>
    </row>
    <row r="5073">
      <c r="G5073">
        <f>G5072+0.0001</f>
        <v/>
      </c>
    </row>
    <row r="5074">
      <c r="G5074">
        <f>G5073+0.0001</f>
        <v/>
      </c>
    </row>
    <row r="5075">
      <c r="G5075">
        <f>G5074+0.0001</f>
        <v/>
      </c>
    </row>
    <row r="5076">
      <c r="G5076">
        <f>G5075+0.0001</f>
        <v/>
      </c>
    </row>
    <row r="5077">
      <c r="G5077">
        <f>G5076+0.0001</f>
        <v/>
      </c>
    </row>
    <row r="5078">
      <c r="G5078">
        <f>G5077+0.0001</f>
        <v/>
      </c>
    </row>
    <row r="5079">
      <c r="G5079">
        <f>G5078+0.0001</f>
        <v/>
      </c>
    </row>
    <row r="5080">
      <c r="G5080">
        <f>G5079+0.0001</f>
        <v/>
      </c>
    </row>
    <row r="5081">
      <c r="G5081">
        <f>G5080+0.0001</f>
        <v/>
      </c>
    </row>
    <row r="5082">
      <c r="G5082">
        <f>G5081+0.0001</f>
        <v/>
      </c>
    </row>
    <row r="5083">
      <c r="G5083">
        <f>G5082+0.0001</f>
        <v/>
      </c>
    </row>
    <row r="5084">
      <c r="G5084">
        <f>G5083+0.0001</f>
        <v/>
      </c>
    </row>
    <row r="5085">
      <c r="G5085">
        <f>G5084+0.0001</f>
        <v/>
      </c>
    </row>
    <row r="5086">
      <c r="G5086">
        <f>G5085+0.0001</f>
        <v/>
      </c>
    </row>
    <row r="5087">
      <c r="G5087">
        <f>G5086+0.0001</f>
        <v/>
      </c>
    </row>
    <row r="5088">
      <c r="G5088">
        <f>G5087+0.0001</f>
        <v/>
      </c>
    </row>
    <row r="5089">
      <c r="G5089">
        <f>G5088+0.0001</f>
        <v/>
      </c>
    </row>
    <row r="5090">
      <c r="G5090">
        <f>G5089+0.0001</f>
        <v/>
      </c>
    </row>
    <row r="5091">
      <c r="G5091">
        <f>G5090+0.0001</f>
        <v/>
      </c>
    </row>
    <row r="5092">
      <c r="G5092">
        <f>G5091+0.0001</f>
        <v/>
      </c>
    </row>
    <row r="5093">
      <c r="G5093">
        <f>G5092+0.0001</f>
        <v/>
      </c>
    </row>
    <row r="5094">
      <c r="G5094">
        <f>G5093+0.0001</f>
        <v/>
      </c>
    </row>
    <row r="5095">
      <c r="G5095">
        <f>G5094+0.0001</f>
        <v/>
      </c>
    </row>
    <row r="5096">
      <c r="G5096">
        <f>G5095+0.0001</f>
        <v/>
      </c>
    </row>
    <row r="5097">
      <c r="G5097">
        <f>G5096+0.0001</f>
        <v/>
      </c>
    </row>
    <row r="5098">
      <c r="G5098">
        <f>G5097+0.0001</f>
        <v/>
      </c>
    </row>
    <row r="5099">
      <c r="G5099">
        <f>G5098+0.0001</f>
        <v/>
      </c>
    </row>
    <row r="5100">
      <c r="G5100">
        <f>G5099+0.0001</f>
        <v/>
      </c>
    </row>
    <row r="5101">
      <c r="G5101">
        <f>G5100+0.0001</f>
        <v/>
      </c>
    </row>
    <row r="5102">
      <c r="G5102">
        <f>G5101+0.0001</f>
        <v/>
      </c>
    </row>
    <row r="5103">
      <c r="G5103">
        <f>G5102+0.0001</f>
        <v/>
      </c>
    </row>
    <row r="5104">
      <c r="G5104">
        <f>G5103+0.0001</f>
        <v/>
      </c>
    </row>
    <row r="5105">
      <c r="G5105">
        <f>G5104+0.0001</f>
        <v/>
      </c>
    </row>
    <row r="5106">
      <c r="G5106">
        <f>G5105+0.0001</f>
        <v/>
      </c>
    </row>
    <row r="5107">
      <c r="G5107">
        <f>G5106+0.0001</f>
        <v/>
      </c>
    </row>
    <row r="5108">
      <c r="G5108">
        <f>G5107+0.0001</f>
        <v/>
      </c>
    </row>
    <row r="5109">
      <c r="G5109">
        <f>G5108+0.0001</f>
        <v/>
      </c>
    </row>
    <row r="5110">
      <c r="G5110">
        <f>G5109+0.0001</f>
        <v/>
      </c>
    </row>
    <row r="5111">
      <c r="G5111">
        <f>G5110+0.0001</f>
        <v/>
      </c>
    </row>
    <row r="5112">
      <c r="G5112">
        <f>G5111+0.0001</f>
        <v/>
      </c>
    </row>
    <row r="5113">
      <c r="G5113">
        <f>G5112+0.0001</f>
        <v/>
      </c>
    </row>
    <row r="5114">
      <c r="G5114">
        <f>G5113+0.0001</f>
        <v/>
      </c>
    </row>
    <row r="5115">
      <c r="G5115">
        <f>G5114+0.0001</f>
        <v/>
      </c>
    </row>
    <row r="5116">
      <c r="G5116">
        <f>G5115+0.0001</f>
        <v/>
      </c>
    </row>
    <row r="5117">
      <c r="G5117">
        <f>G5116+0.0001</f>
        <v/>
      </c>
    </row>
    <row r="5118">
      <c r="G5118">
        <f>G5117+0.0001</f>
        <v/>
      </c>
    </row>
    <row r="5119">
      <c r="G5119">
        <f>G5118+0.0001</f>
        <v/>
      </c>
    </row>
    <row r="5120">
      <c r="G5120">
        <f>G5119+0.0001</f>
        <v/>
      </c>
    </row>
    <row r="5121">
      <c r="G5121">
        <f>G5120+0.0001</f>
        <v/>
      </c>
    </row>
    <row r="5122">
      <c r="G5122">
        <f>G5121+0.0001</f>
        <v/>
      </c>
    </row>
    <row r="5123">
      <c r="G5123">
        <f>G5122+0.0001</f>
        <v/>
      </c>
    </row>
    <row r="5124">
      <c r="G5124">
        <f>G5123+0.0001</f>
        <v/>
      </c>
    </row>
    <row r="5125">
      <c r="G5125">
        <f>G5124+0.0001</f>
        <v/>
      </c>
    </row>
    <row r="5126">
      <c r="G5126">
        <f>G5125+0.0001</f>
        <v/>
      </c>
    </row>
    <row r="5127">
      <c r="G5127">
        <f>G5126+0.0001</f>
        <v/>
      </c>
    </row>
    <row r="5128">
      <c r="G5128">
        <f>G5127+0.0001</f>
        <v/>
      </c>
    </row>
    <row r="5129">
      <c r="G5129">
        <f>G5128+0.0001</f>
        <v/>
      </c>
    </row>
    <row r="5130">
      <c r="G5130">
        <f>G5129+0.0001</f>
        <v/>
      </c>
    </row>
    <row r="5131">
      <c r="G5131">
        <f>G5130+0.0001</f>
        <v/>
      </c>
    </row>
    <row r="5132">
      <c r="G5132">
        <f>G5131+0.0001</f>
        <v/>
      </c>
    </row>
    <row r="5133">
      <c r="G5133">
        <f>G5132+0.0001</f>
        <v/>
      </c>
    </row>
    <row r="5134">
      <c r="G5134">
        <f>G5133+0.0001</f>
        <v/>
      </c>
    </row>
    <row r="5135">
      <c r="G5135">
        <f>G5134+0.0001</f>
        <v/>
      </c>
    </row>
    <row r="5136">
      <c r="G5136">
        <f>G5135+0.0001</f>
        <v/>
      </c>
    </row>
    <row r="5137">
      <c r="G5137">
        <f>G5136+0.0001</f>
        <v/>
      </c>
    </row>
    <row r="5138">
      <c r="G5138">
        <f>G5137+0.0001</f>
        <v/>
      </c>
    </row>
    <row r="5139">
      <c r="G5139">
        <f>G5138+0.0001</f>
        <v/>
      </c>
    </row>
    <row r="5140">
      <c r="G5140">
        <f>G5139+0.0001</f>
        <v/>
      </c>
    </row>
    <row r="5141">
      <c r="G5141">
        <f>G5140+0.0001</f>
        <v/>
      </c>
    </row>
    <row r="5142">
      <c r="G5142">
        <f>G5141+0.0001</f>
        <v/>
      </c>
    </row>
    <row r="5143">
      <c r="G5143">
        <f>G5142+0.0001</f>
        <v/>
      </c>
    </row>
    <row r="5144">
      <c r="G5144">
        <f>G5143+0.0001</f>
        <v/>
      </c>
    </row>
    <row r="5145">
      <c r="G5145">
        <f>G5144+0.0001</f>
        <v/>
      </c>
    </row>
    <row r="5146">
      <c r="G5146">
        <f>G5145+0.0001</f>
        <v/>
      </c>
    </row>
    <row r="5147">
      <c r="G5147">
        <f>G5146+0.0001</f>
        <v/>
      </c>
    </row>
    <row r="5148">
      <c r="G5148">
        <f>G5147+0.0001</f>
        <v/>
      </c>
    </row>
    <row r="5149">
      <c r="G5149">
        <f>G5148+0.0001</f>
        <v/>
      </c>
    </row>
    <row r="5150">
      <c r="G5150">
        <f>G5149+0.0001</f>
        <v/>
      </c>
    </row>
    <row r="5151">
      <c r="G5151">
        <f>G5150+0.0001</f>
        <v/>
      </c>
    </row>
    <row r="5152">
      <c r="G5152">
        <f>G5151+0.0001</f>
        <v/>
      </c>
    </row>
    <row r="5153">
      <c r="G5153">
        <f>G5152+0.0001</f>
        <v/>
      </c>
    </row>
    <row r="5154">
      <c r="G5154">
        <f>G5153+0.0001</f>
        <v/>
      </c>
    </row>
    <row r="5155">
      <c r="G5155">
        <f>G5154+0.0001</f>
        <v/>
      </c>
    </row>
    <row r="5156">
      <c r="G5156">
        <f>G5155+0.0001</f>
        <v/>
      </c>
    </row>
    <row r="5157">
      <c r="G5157">
        <f>G5156+0.0001</f>
        <v/>
      </c>
    </row>
    <row r="5158">
      <c r="G5158">
        <f>G5157+0.0001</f>
        <v/>
      </c>
    </row>
    <row r="5159">
      <c r="G5159">
        <f>G5158+0.0001</f>
        <v/>
      </c>
    </row>
    <row r="5160">
      <c r="G5160">
        <f>G5159+0.0001</f>
        <v/>
      </c>
    </row>
    <row r="5161">
      <c r="G5161">
        <f>G5160+0.0001</f>
        <v/>
      </c>
    </row>
    <row r="5162">
      <c r="G5162">
        <f>G5161+0.0001</f>
        <v/>
      </c>
    </row>
    <row r="5163">
      <c r="G5163">
        <f>G5162+0.0001</f>
        <v/>
      </c>
    </row>
    <row r="5164">
      <c r="G5164">
        <f>G5163+0.0001</f>
        <v/>
      </c>
    </row>
    <row r="5165">
      <c r="G5165">
        <f>G5164+0.0001</f>
        <v/>
      </c>
    </row>
    <row r="5166">
      <c r="G5166">
        <f>G5165+0.0001</f>
        <v/>
      </c>
    </row>
    <row r="5167">
      <c r="G5167">
        <f>G5166+0.0001</f>
        <v/>
      </c>
    </row>
    <row r="5168">
      <c r="G5168">
        <f>G5167+0.0001</f>
        <v/>
      </c>
    </row>
    <row r="5169">
      <c r="G5169">
        <f>G5168+0.0001</f>
        <v/>
      </c>
    </row>
    <row r="5170">
      <c r="G5170">
        <f>G5169+0.0001</f>
        <v/>
      </c>
    </row>
    <row r="5171">
      <c r="G5171">
        <f>G5170+0.0001</f>
        <v/>
      </c>
    </row>
    <row r="5172">
      <c r="G5172">
        <f>G5171+0.0001</f>
        <v/>
      </c>
    </row>
    <row r="5173">
      <c r="G5173">
        <f>G5172+0.0001</f>
        <v/>
      </c>
    </row>
    <row r="5174">
      <c r="G5174">
        <f>G5173+0.0001</f>
        <v/>
      </c>
    </row>
    <row r="5175">
      <c r="G5175">
        <f>G5174+0.0001</f>
        <v/>
      </c>
    </row>
    <row r="5176">
      <c r="G5176">
        <f>G5175+0.0001</f>
        <v/>
      </c>
    </row>
    <row r="5177">
      <c r="G5177">
        <f>G5176+0.0001</f>
        <v/>
      </c>
    </row>
    <row r="5178">
      <c r="G5178">
        <f>G5177+0.0001</f>
        <v/>
      </c>
    </row>
    <row r="5179">
      <c r="G5179">
        <f>G5178+0.0001</f>
        <v/>
      </c>
    </row>
    <row r="5180">
      <c r="G5180">
        <f>G5179+0.0001</f>
        <v/>
      </c>
    </row>
    <row r="5181">
      <c r="G5181">
        <f>G5180+0.0001</f>
        <v/>
      </c>
    </row>
    <row r="5182">
      <c r="G5182">
        <f>G5181+0.0001</f>
        <v/>
      </c>
    </row>
    <row r="5183">
      <c r="G5183">
        <f>G5182+0.0001</f>
        <v/>
      </c>
    </row>
    <row r="5184">
      <c r="G5184">
        <f>G5183+0.0001</f>
        <v/>
      </c>
    </row>
    <row r="5185">
      <c r="G5185">
        <f>G5184+0.0001</f>
        <v/>
      </c>
    </row>
    <row r="5186">
      <c r="G5186">
        <f>G5185+0.0001</f>
        <v/>
      </c>
    </row>
    <row r="5187">
      <c r="G5187">
        <f>G5186+0.0001</f>
        <v/>
      </c>
    </row>
    <row r="5188">
      <c r="G5188">
        <f>G5187+0.0001</f>
        <v/>
      </c>
    </row>
    <row r="5189">
      <c r="G5189">
        <f>G5188+0.0001</f>
        <v/>
      </c>
    </row>
    <row r="5190">
      <c r="G5190">
        <f>G5189+0.0001</f>
        <v/>
      </c>
    </row>
    <row r="5191">
      <c r="G5191">
        <f>G5190+0.0001</f>
        <v/>
      </c>
    </row>
    <row r="5192">
      <c r="G5192">
        <f>G5191+0.0001</f>
        <v/>
      </c>
    </row>
    <row r="5193">
      <c r="G5193">
        <f>G5192+0.0001</f>
        <v/>
      </c>
    </row>
    <row r="5194">
      <c r="G5194">
        <f>G5193+0.0001</f>
        <v/>
      </c>
    </row>
    <row r="5195">
      <c r="G5195">
        <f>G5194+0.0001</f>
        <v/>
      </c>
    </row>
    <row r="5196">
      <c r="G5196">
        <f>G5195+0.0001</f>
        <v/>
      </c>
    </row>
    <row r="5197">
      <c r="G5197">
        <f>G5196+0.0001</f>
        <v/>
      </c>
    </row>
    <row r="5198">
      <c r="G5198">
        <f>G5197+0.0001</f>
        <v/>
      </c>
    </row>
    <row r="5199">
      <c r="G5199">
        <f>G5198+0.0001</f>
        <v/>
      </c>
    </row>
    <row r="5200">
      <c r="G5200">
        <f>G5199+0.0001</f>
        <v/>
      </c>
    </row>
    <row r="5201">
      <c r="G5201">
        <f>G5200+0.0001</f>
        <v/>
      </c>
    </row>
    <row r="5202">
      <c r="G5202">
        <f>G5201+0.0001</f>
        <v/>
      </c>
    </row>
    <row r="5203">
      <c r="G5203">
        <f>G5202+0.0001</f>
        <v/>
      </c>
    </row>
    <row r="5204">
      <c r="G5204">
        <f>G5203+0.0001</f>
        <v/>
      </c>
    </row>
    <row r="5205">
      <c r="G5205">
        <f>G5204+0.0001</f>
        <v/>
      </c>
    </row>
    <row r="5206">
      <c r="G5206">
        <f>G5205+0.0001</f>
        <v/>
      </c>
    </row>
    <row r="5207">
      <c r="G5207">
        <f>G5206+0.0001</f>
        <v/>
      </c>
    </row>
    <row r="5208">
      <c r="G5208">
        <f>G5207+0.0001</f>
        <v/>
      </c>
    </row>
    <row r="5209">
      <c r="G5209">
        <f>G5208+0.0001</f>
        <v/>
      </c>
    </row>
    <row r="5210">
      <c r="G5210">
        <f>G5209+0.0001</f>
        <v/>
      </c>
    </row>
    <row r="5211">
      <c r="G5211">
        <f>G5210+0.0001</f>
        <v/>
      </c>
    </row>
    <row r="5212">
      <c r="G5212">
        <f>G5211+0.0001</f>
        <v/>
      </c>
    </row>
    <row r="5213">
      <c r="G5213">
        <f>G5212+0.0001</f>
        <v/>
      </c>
    </row>
    <row r="5214">
      <c r="G5214">
        <f>G5213+0.0001</f>
        <v/>
      </c>
    </row>
    <row r="5215">
      <c r="G5215">
        <f>G5214+0.0001</f>
        <v/>
      </c>
    </row>
    <row r="5216">
      <c r="G5216">
        <f>G5215+0.0001</f>
        <v/>
      </c>
    </row>
    <row r="5217">
      <c r="G5217">
        <f>G5216+0.0001</f>
        <v/>
      </c>
    </row>
    <row r="5218">
      <c r="G5218">
        <f>G5217+0.0001</f>
        <v/>
      </c>
    </row>
    <row r="5219">
      <c r="G5219">
        <f>G5218+0.0001</f>
        <v/>
      </c>
    </row>
    <row r="5220">
      <c r="G5220">
        <f>G5219+0.0001</f>
        <v/>
      </c>
    </row>
    <row r="5221">
      <c r="G5221">
        <f>G5220+0.0001</f>
        <v/>
      </c>
    </row>
    <row r="5222">
      <c r="G5222">
        <f>G5221+0.0001</f>
        <v/>
      </c>
    </row>
    <row r="5223">
      <c r="G5223">
        <f>G5222+0.0001</f>
        <v/>
      </c>
    </row>
    <row r="5224">
      <c r="G5224">
        <f>G5223+0.0001</f>
        <v/>
      </c>
    </row>
    <row r="5225">
      <c r="G5225">
        <f>G5224+0.0001</f>
        <v/>
      </c>
    </row>
    <row r="5226">
      <c r="G5226">
        <f>G5225+0.0001</f>
        <v/>
      </c>
    </row>
    <row r="5227">
      <c r="G5227">
        <f>G5226+0.0001</f>
        <v/>
      </c>
    </row>
    <row r="5228">
      <c r="G5228">
        <f>G5227+0.0001</f>
        <v/>
      </c>
    </row>
    <row r="5229">
      <c r="G5229">
        <f>G5228+0.0001</f>
        <v/>
      </c>
    </row>
    <row r="5230">
      <c r="G5230">
        <f>G5229+0.0001</f>
        <v/>
      </c>
    </row>
    <row r="5231">
      <c r="G5231">
        <f>G5230+0.0001</f>
        <v/>
      </c>
    </row>
    <row r="5232">
      <c r="G5232">
        <f>G5231+0.0001</f>
        <v/>
      </c>
    </row>
    <row r="5233">
      <c r="G5233">
        <f>G5232+0.0001</f>
        <v/>
      </c>
    </row>
    <row r="5234">
      <c r="G5234">
        <f>G5233+0.0001</f>
        <v/>
      </c>
    </row>
    <row r="5235">
      <c r="G5235">
        <f>G5234+0.0001</f>
        <v/>
      </c>
    </row>
    <row r="5236">
      <c r="G5236">
        <f>G5235+0.0001</f>
        <v/>
      </c>
    </row>
    <row r="5237">
      <c r="G5237">
        <f>G5236+0.0001</f>
        <v/>
      </c>
    </row>
    <row r="5238">
      <c r="G5238">
        <f>G5237+0.0001</f>
        <v/>
      </c>
    </row>
    <row r="5239">
      <c r="G5239">
        <f>G5238+0.0001</f>
        <v/>
      </c>
    </row>
    <row r="5240">
      <c r="G5240">
        <f>G5239+0.0001</f>
        <v/>
      </c>
    </row>
    <row r="5241">
      <c r="G5241">
        <f>G5240+0.0001</f>
        <v/>
      </c>
    </row>
    <row r="5242">
      <c r="G5242">
        <f>G5241+0.0001</f>
        <v/>
      </c>
    </row>
    <row r="5243">
      <c r="G5243">
        <f>G5242+0.0001</f>
        <v/>
      </c>
    </row>
    <row r="5244">
      <c r="G5244">
        <f>G5243+0.0001</f>
        <v/>
      </c>
    </row>
    <row r="5245">
      <c r="G5245">
        <f>G5244+0.0001</f>
        <v/>
      </c>
    </row>
    <row r="5246">
      <c r="G5246">
        <f>G5245+0.0001</f>
        <v/>
      </c>
    </row>
    <row r="5247">
      <c r="G5247">
        <f>G5246+0.0001</f>
        <v/>
      </c>
    </row>
    <row r="5248">
      <c r="G5248">
        <f>G5247+0.0001</f>
        <v/>
      </c>
    </row>
    <row r="5249">
      <c r="G5249">
        <f>G5248+0.0001</f>
        <v/>
      </c>
    </row>
    <row r="5250">
      <c r="G5250">
        <f>G5249+0.0001</f>
        <v/>
      </c>
    </row>
    <row r="5251">
      <c r="G5251">
        <f>G5250+0.0001</f>
        <v/>
      </c>
    </row>
    <row r="5252">
      <c r="G5252">
        <f>G5251+0.0001</f>
        <v/>
      </c>
    </row>
    <row r="5253">
      <c r="G5253">
        <f>G5252+0.0001</f>
        <v/>
      </c>
    </row>
    <row r="5254">
      <c r="G5254">
        <f>G5253+0.0001</f>
        <v/>
      </c>
    </row>
    <row r="5255">
      <c r="G5255">
        <f>G5254+0.0001</f>
        <v/>
      </c>
    </row>
    <row r="5256">
      <c r="G5256">
        <f>G5255+0.0001</f>
        <v/>
      </c>
    </row>
    <row r="5257">
      <c r="G5257">
        <f>G5256+0.0001</f>
        <v/>
      </c>
    </row>
    <row r="5258">
      <c r="G5258">
        <f>G5257+0.0001</f>
        <v/>
      </c>
    </row>
    <row r="5259">
      <c r="G5259">
        <f>G5258+0.0001</f>
        <v/>
      </c>
    </row>
    <row r="5260">
      <c r="G5260">
        <f>G5259+0.0001</f>
        <v/>
      </c>
    </row>
    <row r="5261">
      <c r="G5261">
        <f>G5260+0.0001</f>
        <v/>
      </c>
    </row>
    <row r="5262">
      <c r="G5262">
        <f>G5261+0.0001</f>
        <v/>
      </c>
    </row>
    <row r="5263">
      <c r="G5263">
        <f>G5262+0.0001</f>
        <v/>
      </c>
    </row>
    <row r="5264">
      <c r="G5264">
        <f>G5263+0.0001</f>
        <v/>
      </c>
    </row>
    <row r="5265">
      <c r="G5265">
        <f>G5264+0.0001</f>
        <v/>
      </c>
    </row>
    <row r="5266">
      <c r="G5266">
        <f>G5265+0.0001</f>
        <v/>
      </c>
    </row>
    <row r="5267">
      <c r="G5267">
        <f>G5266+0.0001</f>
        <v/>
      </c>
    </row>
    <row r="5268">
      <c r="G5268">
        <f>G5267+0.0001</f>
        <v/>
      </c>
    </row>
    <row r="5269">
      <c r="G5269">
        <f>G5268+0.0001</f>
        <v/>
      </c>
    </row>
    <row r="5270">
      <c r="G5270">
        <f>G5269+0.0001</f>
        <v/>
      </c>
    </row>
    <row r="5271">
      <c r="G5271">
        <f>G5270+0.0001</f>
        <v/>
      </c>
    </row>
    <row r="5272">
      <c r="G5272">
        <f>G5271+0.0001</f>
        <v/>
      </c>
    </row>
    <row r="5273">
      <c r="G5273">
        <f>G5272+0.0001</f>
        <v/>
      </c>
    </row>
    <row r="5274">
      <c r="G5274">
        <f>G5273+0.0001</f>
        <v/>
      </c>
    </row>
    <row r="5275">
      <c r="G5275">
        <f>G5274+0.0001</f>
        <v/>
      </c>
    </row>
    <row r="5276">
      <c r="G5276">
        <f>G5275+0.0001</f>
        <v/>
      </c>
    </row>
    <row r="5277">
      <c r="G5277">
        <f>G5276+0.0001</f>
        <v/>
      </c>
    </row>
    <row r="5278">
      <c r="G5278">
        <f>G5277+0.0001</f>
        <v/>
      </c>
    </row>
    <row r="5279">
      <c r="G5279">
        <f>G5278+0.0001</f>
        <v/>
      </c>
    </row>
    <row r="5280">
      <c r="G5280">
        <f>G5279+0.0001</f>
        <v/>
      </c>
    </row>
    <row r="5281">
      <c r="G5281">
        <f>G5280+0.0001</f>
        <v/>
      </c>
    </row>
    <row r="5282">
      <c r="G5282">
        <f>G5281+0.0001</f>
        <v/>
      </c>
    </row>
    <row r="5283">
      <c r="G5283">
        <f>G5282+0.0001</f>
        <v/>
      </c>
    </row>
    <row r="5284">
      <c r="G5284">
        <f>G5283+0.0001</f>
        <v/>
      </c>
    </row>
    <row r="5285">
      <c r="G5285">
        <f>G5284+0.0001</f>
        <v/>
      </c>
    </row>
    <row r="5286">
      <c r="G5286">
        <f>G5285+0.0001</f>
        <v/>
      </c>
    </row>
    <row r="5287">
      <c r="G5287">
        <f>G5286+0.0001</f>
        <v/>
      </c>
    </row>
    <row r="5288">
      <c r="G5288">
        <f>G5287+0.0001</f>
        <v/>
      </c>
    </row>
    <row r="5289">
      <c r="G5289">
        <f>G5288+0.0001</f>
        <v/>
      </c>
    </row>
    <row r="5290">
      <c r="G5290">
        <f>G5289+0.0001</f>
        <v/>
      </c>
    </row>
    <row r="5291">
      <c r="G5291">
        <f>G5290+0.0001</f>
        <v/>
      </c>
    </row>
    <row r="5292">
      <c r="G5292">
        <f>G5291+0.0001</f>
        <v/>
      </c>
    </row>
    <row r="5293">
      <c r="G5293">
        <f>G5292+0.0001</f>
        <v/>
      </c>
    </row>
    <row r="5294">
      <c r="G5294">
        <f>G5293+0.0001</f>
        <v/>
      </c>
    </row>
    <row r="5295">
      <c r="G5295">
        <f>G5294+0.0001</f>
        <v/>
      </c>
    </row>
    <row r="5296">
      <c r="G5296">
        <f>G5295+0.0001</f>
        <v/>
      </c>
    </row>
    <row r="5297">
      <c r="G5297">
        <f>G5296+0.0001</f>
        <v/>
      </c>
    </row>
    <row r="5298">
      <c r="G5298">
        <f>G5297+0.0001</f>
        <v/>
      </c>
    </row>
    <row r="5299">
      <c r="G5299">
        <f>G5298+0.0001</f>
        <v/>
      </c>
    </row>
    <row r="5300">
      <c r="G5300">
        <f>G5299+0.0001</f>
        <v/>
      </c>
    </row>
    <row r="5301">
      <c r="G5301">
        <f>G5300+0.0001</f>
        <v/>
      </c>
    </row>
    <row r="5302">
      <c r="G5302">
        <f>G5301+0.0001</f>
        <v/>
      </c>
    </row>
    <row r="5303">
      <c r="G5303">
        <f>G5302+0.0001</f>
        <v/>
      </c>
    </row>
    <row r="5304">
      <c r="G5304">
        <f>G5303+0.0001</f>
        <v/>
      </c>
    </row>
    <row r="5305">
      <c r="G5305">
        <f>G5304+0.0001</f>
        <v/>
      </c>
    </row>
    <row r="5306">
      <c r="G5306">
        <f>G5305+0.0001</f>
        <v/>
      </c>
    </row>
    <row r="5307">
      <c r="G5307">
        <f>G5306+0.0001</f>
        <v/>
      </c>
    </row>
    <row r="5308">
      <c r="G5308">
        <f>G5307+0.0001</f>
        <v/>
      </c>
    </row>
    <row r="5309">
      <c r="G5309">
        <f>G5308+0.0001</f>
        <v/>
      </c>
    </row>
    <row r="5310">
      <c r="G5310">
        <f>G5309+0.0001</f>
        <v/>
      </c>
    </row>
    <row r="5311">
      <c r="G5311">
        <f>G5310+0.0001</f>
        <v/>
      </c>
    </row>
    <row r="5312">
      <c r="G5312">
        <f>G5311+0.0001</f>
        <v/>
      </c>
    </row>
    <row r="5313">
      <c r="G5313">
        <f>G5312+0.0001</f>
        <v/>
      </c>
    </row>
    <row r="5314">
      <c r="G5314">
        <f>G5313+0.0001</f>
        <v/>
      </c>
    </row>
    <row r="5315">
      <c r="G5315">
        <f>G5314+0.0001</f>
        <v/>
      </c>
    </row>
    <row r="5316">
      <c r="G5316">
        <f>G5315+0.0001</f>
        <v/>
      </c>
    </row>
    <row r="5317">
      <c r="G5317">
        <f>G5316+0.0001</f>
        <v/>
      </c>
    </row>
    <row r="5318">
      <c r="G5318">
        <f>G5317+0.0001</f>
        <v/>
      </c>
    </row>
    <row r="5319">
      <c r="G5319">
        <f>G5318+0.0001</f>
        <v/>
      </c>
    </row>
    <row r="5320">
      <c r="G5320">
        <f>G5319+0.0001</f>
        <v/>
      </c>
    </row>
    <row r="5321">
      <c r="G5321">
        <f>G5320+0.0001</f>
        <v/>
      </c>
    </row>
    <row r="5322">
      <c r="G5322">
        <f>G5321+0.0001</f>
        <v/>
      </c>
    </row>
    <row r="5323">
      <c r="G5323">
        <f>G5322+0.0001</f>
        <v/>
      </c>
    </row>
    <row r="5324">
      <c r="G5324">
        <f>G5323+0.0001</f>
        <v/>
      </c>
    </row>
    <row r="5325">
      <c r="G5325">
        <f>G5324+0.0001</f>
        <v/>
      </c>
    </row>
    <row r="5326">
      <c r="G5326">
        <f>G5325+0.0001</f>
        <v/>
      </c>
    </row>
    <row r="5327">
      <c r="G5327">
        <f>G5326+0.0001</f>
        <v/>
      </c>
    </row>
    <row r="5328">
      <c r="G5328">
        <f>G5327+0.0001</f>
        <v/>
      </c>
    </row>
    <row r="5329">
      <c r="G5329">
        <f>G5328+0.0001</f>
        <v/>
      </c>
    </row>
    <row r="5330">
      <c r="G5330">
        <f>G5329+0.0001</f>
        <v/>
      </c>
    </row>
    <row r="5331">
      <c r="G5331">
        <f>G5330+0.0001</f>
        <v/>
      </c>
    </row>
    <row r="5332">
      <c r="G5332">
        <f>G5331+0.0001</f>
        <v/>
      </c>
    </row>
    <row r="5333">
      <c r="G5333">
        <f>G5332+0.0001</f>
        <v/>
      </c>
    </row>
    <row r="5334">
      <c r="G5334">
        <f>G5333+0.0001</f>
        <v/>
      </c>
    </row>
    <row r="5335">
      <c r="G5335">
        <f>G5334+0.0001</f>
        <v/>
      </c>
    </row>
    <row r="5336">
      <c r="G5336">
        <f>G5335+0.0001</f>
        <v/>
      </c>
    </row>
    <row r="5337">
      <c r="G5337">
        <f>G5336+0.0001</f>
        <v/>
      </c>
    </row>
    <row r="5338">
      <c r="G5338">
        <f>G5337+0.0001</f>
        <v/>
      </c>
    </row>
    <row r="5339">
      <c r="G5339">
        <f>G5338+0.0001</f>
        <v/>
      </c>
    </row>
    <row r="5340">
      <c r="G5340">
        <f>G5339+0.0001</f>
        <v/>
      </c>
    </row>
    <row r="5341">
      <c r="G5341">
        <f>G5340+0.0001</f>
        <v/>
      </c>
    </row>
    <row r="5342">
      <c r="G5342">
        <f>G5341+0.0001</f>
        <v/>
      </c>
    </row>
    <row r="5343">
      <c r="G5343">
        <f>G5342+0.0001</f>
        <v/>
      </c>
    </row>
    <row r="5344">
      <c r="G5344">
        <f>G5343+0.0001</f>
        <v/>
      </c>
    </row>
    <row r="5345">
      <c r="G5345">
        <f>G5344+0.0001</f>
        <v/>
      </c>
    </row>
    <row r="5346">
      <c r="G5346">
        <f>G5345+0.0001</f>
        <v/>
      </c>
    </row>
    <row r="5347">
      <c r="G5347">
        <f>G5346+0.0001</f>
        <v/>
      </c>
    </row>
    <row r="5348">
      <c r="G5348">
        <f>G5347+0.0001</f>
        <v/>
      </c>
    </row>
    <row r="5349">
      <c r="G5349">
        <f>G5348+0.0001</f>
        <v/>
      </c>
    </row>
    <row r="5350">
      <c r="G5350">
        <f>G5349+0.0001</f>
        <v/>
      </c>
    </row>
    <row r="5351">
      <c r="G5351">
        <f>G5350+0.0001</f>
        <v/>
      </c>
    </row>
    <row r="5352">
      <c r="G5352">
        <f>G5351+0.0001</f>
        <v/>
      </c>
    </row>
    <row r="5353">
      <c r="G5353">
        <f>G5352+0.0001</f>
        <v/>
      </c>
    </row>
    <row r="5354">
      <c r="G5354">
        <f>G5353+0.0001</f>
        <v/>
      </c>
    </row>
    <row r="5355">
      <c r="G5355">
        <f>G5354+0.0001</f>
        <v/>
      </c>
    </row>
    <row r="5356">
      <c r="G5356">
        <f>G5355+0.0001</f>
        <v/>
      </c>
    </row>
    <row r="5357">
      <c r="G5357">
        <f>G5356+0.0001</f>
        <v/>
      </c>
    </row>
    <row r="5358">
      <c r="G5358">
        <f>G5357+0.0001</f>
        <v/>
      </c>
    </row>
    <row r="5359">
      <c r="G5359">
        <f>G5358+0.0001</f>
        <v/>
      </c>
    </row>
    <row r="5360">
      <c r="G5360">
        <f>G5359+0.0001</f>
        <v/>
      </c>
    </row>
    <row r="5361">
      <c r="G5361">
        <f>G5360+0.0001</f>
        <v/>
      </c>
    </row>
    <row r="5362">
      <c r="G5362">
        <f>G5361+0.0001</f>
        <v/>
      </c>
    </row>
    <row r="5363">
      <c r="G5363">
        <f>G5362+0.0001</f>
        <v/>
      </c>
    </row>
    <row r="5364">
      <c r="G5364">
        <f>G5363+0.0001</f>
        <v/>
      </c>
    </row>
    <row r="5365">
      <c r="G5365">
        <f>G5364+0.0001</f>
        <v/>
      </c>
    </row>
    <row r="5366">
      <c r="G5366">
        <f>G5365+0.0001</f>
        <v/>
      </c>
    </row>
    <row r="5367">
      <c r="G5367">
        <f>G5366+0.0001</f>
        <v/>
      </c>
    </row>
    <row r="5368">
      <c r="G5368">
        <f>G5367+0.0001</f>
        <v/>
      </c>
    </row>
    <row r="5369">
      <c r="G5369">
        <f>G5368+0.0001</f>
        <v/>
      </c>
    </row>
    <row r="5370">
      <c r="G5370">
        <f>G5369+0.0001</f>
        <v/>
      </c>
    </row>
    <row r="5371">
      <c r="G5371">
        <f>G5370+0.0001</f>
        <v/>
      </c>
    </row>
    <row r="5372">
      <c r="G5372">
        <f>G5371+0.0001</f>
        <v/>
      </c>
    </row>
    <row r="5373">
      <c r="G5373">
        <f>G5372+0.0001</f>
        <v/>
      </c>
    </row>
    <row r="5374">
      <c r="G5374">
        <f>G5373+0.0001</f>
        <v/>
      </c>
    </row>
    <row r="5375">
      <c r="G5375">
        <f>G5374+0.0001</f>
        <v/>
      </c>
    </row>
    <row r="5376">
      <c r="G5376">
        <f>G5375+0.0001</f>
        <v/>
      </c>
    </row>
    <row r="5377">
      <c r="G5377">
        <f>G5376+0.0001</f>
        <v/>
      </c>
    </row>
    <row r="5378">
      <c r="G5378">
        <f>G5377+0.0001</f>
        <v/>
      </c>
    </row>
    <row r="5379">
      <c r="G5379">
        <f>G5378+0.0001</f>
        <v/>
      </c>
    </row>
    <row r="5380">
      <c r="G5380">
        <f>G5379+0.0001</f>
        <v/>
      </c>
    </row>
    <row r="5381">
      <c r="G5381">
        <f>G5380+0.0001</f>
        <v/>
      </c>
    </row>
    <row r="5382">
      <c r="G5382">
        <f>G5381+0.0001</f>
        <v/>
      </c>
    </row>
    <row r="5383">
      <c r="G5383">
        <f>G5382+0.0001</f>
        <v/>
      </c>
    </row>
    <row r="5384">
      <c r="G5384">
        <f>G5383+0.0001</f>
        <v/>
      </c>
    </row>
    <row r="5385">
      <c r="G5385">
        <f>G5384+0.0001</f>
        <v/>
      </c>
    </row>
    <row r="5386">
      <c r="G5386">
        <f>G5385+0.0001</f>
        <v/>
      </c>
    </row>
    <row r="5387">
      <c r="G5387">
        <f>G5386+0.0001</f>
        <v/>
      </c>
    </row>
    <row r="5388">
      <c r="G5388">
        <f>G5387+0.0001</f>
        <v/>
      </c>
    </row>
    <row r="5389">
      <c r="G5389">
        <f>G5388+0.0001</f>
        <v/>
      </c>
    </row>
    <row r="5390">
      <c r="G5390">
        <f>G5389+0.0001</f>
        <v/>
      </c>
    </row>
    <row r="5391">
      <c r="G5391">
        <f>G5390+0.0001</f>
        <v/>
      </c>
    </row>
    <row r="5392">
      <c r="G5392">
        <f>G5391+0.0001</f>
        <v/>
      </c>
    </row>
    <row r="5393">
      <c r="G5393">
        <f>G5392+0.0001</f>
        <v/>
      </c>
    </row>
    <row r="5394">
      <c r="G5394">
        <f>G5393+0.0001</f>
        <v/>
      </c>
    </row>
    <row r="5395">
      <c r="G5395">
        <f>G5394+0.0001</f>
        <v/>
      </c>
    </row>
    <row r="5396">
      <c r="G5396">
        <f>G5395+0.0001</f>
        <v/>
      </c>
    </row>
    <row r="5397">
      <c r="G5397">
        <f>G5396+0.0001</f>
        <v/>
      </c>
    </row>
    <row r="5398">
      <c r="G5398">
        <f>G5397+0.0001</f>
        <v/>
      </c>
    </row>
    <row r="5399">
      <c r="G5399">
        <f>G5398+0.0001</f>
        <v/>
      </c>
    </row>
    <row r="5400">
      <c r="G5400">
        <f>G5399+0.0001</f>
        <v/>
      </c>
    </row>
    <row r="5401">
      <c r="G5401">
        <f>G5400+0.0001</f>
        <v/>
      </c>
    </row>
    <row r="5402">
      <c r="G5402">
        <f>G5401+0.0001</f>
        <v/>
      </c>
    </row>
    <row r="5403">
      <c r="G5403">
        <f>G5402+0.0001</f>
        <v/>
      </c>
    </row>
    <row r="5404">
      <c r="G5404">
        <f>G5403+0.0001</f>
        <v/>
      </c>
    </row>
    <row r="5405">
      <c r="G5405">
        <f>G5404+0.0001</f>
        <v/>
      </c>
    </row>
    <row r="5406">
      <c r="G5406">
        <f>G5405+0.0001</f>
        <v/>
      </c>
    </row>
    <row r="5407">
      <c r="G5407">
        <f>G5406+0.0001</f>
        <v/>
      </c>
    </row>
    <row r="5408">
      <c r="G5408">
        <f>G5407+0.0001</f>
        <v/>
      </c>
    </row>
    <row r="5409">
      <c r="G5409">
        <f>G5408+0.0001</f>
        <v/>
      </c>
    </row>
    <row r="5410">
      <c r="G5410">
        <f>G5409+0.0001</f>
        <v/>
      </c>
    </row>
    <row r="5411">
      <c r="G5411">
        <f>G5410+0.0001</f>
        <v/>
      </c>
    </row>
    <row r="5412">
      <c r="G5412">
        <f>G5411+0.0001</f>
        <v/>
      </c>
    </row>
    <row r="5413">
      <c r="G5413">
        <f>G5412+0.0001</f>
        <v/>
      </c>
    </row>
    <row r="5414">
      <c r="G5414">
        <f>G5413+0.0001</f>
        <v/>
      </c>
    </row>
    <row r="5415">
      <c r="G5415">
        <f>G5414+0.0001</f>
        <v/>
      </c>
    </row>
    <row r="5416">
      <c r="G5416">
        <f>G5415+0.0001</f>
        <v/>
      </c>
    </row>
    <row r="5417">
      <c r="G5417">
        <f>G5416+0.0001</f>
        <v/>
      </c>
    </row>
    <row r="5418">
      <c r="G5418">
        <f>G5417+0.0001</f>
        <v/>
      </c>
    </row>
    <row r="5419">
      <c r="G5419">
        <f>G5418+0.0001</f>
        <v/>
      </c>
    </row>
    <row r="5420">
      <c r="G5420">
        <f>G5419+0.0001</f>
        <v/>
      </c>
    </row>
    <row r="5421">
      <c r="G5421">
        <f>G5420+0.0001</f>
        <v/>
      </c>
    </row>
    <row r="5422">
      <c r="G5422">
        <f>G5421+0.0001</f>
        <v/>
      </c>
    </row>
    <row r="5423">
      <c r="G5423">
        <f>G5422+0.0001</f>
        <v/>
      </c>
    </row>
    <row r="5424">
      <c r="G5424">
        <f>G5423+0.0001</f>
        <v/>
      </c>
    </row>
    <row r="5425">
      <c r="G5425">
        <f>G5424+0.0001</f>
        <v/>
      </c>
    </row>
    <row r="5426">
      <c r="G5426">
        <f>G5425+0.0001</f>
        <v/>
      </c>
    </row>
    <row r="5427">
      <c r="G5427">
        <f>G5426+0.0001</f>
        <v/>
      </c>
    </row>
    <row r="5428">
      <c r="G5428">
        <f>G5427+0.0001</f>
        <v/>
      </c>
    </row>
    <row r="5429">
      <c r="G5429">
        <f>G5428+0.0001</f>
        <v/>
      </c>
    </row>
    <row r="5430">
      <c r="G5430">
        <f>G5429+0.0001</f>
        <v/>
      </c>
    </row>
    <row r="5431">
      <c r="G5431">
        <f>G5430+0.0001</f>
        <v/>
      </c>
    </row>
    <row r="5432">
      <c r="G5432">
        <f>G5431+0.0001</f>
        <v/>
      </c>
    </row>
    <row r="5433">
      <c r="G5433">
        <f>G5432+0.0001</f>
        <v/>
      </c>
    </row>
    <row r="5434">
      <c r="G5434">
        <f>G5433+0.0001</f>
        <v/>
      </c>
    </row>
    <row r="5435">
      <c r="G5435">
        <f>G5434+0.0001</f>
        <v/>
      </c>
    </row>
    <row r="5436">
      <c r="G5436">
        <f>G5435+0.0001</f>
        <v/>
      </c>
    </row>
    <row r="5437">
      <c r="G5437">
        <f>G5436+0.0001</f>
        <v/>
      </c>
    </row>
    <row r="5438">
      <c r="G5438">
        <f>G5437+0.0001</f>
        <v/>
      </c>
    </row>
    <row r="5439">
      <c r="G5439">
        <f>G5438+0.0001</f>
        <v/>
      </c>
    </row>
    <row r="5440">
      <c r="G5440">
        <f>G5439+0.0001</f>
        <v/>
      </c>
    </row>
    <row r="5441">
      <c r="G5441">
        <f>G5440+0.0001</f>
        <v/>
      </c>
    </row>
    <row r="5442">
      <c r="G5442">
        <f>G5441+0.0001</f>
        <v/>
      </c>
    </row>
    <row r="5443">
      <c r="G5443">
        <f>G5442+0.0001</f>
        <v/>
      </c>
    </row>
    <row r="5444">
      <c r="G5444">
        <f>G5443+0.0001</f>
        <v/>
      </c>
    </row>
    <row r="5445">
      <c r="G5445">
        <f>G5444+0.0001</f>
        <v/>
      </c>
    </row>
    <row r="5446">
      <c r="G5446">
        <f>G5445+0.0001</f>
        <v/>
      </c>
    </row>
    <row r="5447">
      <c r="G5447">
        <f>G5446+0.0001</f>
        <v/>
      </c>
    </row>
    <row r="5448">
      <c r="G5448">
        <f>G5447+0.0001</f>
        <v/>
      </c>
    </row>
    <row r="5449">
      <c r="G5449">
        <f>G5448+0.0001</f>
        <v/>
      </c>
    </row>
    <row r="5450">
      <c r="G5450">
        <f>G5449+0.0001</f>
        <v/>
      </c>
    </row>
    <row r="5451">
      <c r="G5451">
        <f>G5450+0.0001</f>
        <v/>
      </c>
    </row>
    <row r="5452">
      <c r="G5452">
        <f>G5451+0.0001</f>
        <v/>
      </c>
    </row>
    <row r="5453">
      <c r="G5453">
        <f>G5452+0.0001</f>
        <v/>
      </c>
    </row>
    <row r="5454">
      <c r="G5454">
        <f>G5453+0.0001</f>
        <v/>
      </c>
    </row>
    <row r="5455">
      <c r="G5455">
        <f>G5454+0.0001</f>
        <v/>
      </c>
    </row>
    <row r="5456">
      <c r="G5456">
        <f>G5455+0.0001</f>
        <v/>
      </c>
    </row>
    <row r="5457">
      <c r="G5457">
        <f>G5456+0.0001</f>
        <v/>
      </c>
    </row>
    <row r="5458">
      <c r="G5458">
        <f>G5457+0.0001</f>
        <v/>
      </c>
    </row>
    <row r="5459">
      <c r="G5459">
        <f>G5458+0.0001</f>
        <v/>
      </c>
    </row>
    <row r="5460">
      <c r="G5460">
        <f>G5459+0.0001</f>
        <v/>
      </c>
    </row>
    <row r="5461">
      <c r="G5461">
        <f>G5460+0.0001</f>
        <v/>
      </c>
    </row>
    <row r="5462">
      <c r="G5462">
        <f>G5461+0.0001</f>
        <v/>
      </c>
    </row>
    <row r="5463">
      <c r="G5463">
        <f>G5462+0.0001</f>
        <v/>
      </c>
    </row>
    <row r="5464">
      <c r="G5464">
        <f>G5463+0.0001</f>
        <v/>
      </c>
    </row>
    <row r="5465">
      <c r="G5465">
        <f>G5464+0.0001</f>
        <v/>
      </c>
    </row>
    <row r="5466">
      <c r="G5466">
        <f>G5465+0.0001</f>
        <v/>
      </c>
    </row>
    <row r="5467">
      <c r="G5467">
        <f>G5466+0.0001</f>
        <v/>
      </c>
    </row>
    <row r="5468">
      <c r="G5468">
        <f>G5467+0.0001</f>
        <v/>
      </c>
    </row>
    <row r="5469">
      <c r="G5469">
        <f>G5468+0.0001</f>
        <v/>
      </c>
    </row>
    <row r="5470">
      <c r="G5470">
        <f>G5469+0.0001</f>
        <v/>
      </c>
    </row>
    <row r="5471">
      <c r="G5471">
        <f>G5470+0.0001</f>
        <v/>
      </c>
    </row>
    <row r="5472">
      <c r="G5472">
        <f>G5471+0.0001</f>
        <v/>
      </c>
    </row>
    <row r="5473">
      <c r="G5473">
        <f>G5472+0.0001</f>
        <v/>
      </c>
    </row>
    <row r="5474">
      <c r="G5474">
        <f>G5473+0.0001</f>
        <v/>
      </c>
    </row>
    <row r="5475">
      <c r="G5475">
        <f>G5474+0.0001</f>
        <v/>
      </c>
    </row>
    <row r="5476">
      <c r="G5476">
        <f>G5475+0.0001</f>
        <v/>
      </c>
    </row>
    <row r="5477">
      <c r="G5477">
        <f>G5476+0.0001</f>
        <v/>
      </c>
    </row>
    <row r="5478">
      <c r="G5478">
        <f>G5477+0.0001</f>
        <v/>
      </c>
    </row>
    <row r="5479">
      <c r="G5479">
        <f>G5478+0.0001</f>
        <v/>
      </c>
    </row>
    <row r="5480">
      <c r="G5480">
        <f>G5479+0.0001</f>
        <v/>
      </c>
    </row>
    <row r="5481">
      <c r="G5481">
        <f>G5480+0.0001</f>
        <v/>
      </c>
    </row>
    <row r="5482">
      <c r="G5482">
        <f>G5481+0.0001</f>
        <v/>
      </c>
    </row>
    <row r="5483">
      <c r="G5483">
        <f>G5482+0.0001</f>
        <v/>
      </c>
    </row>
    <row r="5484">
      <c r="G5484">
        <f>G5483+0.0001</f>
        <v/>
      </c>
    </row>
    <row r="5485">
      <c r="G5485">
        <f>G5484+0.0001</f>
        <v/>
      </c>
    </row>
    <row r="5486">
      <c r="G5486">
        <f>G5485+0.0001</f>
        <v/>
      </c>
    </row>
    <row r="5487">
      <c r="G5487">
        <f>G5486+0.0001</f>
        <v/>
      </c>
    </row>
    <row r="5488">
      <c r="G5488">
        <f>G5487+0.0001</f>
        <v/>
      </c>
    </row>
    <row r="5489">
      <c r="G5489">
        <f>G5488+0.0001</f>
        <v/>
      </c>
    </row>
    <row r="5490">
      <c r="G5490">
        <f>G5489+0.0001</f>
        <v/>
      </c>
    </row>
    <row r="5491">
      <c r="G5491">
        <f>G5490+0.0001</f>
        <v/>
      </c>
    </row>
    <row r="5492">
      <c r="G5492">
        <f>G5491+0.0001</f>
        <v/>
      </c>
    </row>
    <row r="5493">
      <c r="G5493">
        <f>G5492+0.0001</f>
        <v/>
      </c>
    </row>
    <row r="5494">
      <c r="G5494">
        <f>G5493+0.0001</f>
        <v/>
      </c>
    </row>
    <row r="5495">
      <c r="G5495">
        <f>G5494+0.0001</f>
        <v/>
      </c>
    </row>
    <row r="5496">
      <c r="G5496">
        <f>G5495+0.0001</f>
        <v/>
      </c>
    </row>
    <row r="5497">
      <c r="G5497">
        <f>G5496+0.0001</f>
        <v/>
      </c>
    </row>
    <row r="5498">
      <c r="G5498">
        <f>G5497+0.0001</f>
        <v/>
      </c>
    </row>
    <row r="5499">
      <c r="G5499">
        <f>G5498+0.0001</f>
        <v/>
      </c>
    </row>
    <row r="5500">
      <c r="G5500">
        <f>G5499+0.0001</f>
        <v/>
      </c>
    </row>
    <row r="5501">
      <c r="G5501">
        <f>G5500+0.0001</f>
        <v/>
      </c>
    </row>
    <row r="5502">
      <c r="G5502">
        <f>G5501+0.0001</f>
        <v/>
      </c>
    </row>
    <row r="5503">
      <c r="G5503">
        <f>G5502+0.0001</f>
        <v/>
      </c>
    </row>
    <row r="5504">
      <c r="G5504">
        <f>G5503+0.0001</f>
        <v/>
      </c>
    </row>
    <row r="5505">
      <c r="G5505">
        <f>G5504+0.0001</f>
        <v/>
      </c>
    </row>
    <row r="5506">
      <c r="G5506">
        <f>G5505+0.0001</f>
        <v/>
      </c>
    </row>
    <row r="5507">
      <c r="G5507">
        <f>G5506+0.0001</f>
        <v/>
      </c>
    </row>
    <row r="5508">
      <c r="G5508">
        <f>G5507+0.0001</f>
        <v/>
      </c>
    </row>
    <row r="5509">
      <c r="G5509">
        <f>G5508+0.0001</f>
        <v/>
      </c>
    </row>
    <row r="5510">
      <c r="G5510">
        <f>G5509+0.0001</f>
        <v/>
      </c>
    </row>
    <row r="5511">
      <c r="G5511">
        <f>G5510+0.0001</f>
        <v/>
      </c>
    </row>
    <row r="5512">
      <c r="G5512">
        <f>G5511+0.0001</f>
        <v/>
      </c>
    </row>
    <row r="5513">
      <c r="G5513">
        <f>G5512+0.0001</f>
        <v/>
      </c>
    </row>
    <row r="5514">
      <c r="G5514">
        <f>G5513+0.0001</f>
        <v/>
      </c>
    </row>
    <row r="5515">
      <c r="G5515">
        <f>G5514+0.0001</f>
        <v/>
      </c>
    </row>
    <row r="5516">
      <c r="G5516">
        <f>G5515+0.0001</f>
        <v/>
      </c>
    </row>
    <row r="5517">
      <c r="G5517">
        <f>G5516+0.0001</f>
        <v/>
      </c>
    </row>
    <row r="5518">
      <c r="G5518">
        <f>G5517+0.0001</f>
        <v/>
      </c>
    </row>
    <row r="5519">
      <c r="G5519">
        <f>G5518+0.0001</f>
        <v/>
      </c>
    </row>
    <row r="5520">
      <c r="G5520">
        <f>G5519+0.0001</f>
        <v/>
      </c>
    </row>
    <row r="5521">
      <c r="G5521">
        <f>G5520+0.0001</f>
        <v/>
      </c>
    </row>
    <row r="5522">
      <c r="G5522">
        <f>G5521+0.0001</f>
        <v/>
      </c>
    </row>
    <row r="5523">
      <c r="G5523">
        <f>G5522+0.0001</f>
        <v/>
      </c>
    </row>
    <row r="5524">
      <c r="G5524">
        <f>G5523+0.0001</f>
        <v/>
      </c>
    </row>
    <row r="5525">
      <c r="G5525">
        <f>G5524+0.0001</f>
        <v/>
      </c>
    </row>
    <row r="5526">
      <c r="G5526">
        <f>G5525+0.0001</f>
        <v/>
      </c>
    </row>
    <row r="5527">
      <c r="G5527">
        <f>G5526+0.0001</f>
        <v/>
      </c>
    </row>
    <row r="5528">
      <c r="G5528">
        <f>G5527+0.0001</f>
        <v/>
      </c>
    </row>
    <row r="5529">
      <c r="G5529">
        <f>G5528+0.0001</f>
        <v/>
      </c>
    </row>
    <row r="5530">
      <c r="G5530">
        <f>G5529+0.0001</f>
        <v/>
      </c>
    </row>
    <row r="5531">
      <c r="G5531">
        <f>G5530+0.0001</f>
        <v/>
      </c>
    </row>
    <row r="5532">
      <c r="G5532">
        <f>G5531+0.0001</f>
        <v/>
      </c>
    </row>
    <row r="5533">
      <c r="G5533">
        <f>G5532+0.0001</f>
        <v/>
      </c>
    </row>
    <row r="5534">
      <c r="G5534">
        <f>G5533+0.0001</f>
        <v/>
      </c>
    </row>
    <row r="5535">
      <c r="G5535">
        <f>G5534+0.0001</f>
        <v/>
      </c>
    </row>
    <row r="5536">
      <c r="G5536">
        <f>G5535+0.0001</f>
        <v/>
      </c>
    </row>
    <row r="5537">
      <c r="G5537">
        <f>G5536+0.0001</f>
        <v/>
      </c>
    </row>
    <row r="5538">
      <c r="G5538">
        <f>G5537+0.0001</f>
        <v/>
      </c>
    </row>
    <row r="5539">
      <c r="G5539">
        <f>G5538+0.0001</f>
        <v/>
      </c>
    </row>
    <row r="5540">
      <c r="G5540">
        <f>G5539+0.0001</f>
        <v/>
      </c>
    </row>
    <row r="5541">
      <c r="G5541">
        <f>G5540+0.0001</f>
        <v/>
      </c>
    </row>
    <row r="5542">
      <c r="G5542">
        <f>G5541+0.0001</f>
        <v/>
      </c>
    </row>
    <row r="5543">
      <c r="G5543">
        <f>G5542+0.0001</f>
        <v/>
      </c>
    </row>
    <row r="5544">
      <c r="G5544">
        <f>G5543+0.0001</f>
        <v/>
      </c>
    </row>
    <row r="5545">
      <c r="G5545">
        <f>G5544+0.0001</f>
        <v/>
      </c>
    </row>
    <row r="5546">
      <c r="G5546">
        <f>G5545+0.0001</f>
        <v/>
      </c>
    </row>
    <row r="5547">
      <c r="G5547">
        <f>G5546+0.0001</f>
        <v/>
      </c>
    </row>
    <row r="5548">
      <c r="G5548">
        <f>G5547+0.0001</f>
        <v/>
      </c>
    </row>
    <row r="5549">
      <c r="G5549">
        <f>G5548+0.0001</f>
        <v/>
      </c>
    </row>
    <row r="5550">
      <c r="G5550">
        <f>G5549+0.0001</f>
        <v/>
      </c>
    </row>
    <row r="5551">
      <c r="G5551">
        <f>G5550+0.0001</f>
        <v/>
      </c>
    </row>
    <row r="5552">
      <c r="G5552">
        <f>G5551+0.0001</f>
        <v/>
      </c>
    </row>
    <row r="5553">
      <c r="G5553">
        <f>G5552+0.0001</f>
        <v/>
      </c>
    </row>
    <row r="5554">
      <c r="G5554">
        <f>G5553+0.0001</f>
        <v/>
      </c>
    </row>
    <row r="5555">
      <c r="G5555">
        <f>G5554+0.0001</f>
        <v/>
      </c>
    </row>
    <row r="5556">
      <c r="G5556">
        <f>G5555+0.0001</f>
        <v/>
      </c>
    </row>
    <row r="5557">
      <c r="G5557">
        <f>G5556+0.0001</f>
        <v/>
      </c>
    </row>
    <row r="5558">
      <c r="G5558">
        <f>G5557+0.0001</f>
        <v/>
      </c>
    </row>
    <row r="5559">
      <c r="G5559">
        <f>G5558+0.0001</f>
        <v/>
      </c>
    </row>
    <row r="5560">
      <c r="G5560">
        <f>G5559+0.0001</f>
        <v/>
      </c>
    </row>
    <row r="5561">
      <c r="G5561">
        <f>G5560+0.0001</f>
        <v/>
      </c>
    </row>
    <row r="5562">
      <c r="G5562">
        <f>G5561+0.0001</f>
        <v/>
      </c>
    </row>
    <row r="5563">
      <c r="G5563">
        <f>G5562+0.0001</f>
        <v/>
      </c>
    </row>
    <row r="5564">
      <c r="G5564">
        <f>G5563+0.0001</f>
        <v/>
      </c>
    </row>
    <row r="5565">
      <c r="G5565">
        <f>G5564+0.0001</f>
        <v/>
      </c>
    </row>
    <row r="5566">
      <c r="G5566">
        <f>G5565+0.0001</f>
        <v/>
      </c>
    </row>
    <row r="5567">
      <c r="G5567">
        <f>G5566+0.0001</f>
        <v/>
      </c>
    </row>
    <row r="5568">
      <c r="G5568">
        <f>G5567+0.0001</f>
        <v/>
      </c>
    </row>
    <row r="5569">
      <c r="G5569">
        <f>G5568+0.0001</f>
        <v/>
      </c>
    </row>
    <row r="5570">
      <c r="G5570">
        <f>G5569+0.0001</f>
        <v/>
      </c>
    </row>
    <row r="5571">
      <c r="G5571">
        <f>G5570+0.0001</f>
        <v/>
      </c>
    </row>
    <row r="5572">
      <c r="G5572">
        <f>G5571+0.0001</f>
        <v/>
      </c>
    </row>
    <row r="5573">
      <c r="G5573">
        <f>G5572+0.0001</f>
        <v/>
      </c>
    </row>
    <row r="5574">
      <c r="G5574">
        <f>G5573+0.0001</f>
        <v/>
      </c>
    </row>
    <row r="5575">
      <c r="G5575">
        <f>G5574+0.0001</f>
        <v/>
      </c>
    </row>
    <row r="5576">
      <c r="G5576">
        <f>G5575+0.0001</f>
        <v/>
      </c>
    </row>
    <row r="5577">
      <c r="G5577">
        <f>G5576+0.0001</f>
        <v/>
      </c>
    </row>
    <row r="5578">
      <c r="G5578">
        <f>G5577+0.0001</f>
        <v/>
      </c>
    </row>
    <row r="5579">
      <c r="G5579">
        <f>G5578+0.0001</f>
        <v/>
      </c>
    </row>
    <row r="5580">
      <c r="G5580">
        <f>G5579+0.0001</f>
        <v/>
      </c>
    </row>
    <row r="5581">
      <c r="G5581">
        <f>G5580+0.0001</f>
        <v/>
      </c>
    </row>
    <row r="5582">
      <c r="G5582">
        <f>G5581+0.0001</f>
        <v/>
      </c>
    </row>
    <row r="5583">
      <c r="G5583">
        <f>G5582+0.0001</f>
        <v/>
      </c>
    </row>
    <row r="5584">
      <c r="G5584">
        <f>G5583+0.0001</f>
        <v/>
      </c>
    </row>
    <row r="5585">
      <c r="G5585">
        <f>G5584+0.0001</f>
        <v/>
      </c>
    </row>
    <row r="5586">
      <c r="G5586">
        <f>G5585+0.0001</f>
        <v/>
      </c>
    </row>
    <row r="5587">
      <c r="G5587">
        <f>G5586+0.0001</f>
        <v/>
      </c>
    </row>
    <row r="5588">
      <c r="G5588">
        <f>G5587+0.0001</f>
        <v/>
      </c>
    </row>
    <row r="5589">
      <c r="G5589">
        <f>G5588+0.0001</f>
        <v/>
      </c>
    </row>
    <row r="5590">
      <c r="G5590">
        <f>G5589+0.0001</f>
        <v/>
      </c>
    </row>
    <row r="5591">
      <c r="G5591">
        <f>G5590+0.0001</f>
        <v/>
      </c>
    </row>
    <row r="5592">
      <c r="G5592">
        <f>G5591+0.0001</f>
        <v/>
      </c>
    </row>
    <row r="5593">
      <c r="G5593">
        <f>G5592+0.0001</f>
        <v/>
      </c>
    </row>
    <row r="5594">
      <c r="G5594">
        <f>G5593+0.0001</f>
        <v/>
      </c>
    </row>
    <row r="5595">
      <c r="G5595">
        <f>G5594+0.0001</f>
        <v/>
      </c>
    </row>
    <row r="5596">
      <c r="G5596">
        <f>G5595+0.0001</f>
        <v/>
      </c>
    </row>
    <row r="5597">
      <c r="G5597">
        <f>G5596+0.0001</f>
        <v/>
      </c>
    </row>
    <row r="5598">
      <c r="G5598">
        <f>G5597+0.0001</f>
        <v/>
      </c>
    </row>
    <row r="5599">
      <c r="G5599">
        <f>G5598+0.0001</f>
        <v/>
      </c>
    </row>
    <row r="5600">
      <c r="G5600">
        <f>G5599+0.0001</f>
        <v/>
      </c>
    </row>
    <row r="5601">
      <c r="G5601">
        <f>G5600+0.0001</f>
        <v/>
      </c>
    </row>
    <row r="5602">
      <c r="G5602">
        <f>G5601+0.0001</f>
        <v/>
      </c>
    </row>
    <row r="5603">
      <c r="G5603">
        <f>G5602+0.0001</f>
        <v/>
      </c>
    </row>
    <row r="5604">
      <c r="G5604">
        <f>G5603+0.0001</f>
        <v/>
      </c>
    </row>
    <row r="5605">
      <c r="G5605">
        <f>G5604+0.0001</f>
        <v/>
      </c>
    </row>
    <row r="5606">
      <c r="G5606">
        <f>G5605+0.0001</f>
        <v/>
      </c>
    </row>
    <row r="5607">
      <c r="G5607">
        <f>G5606+0.0001</f>
        <v/>
      </c>
    </row>
    <row r="5608">
      <c r="G5608">
        <f>G5607+0.0001</f>
        <v/>
      </c>
    </row>
    <row r="5609">
      <c r="G5609">
        <f>G5608+0.0001</f>
        <v/>
      </c>
    </row>
    <row r="5610">
      <c r="G5610">
        <f>G5609+0.0001</f>
        <v/>
      </c>
    </row>
    <row r="5611">
      <c r="G5611">
        <f>G5610+0.0001</f>
        <v/>
      </c>
    </row>
    <row r="5612">
      <c r="G5612">
        <f>G5611+0.0001</f>
        <v/>
      </c>
    </row>
    <row r="5613">
      <c r="G5613">
        <f>G5612+0.0001</f>
        <v/>
      </c>
    </row>
    <row r="5614">
      <c r="G5614">
        <f>G5613+0.0001</f>
        <v/>
      </c>
    </row>
    <row r="5615">
      <c r="G5615">
        <f>G5614+0.0001</f>
        <v/>
      </c>
    </row>
    <row r="5616">
      <c r="G5616">
        <f>G5615+0.0001</f>
        <v/>
      </c>
    </row>
    <row r="5617">
      <c r="G5617">
        <f>G5616+0.0001</f>
        <v/>
      </c>
    </row>
    <row r="5618">
      <c r="G5618">
        <f>G5617+0.0001</f>
        <v/>
      </c>
    </row>
    <row r="5619">
      <c r="G5619">
        <f>G5618+0.0001</f>
        <v/>
      </c>
    </row>
    <row r="5620">
      <c r="G5620">
        <f>G5619+0.0001</f>
        <v/>
      </c>
    </row>
    <row r="5621">
      <c r="G5621">
        <f>G5620+0.0001</f>
        <v/>
      </c>
    </row>
    <row r="5622">
      <c r="G5622">
        <f>G5621+0.0001</f>
        <v/>
      </c>
    </row>
    <row r="5623">
      <c r="G5623">
        <f>G5622+0.0001</f>
        <v/>
      </c>
    </row>
    <row r="5624">
      <c r="G5624">
        <f>G5623+0.0001</f>
        <v/>
      </c>
    </row>
    <row r="5625">
      <c r="G5625">
        <f>G5624+0.0001</f>
        <v/>
      </c>
    </row>
    <row r="5626">
      <c r="G5626">
        <f>G5625+0.0001</f>
        <v/>
      </c>
    </row>
    <row r="5627">
      <c r="G5627">
        <f>G5626+0.0001</f>
        <v/>
      </c>
    </row>
    <row r="5628">
      <c r="G5628">
        <f>G5627+0.0001</f>
        <v/>
      </c>
    </row>
    <row r="5629">
      <c r="G5629">
        <f>G5628+0.0001</f>
        <v/>
      </c>
    </row>
    <row r="5630">
      <c r="G5630">
        <f>G5629+0.0001</f>
        <v/>
      </c>
    </row>
    <row r="5631">
      <c r="G5631">
        <f>G5630+0.0001</f>
        <v/>
      </c>
    </row>
    <row r="5632">
      <c r="G5632">
        <f>G5631+0.0001</f>
        <v/>
      </c>
    </row>
    <row r="5633">
      <c r="G5633">
        <f>G5632+0.0001</f>
        <v/>
      </c>
    </row>
    <row r="5634">
      <c r="G5634">
        <f>G5633+0.0001</f>
        <v/>
      </c>
    </row>
    <row r="5635">
      <c r="G5635">
        <f>G5634+0.0001</f>
        <v/>
      </c>
    </row>
    <row r="5636">
      <c r="G5636">
        <f>G5635+0.0001</f>
        <v/>
      </c>
    </row>
    <row r="5637">
      <c r="G5637">
        <f>G5636+0.0001</f>
        <v/>
      </c>
    </row>
    <row r="5638">
      <c r="G5638">
        <f>G5637+0.0001</f>
        <v/>
      </c>
    </row>
    <row r="5639">
      <c r="G5639">
        <f>G5638+0.0001</f>
        <v/>
      </c>
    </row>
    <row r="5640">
      <c r="G5640">
        <f>G5639+0.0001</f>
        <v/>
      </c>
    </row>
    <row r="5641">
      <c r="G5641">
        <f>G5640+0.0001</f>
        <v/>
      </c>
    </row>
    <row r="5642">
      <c r="G5642">
        <f>G5641+0.0001</f>
        <v/>
      </c>
    </row>
    <row r="5643">
      <c r="G5643">
        <f>G5642+0.0001</f>
        <v/>
      </c>
    </row>
    <row r="5644">
      <c r="G5644">
        <f>G5643+0.0001</f>
        <v/>
      </c>
    </row>
    <row r="5645">
      <c r="G5645">
        <f>G5644+0.0001</f>
        <v/>
      </c>
    </row>
    <row r="5646">
      <c r="G5646">
        <f>G5645+0.0001</f>
        <v/>
      </c>
    </row>
    <row r="5647">
      <c r="G5647">
        <f>G5646+0.0001</f>
        <v/>
      </c>
    </row>
    <row r="5648">
      <c r="G5648">
        <f>G5647+0.0001</f>
        <v/>
      </c>
    </row>
    <row r="5649">
      <c r="G5649">
        <f>G5648+0.0001</f>
        <v/>
      </c>
    </row>
    <row r="5650">
      <c r="G5650">
        <f>G5649+0.0001</f>
        <v/>
      </c>
    </row>
    <row r="5651">
      <c r="G5651">
        <f>G5650+0.0001</f>
        <v/>
      </c>
    </row>
    <row r="5652">
      <c r="G5652">
        <f>G5651+0.0001</f>
        <v/>
      </c>
    </row>
    <row r="5653">
      <c r="G5653">
        <f>G5652+0.0001</f>
        <v/>
      </c>
    </row>
    <row r="5654">
      <c r="G5654">
        <f>G5653+0.0001</f>
        <v/>
      </c>
    </row>
    <row r="5655">
      <c r="G5655">
        <f>G5654+0.0001</f>
        <v/>
      </c>
    </row>
    <row r="5656">
      <c r="G5656">
        <f>G5655+0.0001</f>
        <v/>
      </c>
    </row>
    <row r="5657">
      <c r="G5657">
        <f>G5656+0.0001</f>
        <v/>
      </c>
    </row>
    <row r="5658">
      <c r="G5658">
        <f>G5657+0.0001</f>
        <v/>
      </c>
    </row>
    <row r="5659">
      <c r="G5659">
        <f>G5658+0.0001</f>
        <v/>
      </c>
    </row>
    <row r="5660">
      <c r="G5660">
        <f>G5659+0.0001</f>
        <v/>
      </c>
    </row>
    <row r="5661">
      <c r="G5661">
        <f>G5660+0.0001</f>
        <v/>
      </c>
    </row>
    <row r="5662">
      <c r="G5662">
        <f>G5661+0.0001</f>
        <v/>
      </c>
    </row>
    <row r="5663">
      <c r="G5663">
        <f>G5662+0.0001</f>
        <v/>
      </c>
    </row>
    <row r="5664">
      <c r="G5664">
        <f>G5663+0.0001</f>
        <v/>
      </c>
    </row>
    <row r="5665">
      <c r="G5665">
        <f>G5664+0.0001</f>
        <v/>
      </c>
    </row>
    <row r="5666">
      <c r="G5666">
        <f>G5665+0.0001</f>
        <v/>
      </c>
    </row>
    <row r="5667">
      <c r="G5667">
        <f>G5666+0.0001</f>
        <v/>
      </c>
    </row>
    <row r="5668">
      <c r="G5668">
        <f>G5667+0.0001</f>
        <v/>
      </c>
    </row>
    <row r="5669">
      <c r="G5669">
        <f>G5668+0.0001</f>
        <v/>
      </c>
    </row>
    <row r="5670">
      <c r="G5670">
        <f>G5669+0.0001</f>
        <v/>
      </c>
    </row>
    <row r="5671">
      <c r="G5671">
        <f>G5670+0.0001</f>
        <v/>
      </c>
    </row>
    <row r="5672">
      <c r="G5672">
        <f>G5671+0.0001</f>
        <v/>
      </c>
    </row>
    <row r="5673">
      <c r="G5673">
        <f>G5672+0.0001</f>
        <v/>
      </c>
    </row>
    <row r="5674">
      <c r="G5674">
        <f>G5673+0.0001</f>
        <v/>
      </c>
    </row>
    <row r="5675">
      <c r="G5675">
        <f>G5674+0.0001</f>
        <v/>
      </c>
    </row>
    <row r="5676">
      <c r="G5676">
        <f>G5675+0.0001</f>
        <v/>
      </c>
    </row>
    <row r="5677">
      <c r="G5677">
        <f>G5676+0.0001</f>
        <v/>
      </c>
    </row>
    <row r="5678">
      <c r="G5678">
        <f>G5677+0.0001</f>
        <v/>
      </c>
    </row>
    <row r="5679">
      <c r="G5679">
        <f>G5678+0.0001</f>
        <v/>
      </c>
    </row>
    <row r="5680">
      <c r="G5680">
        <f>G5679+0.0001</f>
        <v/>
      </c>
    </row>
    <row r="5681">
      <c r="G5681">
        <f>G5680+0.0001</f>
        <v/>
      </c>
    </row>
    <row r="5682">
      <c r="G5682">
        <f>G5681+0.0001</f>
        <v/>
      </c>
    </row>
    <row r="5683">
      <c r="G5683">
        <f>G5682+0.0001</f>
        <v/>
      </c>
    </row>
    <row r="5684">
      <c r="G5684">
        <f>G5683+0.0001</f>
        <v/>
      </c>
    </row>
    <row r="5685">
      <c r="G5685">
        <f>G5684+0.0001</f>
        <v/>
      </c>
    </row>
    <row r="5686">
      <c r="G5686">
        <f>G5685+0.0001</f>
        <v/>
      </c>
    </row>
    <row r="5687">
      <c r="G5687">
        <f>G5686+0.0001</f>
        <v/>
      </c>
    </row>
    <row r="5688">
      <c r="G5688">
        <f>G5687+0.0001</f>
        <v/>
      </c>
    </row>
    <row r="5689">
      <c r="G5689">
        <f>G5688+0.0001</f>
        <v/>
      </c>
    </row>
    <row r="5690">
      <c r="G5690">
        <f>G5689+0.0001</f>
        <v/>
      </c>
    </row>
    <row r="5691">
      <c r="G5691">
        <f>G5690+0.0001</f>
        <v/>
      </c>
    </row>
    <row r="5692">
      <c r="G5692">
        <f>G5691+0.0001</f>
        <v/>
      </c>
    </row>
    <row r="5693">
      <c r="G5693">
        <f>G5692+0.0001</f>
        <v/>
      </c>
    </row>
    <row r="5694">
      <c r="G5694">
        <f>G5693+0.0001</f>
        <v/>
      </c>
    </row>
    <row r="5695">
      <c r="G5695">
        <f>G5694+0.0001</f>
        <v/>
      </c>
    </row>
    <row r="5696">
      <c r="G5696">
        <f>G5695+0.0001</f>
        <v/>
      </c>
    </row>
    <row r="5697">
      <c r="G5697">
        <f>G5696+0.0001</f>
        <v/>
      </c>
    </row>
    <row r="5698">
      <c r="G5698">
        <f>G5697+0.0001</f>
        <v/>
      </c>
    </row>
    <row r="5699">
      <c r="G5699">
        <f>G5698+0.0001</f>
        <v/>
      </c>
    </row>
    <row r="5700">
      <c r="G5700">
        <f>G5699+0.0001</f>
        <v/>
      </c>
    </row>
    <row r="5701">
      <c r="G5701">
        <f>G5700+0.0001</f>
        <v/>
      </c>
    </row>
    <row r="5702">
      <c r="G5702">
        <f>G5701+0.0001</f>
        <v/>
      </c>
    </row>
    <row r="5703">
      <c r="G5703">
        <f>G5702+0.0001</f>
        <v/>
      </c>
    </row>
    <row r="5704">
      <c r="G5704">
        <f>G5703+0.0001</f>
        <v/>
      </c>
    </row>
    <row r="5705">
      <c r="G5705">
        <f>G5704+0.0001</f>
        <v/>
      </c>
    </row>
    <row r="5706">
      <c r="G5706">
        <f>G5705+0.0001</f>
        <v/>
      </c>
    </row>
    <row r="5707">
      <c r="G5707">
        <f>G5706+0.0001</f>
        <v/>
      </c>
    </row>
    <row r="5708">
      <c r="G5708">
        <f>G5707+0.0001</f>
        <v/>
      </c>
    </row>
    <row r="5709">
      <c r="G5709">
        <f>G5708+0.0001</f>
        <v/>
      </c>
    </row>
    <row r="5710">
      <c r="G5710">
        <f>G5709+0.0001</f>
        <v/>
      </c>
    </row>
    <row r="5711">
      <c r="G5711">
        <f>G5710+0.0001</f>
        <v/>
      </c>
    </row>
    <row r="5712">
      <c r="G5712">
        <f>G5711+0.0001</f>
        <v/>
      </c>
    </row>
    <row r="5713">
      <c r="G5713">
        <f>G5712+0.0001</f>
        <v/>
      </c>
    </row>
    <row r="5714">
      <c r="G5714">
        <f>G5713+0.0001</f>
        <v/>
      </c>
    </row>
    <row r="5715">
      <c r="G5715">
        <f>G5714+0.0001</f>
        <v/>
      </c>
    </row>
    <row r="5716">
      <c r="G5716">
        <f>G5715+0.0001</f>
        <v/>
      </c>
    </row>
    <row r="5717">
      <c r="G5717">
        <f>G5716+0.0001</f>
        <v/>
      </c>
    </row>
    <row r="5718">
      <c r="G5718">
        <f>G5717+0.0001</f>
        <v/>
      </c>
    </row>
    <row r="5719">
      <c r="G5719">
        <f>G5718+0.0001</f>
        <v/>
      </c>
    </row>
    <row r="5720">
      <c r="G5720">
        <f>G5719+0.0001</f>
        <v/>
      </c>
    </row>
    <row r="5721">
      <c r="G5721">
        <f>G5720+0.0001</f>
        <v/>
      </c>
    </row>
    <row r="5722">
      <c r="G5722">
        <f>G5721+0.0001</f>
        <v/>
      </c>
    </row>
    <row r="5723">
      <c r="G5723">
        <f>G5722+0.0001</f>
        <v/>
      </c>
    </row>
    <row r="5724">
      <c r="G5724">
        <f>G5723+0.0001</f>
        <v/>
      </c>
    </row>
    <row r="5725">
      <c r="G5725">
        <f>G5724+0.0001</f>
        <v/>
      </c>
    </row>
    <row r="5726">
      <c r="G5726">
        <f>G5725+0.0001</f>
        <v/>
      </c>
    </row>
    <row r="5727">
      <c r="G5727">
        <f>G5726+0.0001</f>
        <v/>
      </c>
    </row>
    <row r="5728">
      <c r="G5728">
        <f>G5727+0.0001</f>
        <v/>
      </c>
    </row>
    <row r="5729">
      <c r="G5729">
        <f>G5728+0.0001</f>
        <v/>
      </c>
    </row>
    <row r="5730">
      <c r="G5730">
        <f>G5729+0.0001</f>
        <v/>
      </c>
    </row>
    <row r="5731">
      <c r="G5731">
        <f>G5730+0.0001</f>
        <v/>
      </c>
    </row>
    <row r="5732">
      <c r="G5732">
        <f>G5731+0.0001</f>
        <v/>
      </c>
    </row>
    <row r="5733">
      <c r="G5733">
        <f>G5732+0.0001</f>
        <v/>
      </c>
    </row>
    <row r="5734">
      <c r="G5734">
        <f>G5733+0.0001</f>
        <v/>
      </c>
    </row>
    <row r="5735">
      <c r="G5735">
        <f>G5734+0.0001</f>
        <v/>
      </c>
    </row>
    <row r="5736">
      <c r="G5736">
        <f>G5735+0.0001</f>
        <v/>
      </c>
    </row>
    <row r="5737">
      <c r="G5737">
        <f>G5736+0.0001</f>
        <v/>
      </c>
    </row>
    <row r="5738">
      <c r="G5738">
        <f>G5737+0.0001</f>
        <v/>
      </c>
    </row>
    <row r="5739">
      <c r="G5739">
        <f>G5738+0.0001</f>
        <v/>
      </c>
    </row>
    <row r="5740">
      <c r="G5740">
        <f>G5739+0.0001</f>
        <v/>
      </c>
    </row>
    <row r="5741">
      <c r="G5741">
        <f>G5740+0.0001</f>
        <v/>
      </c>
    </row>
    <row r="5742">
      <c r="G5742">
        <f>G5741+0.0001</f>
        <v/>
      </c>
    </row>
    <row r="5743">
      <c r="G5743">
        <f>G5742+0.0001</f>
        <v/>
      </c>
    </row>
    <row r="5744">
      <c r="G5744">
        <f>G5743+0.0001</f>
        <v/>
      </c>
    </row>
    <row r="5745">
      <c r="G5745">
        <f>G5744+0.0001</f>
        <v/>
      </c>
    </row>
    <row r="5746">
      <c r="G5746">
        <f>G5745+0.0001</f>
        <v/>
      </c>
    </row>
    <row r="5747">
      <c r="G5747">
        <f>G5746+0.0001</f>
        <v/>
      </c>
    </row>
    <row r="5748">
      <c r="G5748">
        <f>G5747+0.0001</f>
        <v/>
      </c>
    </row>
    <row r="5749">
      <c r="G5749">
        <f>G5748+0.0001</f>
        <v/>
      </c>
    </row>
    <row r="5750">
      <c r="G5750">
        <f>G5749+0.0001</f>
        <v/>
      </c>
    </row>
    <row r="5751">
      <c r="G5751">
        <f>G5750+0.0001</f>
        <v/>
      </c>
    </row>
    <row r="5752">
      <c r="G5752">
        <f>G5751+0.0001</f>
        <v/>
      </c>
    </row>
    <row r="5753">
      <c r="G5753">
        <f>G5752+0.0001</f>
        <v/>
      </c>
    </row>
    <row r="5754">
      <c r="G5754">
        <f>G5753+0.0001</f>
        <v/>
      </c>
    </row>
    <row r="5755">
      <c r="G5755">
        <f>G5754+0.0001</f>
        <v/>
      </c>
    </row>
    <row r="5756">
      <c r="G5756">
        <f>G5755+0.0001</f>
        <v/>
      </c>
    </row>
    <row r="5757">
      <c r="G5757">
        <f>G5756+0.0001</f>
        <v/>
      </c>
    </row>
    <row r="5758">
      <c r="G5758">
        <f>G5757+0.0001</f>
        <v/>
      </c>
    </row>
    <row r="5759">
      <c r="G5759">
        <f>G5758+0.0001</f>
        <v/>
      </c>
    </row>
    <row r="5760">
      <c r="G5760">
        <f>G5759+0.0001</f>
        <v/>
      </c>
    </row>
    <row r="5761">
      <c r="G5761">
        <f>G5760+0.0001</f>
        <v/>
      </c>
    </row>
    <row r="5762">
      <c r="G5762">
        <f>G5761+0.0001</f>
        <v/>
      </c>
    </row>
    <row r="5763">
      <c r="G5763">
        <f>G5762+0.0001</f>
        <v/>
      </c>
    </row>
    <row r="5764">
      <c r="G5764">
        <f>G5763+0.0001</f>
        <v/>
      </c>
    </row>
    <row r="5765">
      <c r="G5765">
        <f>G5764+0.0001</f>
        <v/>
      </c>
    </row>
    <row r="5766">
      <c r="G5766">
        <f>G5765+0.0001</f>
        <v/>
      </c>
    </row>
    <row r="5767">
      <c r="G5767">
        <f>G5766+0.0001</f>
        <v/>
      </c>
    </row>
    <row r="5768">
      <c r="G5768">
        <f>G5767+0.0001</f>
        <v/>
      </c>
    </row>
    <row r="5769">
      <c r="G5769">
        <f>G5768+0.0001</f>
        <v/>
      </c>
    </row>
    <row r="5770">
      <c r="G5770">
        <f>G5769+0.0001</f>
        <v/>
      </c>
    </row>
    <row r="5771">
      <c r="G5771">
        <f>G5770+0.0001</f>
        <v/>
      </c>
    </row>
    <row r="5772">
      <c r="G5772">
        <f>G5771+0.0001</f>
        <v/>
      </c>
    </row>
    <row r="5773">
      <c r="G5773">
        <f>G5772+0.0001</f>
        <v/>
      </c>
    </row>
    <row r="5774">
      <c r="G5774">
        <f>G5773+0.0001</f>
        <v/>
      </c>
    </row>
    <row r="5775">
      <c r="G5775">
        <f>G5774+0.0001</f>
        <v/>
      </c>
    </row>
    <row r="5776">
      <c r="G5776">
        <f>G5775+0.0001</f>
        <v/>
      </c>
    </row>
    <row r="5777">
      <c r="G5777">
        <f>G5776+0.0001</f>
        <v/>
      </c>
    </row>
    <row r="5778">
      <c r="G5778">
        <f>G5777+0.0001</f>
        <v/>
      </c>
    </row>
    <row r="5779">
      <c r="G5779">
        <f>G5778+0.0001</f>
        <v/>
      </c>
    </row>
    <row r="5780">
      <c r="G5780">
        <f>G5779+0.0001</f>
        <v/>
      </c>
    </row>
    <row r="5781">
      <c r="G5781">
        <f>G5780+0.0001</f>
        <v/>
      </c>
    </row>
    <row r="5782">
      <c r="G5782">
        <f>G5781+0.0001</f>
        <v/>
      </c>
    </row>
    <row r="5783">
      <c r="G5783">
        <f>G5782+0.0001</f>
        <v/>
      </c>
    </row>
    <row r="5784">
      <c r="G5784">
        <f>G5783+0.0001</f>
        <v/>
      </c>
    </row>
    <row r="5785">
      <c r="G5785">
        <f>G5784+0.0001</f>
        <v/>
      </c>
    </row>
    <row r="5786">
      <c r="G5786">
        <f>G5785+0.0001</f>
        <v/>
      </c>
    </row>
    <row r="5787">
      <c r="G5787">
        <f>G5786+0.0001</f>
        <v/>
      </c>
    </row>
    <row r="5788">
      <c r="G5788">
        <f>G5787+0.0001</f>
        <v/>
      </c>
    </row>
    <row r="5789">
      <c r="G5789">
        <f>G5788+0.0001</f>
        <v/>
      </c>
    </row>
    <row r="5790">
      <c r="G5790">
        <f>G5789+0.0001</f>
        <v/>
      </c>
    </row>
    <row r="5791">
      <c r="G5791">
        <f>G5790+0.0001</f>
        <v/>
      </c>
    </row>
    <row r="5792">
      <c r="G5792">
        <f>G5791+0.0001</f>
        <v/>
      </c>
    </row>
    <row r="5793">
      <c r="G5793">
        <f>G5792+0.0001</f>
        <v/>
      </c>
    </row>
    <row r="5794">
      <c r="G5794">
        <f>G5793+0.0001</f>
        <v/>
      </c>
    </row>
    <row r="5795">
      <c r="G5795">
        <f>G5794+0.0001</f>
        <v/>
      </c>
    </row>
    <row r="5796">
      <c r="G5796">
        <f>G5795+0.0001</f>
        <v/>
      </c>
    </row>
    <row r="5797">
      <c r="G5797">
        <f>G5796+0.0001</f>
        <v/>
      </c>
    </row>
    <row r="5798">
      <c r="G5798">
        <f>G5797+0.0001</f>
        <v/>
      </c>
    </row>
    <row r="5799">
      <c r="G5799">
        <f>G5798+0.0001</f>
        <v/>
      </c>
    </row>
    <row r="5800">
      <c r="G5800">
        <f>G5799+0.0001</f>
        <v/>
      </c>
    </row>
    <row r="5801">
      <c r="G5801">
        <f>G5800+0.0001</f>
        <v/>
      </c>
    </row>
    <row r="5802">
      <c r="G5802">
        <f>G5801+0.0001</f>
        <v/>
      </c>
    </row>
    <row r="5803">
      <c r="G5803">
        <f>G5802+0.0001</f>
        <v/>
      </c>
    </row>
    <row r="5804">
      <c r="G5804">
        <f>G5803+0.0001</f>
        <v/>
      </c>
    </row>
    <row r="5805">
      <c r="G5805">
        <f>G5804+0.0001</f>
        <v/>
      </c>
    </row>
    <row r="5806">
      <c r="G5806">
        <f>G5805+0.0001</f>
        <v/>
      </c>
    </row>
    <row r="5807">
      <c r="G5807">
        <f>G5806+0.0001</f>
        <v/>
      </c>
    </row>
    <row r="5808">
      <c r="G5808">
        <f>G5807+0.0001</f>
        <v/>
      </c>
    </row>
    <row r="5809">
      <c r="G5809">
        <f>G5808+0.0001</f>
        <v/>
      </c>
    </row>
    <row r="5810">
      <c r="G5810">
        <f>G5809+0.0001</f>
        <v/>
      </c>
    </row>
    <row r="5811">
      <c r="G5811">
        <f>G5810+0.0001</f>
        <v/>
      </c>
    </row>
    <row r="5812">
      <c r="G5812">
        <f>G5811+0.0001</f>
        <v/>
      </c>
    </row>
    <row r="5813">
      <c r="G5813">
        <f>G5812+0.0001</f>
        <v/>
      </c>
    </row>
    <row r="5814">
      <c r="G5814">
        <f>G5813+0.0001</f>
        <v/>
      </c>
    </row>
    <row r="5815">
      <c r="G5815">
        <f>G5814+0.0001</f>
        <v/>
      </c>
    </row>
    <row r="5816">
      <c r="G5816">
        <f>G5815+0.0001</f>
        <v/>
      </c>
    </row>
    <row r="5817">
      <c r="G5817">
        <f>G5816+0.0001</f>
        <v/>
      </c>
    </row>
    <row r="5818">
      <c r="G5818">
        <f>G5817+0.0001</f>
        <v/>
      </c>
    </row>
    <row r="5819">
      <c r="G5819">
        <f>G5818+0.0001</f>
        <v/>
      </c>
    </row>
    <row r="5820">
      <c r="G5820">
        <f>G5819+0.0001</f>
        <v/>
      </c>
    </row>
    <row r="5821">
      <c r="G5821">
        <f>G5820+0.0001</f>
        <v/>
      </c>
    </row>
    <row r="5822">
      <c r="G5822">
        <f>G5821+0.0001</f>
        <v/>
      </c>
    </row>
    <row r="5823">
      <c r="G5823">
        <f>G5822+0.0001</f>
        <v/>
      </c>
    </row>
    <row r="5824">
      <c r="G5824">
        <f>G5823+0.0001</f>
        <v/>
      </c>
    </row>
    <row r="5825">
      <c r="G5825">
        <f>G5824+0.0001</f>
        <v/>
      </c>
    </row>
    <row r="5826">
      <c r="G5826">
        <f>G5825+0.0001</f>
        <v/>
      </c>
    </row>
    <row r="5827">
      <c r="G5827">
        <f>G5826+0.0001</f>
        <v/>
      </c>
    </row>
    <row r="5828">
      <c r="G5828">
        <f>G5827+0.0001</f>
        <v/>
      </c>
    </row>
    <row r="5829">
      <c r="G5829">
        <f>G5828+0.0001</f>
        <v/>
      </c>
    </row>
    <row r="5830">
      <c r="G5830">
        <f>G5829+0.0001</f>
        <v/>
      </c>
    </row>
    <row r="5831">
      <c r="G5831">
        <f>G5830+0.0001</f>
        <v/>
      </c>
    </row>
    <row r="5832">
      <c r="G5832">
        <f>G5831+0.0001</f>
        <v/>
      </c>
    </row>
    <row r="5833">
      <c r="G5833">
        <f>G5832+0.0001</f>
        <v/>
      </c>
    </row>
    <row r="5834">
      <c r="G5834">
        <f>G5833+0.0001</f>
        <v/>
      </c>
    </row>
    <row r="5835">
      <c r="G5835">
        <f>G5834+0.0001</f>
        <v/>
      </c>
    </row>
    <row r="5836">
      <c r="G5836">
        <f>G5835+0.0001</f>
        <v/>
      </c>
    </row>
    <row r="5837">
      <c r="G5837">
        <f>G5836+0.0001</f>
        <v/>
      </c>
    </row>
    <row r="5838">
      <c r="G5838">
        <f>G5837+0.0001</f>
        <v/>
      </c>
    </row>
    <row r="5839">
      <c r="G5839">
        <f>G5838+0.0001</f>
        <v/>
      </c>
    </row>
    <row r="5840">
      <c r="G5840">
        <f>G5839+0.0001</f>
        <v/>
      </c>
    </row>
    <row r="5841">
      <c r="G5841">
        <f>G5840+0.0001</f>
        <v/>
      </c>
    </row>
    <row r="5842">
      <c r="G5842">
        <f>G5841+0.0001</f>
        <v/>
      </c>
    </row>
    <row r="5843">
      <c r="G5843">
        <f>G5842+0.0001</f>
        <v/>
      </c>
    </row>
    <row r="5844">
      <c r="G5844">
        <f>G5843+0.0001</f>
        <v/>
      </c>
    </row>
    <row r="5845">
      <c r="G5845">
        <f>G5844+0.0001</f>
        <v/>
      </c>
    </row>
    <row r="5846">
      <c r="G5846">
        <f>G5845+0.0001</f>
        <v/>
      </c>
    </row>
    <row r="5847">
      <c r="G5847">
        <f>G5846+0.0001</f>
        <v/>
      </c>
    </row>
    <row r="5848">
      <c r="G5848">
        <f>G5847+0.0001</f>
        <v/>
      </c>
    </row>
    <row r="5849">
      <c r="G5849">
        <f>G5848+0.0001</f>
        <v/>
      </c>
    </row>
    <row r="5850">
      <c r="G5850">
        <f>G5849+0.0001</f>
        <v/>
      </c>
    </row>
    <row r="5851">
      <c r="G5851">
        <f>G5850+0.0001</f>
        <v/>
      </c>
    </row>
    <row r="5852">
      <c r="G5852">
        <f>G5851+0.0001</f>
        <v/>
      </c>
    </row>
    <row r="5853">
      <c r="G5853">
        <f>G5852+0.0001</f>
        <v/>
      </c>
    </row>
    <row r="5854">
      <c r="G5854">
        <f>G5853+0.0001</f>
        <v/>
      </c>
    </row>
    <row r="5855">
      <c r="G5855">
        <f>G5854+0.0001</f>
        <v/>
      </c>
    </row>
    <row r="5856">
      <c r="G5856">
        <f>G5855+0.0001</f>
        <v/>
      </c>
    </row>
    <row r="5857">
      <c r="G5857">
        <f>G5856+0.0001</f>
        <v/>
      </c>
    </row>
    <row r="5858">
      <c r="G5858">
        <f>G5857+0.0001</f>
        <v/>
      </c>
    </row>
    <row r="5859">
      <c r="G5859">
        <f>G5858+0.0001</f>
        <v/>
      </c>
    </row>
    <row r="5860">
      <c r="G5860">
        <f>G5859+0.0001</f>
        <v/>
      </c>
    </row>
    <row r="5861">
      <c r="G5861">
        <f>G5860+0.0001</f>
        <v/>
      </c>
    </row>
    <row r="5862">
      <c r="G5862">
        <f>G5861+0.0001</f>
        <v/>
      </c>
    </row>
    <row r="5863">
      <c r="G5863">
        <f>G5862+0.0001</f>
        <v/>
      </c>
    </row>
    <row r="5864">
      <c r="G5864">
        <f>G5863+0.0001</f>
        <v/>
      </c>
    </row>
    <row r="5865">
      <c r="G5865">
        <f>G5864+0.0001</f>
        <v/>
      </c>
    </row>
    <row r="5866">
      <c r="G5866">
        <f>G5865+0.0001</f>
        <v/>
      </c>
    </row>
    <row r="5867">
      <c r="G5867">
        <f>G5866+0.0001</f>
        <v/>
      </c>
    </row>
    <row r="5868">
      <c r="G5868">
        <f>G5867+0.0001</f>
        <v/>
      </c>
    </row>
    <row r="5869">
      <c r="G5869">
        <f>G5868+0.0001</f>
        <v/>
      </c>
    </row>
    <row r="5870">
      <c r="G5870">
        <f>G5869+0.0001</f>
        <v/>
      </c>
    </row>
    <row r="5871">
      <c r="G5871">
        <f>G5870+0.0001</f>
        <v/>
      </c>
    </row>
    <row r="5872">
      <c r="G5872">
        <f>G5871+0.0001</f>
        <v/>
      </c>
    </row>
    <row r="5873">
      <c r="G5873">
        <f>G5872+0.0001</f>
        <v/>
      </c>
    </row>
    <row r="5874">
      <c r="G5874">
        <f>G5873+0.0001</f>
        <v/>
      </c>
    </row>
    <row r="5875">
      <c r="G5875">
        <f>G5874+0.0001</f>
        <v/>
      </c>
    </row>
    <row r="5876">
      <c r="G5876">
        <f>G5875+0.0001</f>
        <v/>
      </c>
    </row>
    <row r="5877">
      <c r="G5877">
        <f>G5876+0.0001</f>
        <v/>
      </c>
    </row>
    <row r="5878">
      <c r="G5878">
        <f>G5877+0.0001</f>
        <v/>
      </c>
    </row>
    <row r="5879">
      <c r="G5879">
        <f>G5878+0.0001</f>
        <v/>
      </c>
    </row>
    <row r="5880">
      <c r="G5880">
        <f>G5879+0.0001</f>
        <v/>
      </c>
    </row>
    <row r="5881">
      <c r="G5881">
        <f>G5880+0.0001</f>
        <v/>
      </c>
    </row>
    <row r="5882">
      <c r="G5882">
        <f>G5881+0.0001</f>
        <v/>
      </c>
    </row>
    <row r="5883">
      <c r="G5883">
        <f>G5882+0.0001</f>
        <v/>
      </c>
    </row>
    <row r="5884">
      <c r="G5884">
        <f>G5883+0.0001</f>
        <v/>
      </c>
    </row>
    <row r="5885">
      <c r="G5885">
        <f>G5884+0.0001</f>
        <v/>
      </c>
    </row>
    <row r="5886">
      <c r="G5886">
        <f>G5885+0.0001</f>
        <v/>
      </c>
    </row>
    <row r="5887">
      <c r="G5887">
        <f>G5886+0.0001</f>
        <v/>
      </c>
    </row>
    <row r="5888">
      <c r="G5888">
        <f>G5887+0.0001</f>
        <v/>
      </c>
    </row>
    <row r="5889">
      <c r="G5889">
        <f>G5888+0.0001</f>
        <v/>
      </c>
    </row>
    <row r="5890">
      <c r="G5890">
        <f>G5889+0.0001</f>
        <v/>
      </c>
    </row>
    <row r="5891">
      <c r="G5891">
        <f>G5890+0.0001</f>
        <v/>
      </c>
    </row>
    <row r="5892">
      <c r="G5892">
        <f>G5891+0.0001</f>
        <v/>
      </c>
    </row>
    <row r="5893">
      <c r="G5893">
        <f>G5892+0.0001</f>
        <v/>
      </c>
    </row>
    <row r="5894">
      <c r="G5894">
        <f>G5893+0.0001</f>
        <v/>
      </c>
    </row>
    <row r="5895">
      <c r="G5895">
        <f>G5894+0.0001</f>
        <v/>
      </c>
    </row>
    <row r="5896">
      <c r="G5896">
        <f>G5895+0.0001</f>
        <v/>
      </c>
    </row>
    <row r="5897">
      <c r="G5897">
        <f>G5896+0.0001</f>
        <v/>
      </c>
    </row>
    <row r="5898">
      <c r="G5898">
        <f>G5897+0.0001</f>
        <v/>
      </c>
    </row>
    <row r="5899">
      <c r="G5899">
        <f>G5898+0.0001</f>
        <v/>
      </c>
    </row>
    <row r="5900">
      <c r="G5900">
        <f>G5899+0.0001</f>
        <v/>
      </c>
    </row>
    <row r="5901">
      <c r="G5901">
        <f>G5900+0.0001</f>
        <v/>
      </c>
    </row>
    <row r="5902">
      <c r="G5902">
        <f>G5901+0.0001</f>
        <v/>
      </c>
    </row>
    <row r="5903">
      <c r="G5903">
        <f>G5902+0.0001</f>
        <v/>
      </c>
    </row>
    <row r="5904">
      <c r="G5904">
        <f>G5903+0.0001</f>
        <v/>
      </c>
    </row>
    <row r="5905">
      <c r="G5905">
        <f>G5904+0.0001</f>
        <v/>
      </c>
    </row>
    <row r="5906">
      <c r="G5906">
        <f>G5905+0.0001</f>
        <v/>
      </c>
    </row>
    <row r="5907">
      <c r="G5907">
        <f>G5906+0.0001</f>
        <v/>
      </c>
    </row>
    <row r="5908">
      <c r="G5908">
        <f>G5907+0.0001</f>
        <v/>
      </c>
    </row>
    <row r="5909">
      <c r="G5909">
        <f>G5908+0.0001</f>
        <v/>
      </c>
    </row>
    <row r="5910">
      <c r="G5910">
        <f>G5909+0.0001</f>
        <v/>
      </c>
    </row>
    <row r="5911">
      <c r="G5911">
        <f>G5910+0.0001</f>
        <v/>
      </c>
    </row>
    <row r="5912">
      <c r="G5912">
        <f>G5911+0.0001</f>
        <v/>
      </c>
    </row>
    <row r="5913">
      <c r="G5913">
        <f>G5912+0.0001</f>
        <v/>
      </c>
    </row>
    <row r="5914">
      <c r="G5914">
        <f>G5913+0.0001</f>
        <v/>
      </c>
    </row>
    <row r="5915">
      <c r="G5915">
        <f>G5914+0.0001</f>
        <v/>
      </c>
    </row>
    <row r="5916">
      <c r="G5916">
        <f>G5915+0.0001</f>
        <v/>
      </c>
    </row>
    <row r="5917">
      <c r="G5917">
        <f>G5916+0.0001</f>
        <v/>
      </c>
    </row>
    <row r="5918">
      <c r="G5918">
        <f>G5917+0.0001</f>
        <v/>
      </c>
    </row>
    <row r="5919">
      <c r="G5919">
        <f>G5918+0.0001</f>
        <v/>
      </c>
    </row>
    <row r="5920">
      <c r="G5920">
        <f>G5919+0.0001</f>
        <v/>
      </c>
    </row>
    <row r="5921">
      <c r="G5921">
        <f>G5920+0.0001</f>
        <v/>
      </c>
    </row>
    <row r="5922">
      <c r="G5922">
        <f>G5921+0.0001</f>
        <v/>
      </c>
    </row>
    <row r="5923">
      <c r="G5923">
        <f>G5922+0.0001</f>
        <v/>
      </c>
    </row>
    <row r="5924">
      <c r="G5924">
        <f>G5923+0.0001</f>
        <v/>
      </c>
    </row>
    <row r="5925">
      <c r="G5925">
        <f>G5924+0.0001</f>
        <v/>
      </c>
    </row>
    <row r="5926">
      <c r="G5926">
        <f>G5925+0.0001</f>
        <v/>
      </c>
    </row>
    <row r="5927">
      <c r="G5927">
        <f>G5926+0.0001</f>
        <v/>
      </c>
    </row>
    <row r="5928">
      <c r="G5928">
        <f>G5927+0.0001</f>
        <v/>
      </c>
    </row>
    <row r="5929">
      <c r="G5929">
        <f>G5928+0.0001</f>
        <v/>
      </c>
    </row>
    <row r="5930">
      <c r="G5930">
        <f>G5929+0.0001</f>
        <v/>
      </c>
    </row>
    <row r="5931">
      <c r="G5931">
        <f>G5930+0.0001</f>
        <v/>
      </c>
    </row>
    <row r="5932">
      <c r="G5932">
        <f>G5931+0.0001</f>
        <v/>
      </c>
    </row>
    <row r="5933">
      <c r="G5933">
        <f>G5932+0.0001</f>
        <v/>
      </c>
    </row>
    <row r="5934">
      <c r="G5934">
        <f>G5933+0.0001</f>
        <v/>
      </c>
    </row>
    <row r="5935">
      <c r="G5935">
        <f>G5934+0.0001</f>
        <v/>
      </c>
    </row>
    <row r="5936">
      <c r="G5936">
        <f>G5935+0.0001</f>
        <v/>
      </c>
    </row>
    <row r="5937">
      <c r="G5937">
        <f>G5936+0.0001</f>
        <v/>
      </c>
    </row>
    <row r="5938">
      <c r="G5938">
        <f>G5937+0.0001</f>
        <v/>
      </c>
    </row>
    <row r="5939">
      <c r="G5939">
        <f>G5938+0.0001</f>
        <v/>
      </c>
    </row>
    <row r="5940">
      <c r="G5940">
        <f>G5939+0.0001</f>
        <v/>
      </c>
    </row>
    <row r="5941">
      <c r="G5941">
        <f>G5940+0.0001</f>
        <v/>
      </c>
    </row>
    <row r="5942">
      <c r="G5942">
        <f>G5941+0.0001</f>
        <v/>
      </c>
    </row>
    <row r="5943">
      <c r="G5943">
        <f>G5942+0.0001</f>
        <v/>
      </c>
    </row>
    <row r="5944">
      <c r="G5944">
        <f>G5943+0.0001</f>
        <v/>
      </c>
    </row>
    <row r="5945">
      <c r="G5945">
        <f>G5944+0.0001</f>
        <v/>
      </c>
    </row>
    <row r="5946">
      <c r="G5946">
        <f>G5945+0.0001</f>
        <v/>
      </c>
    </row>
    <row r="5947">
      <c r="G5947">
        <f>G5946+0.0001</f>
        <v/>
      </c>
    </row>
    <row r="5948">
      <c r="G5948">
        <f>G5947+0.0001</f>
        <v/>
      </c>
    </row>
    <row r="5949">
      <c r="G5949">
        <f>G5948+0.0001</f>
        <v/>
      </c>
    </row>
    <row r="5950">
      <c r="G5950">
        <f>G5949+0.0001</f>
        <v/>
      </c>
    </row>
    <row r="5951">
      <c r="G5951">
        <f>G5950+0.0001</f>
        <v/>
      </c>
    </row>
    <row r="5952">
      <c r="G5952">
        <f>G5951+0.0001</f>
        <v/>
      </c>
    </row>
    <row r="5953">
      <c r="G5953">
        <f>G5952+0.0001</f>
        <v/>
      </c>
    </row>
    <row r="5954">
      <c r="G5954">
        <f>G5953+0.0001</f>
        <v/>
      </c>
    </row>
    <row r="5955">
      <c r="G5955">
        <f>G5954+0.0001</f>
        <v/>
      </c>
    </row>
    <row r="5956">
      <c r="G5956">
        <f>G5955+0.0001</f>
        <v/>
      </c>
    </row>
    <row r="5957">
      <c r="G5957">
        <f>G5956+0.0001</f>
        <v/>
      </c>
    </row>
    <row r="5958">
      <c r="G5958">
        <f>G5957+0.0001</f>
        <v/>
      </c>
    </row>
    <row r="5959">
      <c r="G5959">
        <f>G5958+0.0001</f>
        <v/>
      </c>
    </row>
    <row r="5960">
      <c r="G5960">
        <f>G5959+0.0001</f>
        <v/>
      </c>
    </row>
    <row r="5961">
      <c r="G5961">
        <f>G5960+0.0001</f>
        <v/>
      </c>
    </row>
    <row r="5962">
      <c r="G5962">
        <f>G5961+0.0001</f>
        <v/>
      </c>
    </row>
    <row r="5963">
      <c r="G5963">
        <f>G5962+0.0001</f>
        <v/>
      </c>
    </row>
    <row r="5964">
      <c r="G5964">
        <f>G5963+0.0001</f>
        <v/>
      </c>
    </row>
    <row r="5965">
      <c r="G5965">
        <f>G5964+0.0001</f>
        <v/>
      </c>
    </row>
    <row r="5966">
      <c r="G5966">
        <f>G5965+0.0001</f>
        <v/>
      </c>
    </row>
    <row r="5967">
      <c r="G5967">
        <f>G5966+0.0001</f>
        <v/>
      </c>
    </row>
    <row r="5968">
      <c r="G5968">
        <f>G5967+0.0001</f>
        <v/>
      </c>
    </row>
    <row r="5969">
      <c r="G5969">
        <f>G5968+0.0001</f>
        <v/>
      </c>
    </row>
    <row r="5970">
      <c r="G5970">
        <f>G5969+0.0001</f>
        <v/>
      </c>
    </row>
    <row r="5971">
      <c r="G5971">
        <f>G5970+0.0001</f>
        <v/>
      </c>
    </row>
    <row r="5972">
      <c r="G5972">
        <f>G5971+0.0001</f>
        <v/>
      </c>
    </row>
    <row r="5973">
      <c r="G5973">
        <f>G5972+0.0001</f>
        <v/>
      </c>
    </row>
    <row r="5974">
      <c r="G5974">
        <f>G5973+0.0001</f>
        <v/>
      </c>
    </row>
    <row r="5975">
      <c r="G5975">
        <f>G5974+0.0001</f>
        <v/>
      </c>
    </row>
    <row r="5976">
      <c r="G5976">
        <f>G5975+0.0001</f>
        <v/>
      </c>
    </row>
    <row r="5977">
      <c r="G5977">
        <f>G5976+0.0001</f>
        <v/>
      </c>
    </row>
    <row r="5978">
      <c r="G5978">
        <f>G5977+0.0001</f>
        <v/>
      </c>
    </row>
    <row r="5979">
      <c r="G5979">
        <f>G5978+0.0001</f>
        <v/>
      </c>
    </row>
    <row r="5980">
      <c r="G5980">
        <f>G5979+0.0001</f>
        <v/>
      </c>
    </row>
    <row r="5981">
      <c r="G5981">
        <f>G5980+0.0001</f>
        <v/>
      </c>
    </row>
    <row r="5982">
      <c r="G5982">
        <f>G5981+0.0001</f>
        <v/>
      </c>
    </row>
    <row r="5983">
      <c r="G5983">
        <f>G5982+0.0001</f>
        <v/>
      </c>
    </row>
    <row r="5984">
      <c r="G5984">
        <f>G5983+0.0001</f>
        <v/>
      </c>
    </row>
    <row r="5985">
      <c r="G5985">
        <f>G5984+0.0001</f>
        <v/>
      </c>
    </row>
    <row r="5986">
      <c r="G5986">
        <f>G5985+0.0001</f>
        <v/>
      </c>
    </row>
    <row r="5987">
      <c r="G5987">
        <f>G5986+0.0001</f>
        <v/>
      </c>
    </row>
    <row r="5988">
      <c r="G5988">
        <f>G5987+0.0001</f>
        <v/>
      </c>
    </row>
    <row r="5989">
      <c r="G5989">
        <f>G5988+0.0001</f>
        <v/>
      </c>
    </row>
    <row r="5990">
      <c r="G5990">
        <f>G5989+0.0001</f>
        <v/>
      </c>
    </row>
    <row r="5991">
      <c r="G5991">
        <f>G5990+0.0001</f>
        <v/>
      </c>
    </row>
    <row r="5992">
      <c r="G5992">
        <f>G5991+0.0001</f>
        <v/>
      </c>
    </row>
    <row r="5993">
      <c r="G5993">
        <f>G5992+0.0001</f>
        <v/>
      </c>
    </row>
    <row r="5994">
      <c r="G5994">
        <f>G5993+0.0001</f>
        <v/>
      </c>
    </row>
    <row r="5995">
      <c r="G5995">
        <f>G5994+0.0001</f>
        <v/>
      </c>
    </row>
    <row r="5996">
      <c r="G5996">
        <f>G5995+0.0001</f>
        <v/>
      </c>
    </row>
    <row r="5997">
      <c r="G5997">
        <f>G5996+0.0001</f>
        <v/>
      </c>
    </row>
    <row r="5998">
      <c r="G5998">
        <f>G5997+0.0001</f>
        <v/>
      </c>
    </row>
    <row r="5999">
      <c r="G5999">
        <f>G5998+0.0001</f>
        <v/>
      </c>
    </row>
    <row r="6000">
      <c r="G6000">
        <f>G5999+0.0001</f>
        <v/>
      </c>
    </row>
    <row r="6001">
      <c r="G6001">
        <f>G6000+0.0001</f>
        <v/>
      </c>
    </row>
    <row r="6002">
      <c r="G6002">
        <f>G6001+0.0001</f>
        <v/>
      </c>
    </row>
    <row r="6003">
      <c r="G6003">
        <f>G6002+0.0001</f>
        <v/>
      </c>
    </row>
    <row r="6004">
      <c r="G6004">
        <f>G6003+0.0001</f>
        <v/>
      </c>
    </row>
    <row r="6005">
      <c r="G6005">
        <f>G6004+0.0001</f>
        <v/>
      </c>
    </row>
    <row r="6006">
      <c r="G6006">
        <f>G6005+0.0001</f>
        <v/>
      </c>
    </row>
    <row r="6007">
      <c r="G6007">
        <f>G6006+0.0001</f>
        <v/>
      </c>
    </row>
    <row r="6008">
      <c r="G6008">
        <f>G6007+0.0001</f>
        <v/>
      </c>
    </row>
    <row r="6009">
      <c r="G6009">
        <f>G6008+0.0001</f>
        <v/>
      </c>
    </row>
    <row r="6010">
      <c r="G6010">
        <f>G6009+0.0001</f>
        <v/>
      </c>
    </row>
    <row r="6011">
      <c r="G6011">
        <f>G6010+0.0001</f>
        <v/>
      </c>
    </row>
    <row r="6012">
      <c r="G6012">
        <f>G6011+0.0001</f>
        <v/>
      </c>
    </row>
    <row r="6013">
      <c r="G6013">
        <f>G6012+0.0001</f>
        <v/>
      </c>
    </row>
    <row r="6014">
      <c r="G6014">
        <f>G6013+0.0001</f>
        <v/>
      </c>
    </row>
    <row r="6015">
      <c r="G6015">
        <f>G6014+0.0001</f>
        <v/>
      </c>
    </row>
    <row r="6016">
      <c r="G6016">
        <f>G6015+0.0001</f>
        <v/>
      </c>
    </row>
    <row r="6017">
      <c r="G6017">
        <f>G6016+0.0001</f>
        <v/>
      </c>
    </row>
    <row r="6018">
      <c r="G6018">
        <f>G6017+0.0001</f>
        <v/>
      </c>
    </row>
    <row r="6019">
      <c r="G6019">
        <f>G6018+0.0001</f>
        <v/>
      </c>
    </row>
    <row r="6020">
      <c r="G6020">
        <f>G6019+0.0001</f>
        <v/>
      </c>
    </row>
    <row r="6021">
      <c r="G6021">
        <f>G6020+0.0001</f>
        <v/>
      </c>
    </row>
    <row r="6022">
      <c r="G6022">
        <f>G6021+0.0001</f>
        <v/>
      </c>
    </row>
    <row r="6023">
      <c r="G6023">
        <f>G6022+0.0001</f>
        <v/>
      </c>
    </row>
    <row r="6024">
      <c r="G6024">
        <f>G6023+0.0001</f>
        <v/>
      </c>
    </row>
    <row r="6025">
      <c r="G6025">
        <f>G6024+0.0001</f>
        <v/>
      </c>
    </row>
    <row r="6026">
      <c r="G6026">
        <f>G6025+0.0001</f>
        <v/>
      </c>
    </row>
    <row r="6027">
      <c r="G6027">
        <f>G6026+0.0001</f>
        <v/>
      </c>
    </row>
    <row r="6028">
      <c r="G6028">
        <f>G6027+0.0001</f>
        <v/>
      </c>
    </row>
    <row r="6029">
      <c r="G6029">
        <f>G6028+0.0001</f>
        <v/>
      </c>
    </row>
    <row r="6030">
      <c r="G6030">
        <f>G6029+0.0001</f>
        <v/>
      </c>
    </row>
    <row r="6031">
      <c r="G6031">
        <f>G6030+0.0001</f>
        <v/>
      </c>
    </row>
    <row r="6032">
      <c r="G6032">
        <f>G6031+0.0001</f>
        <v/>
      </c>
    </row>
    <row r="6033">
      <c r="G6033">
        <f>G6032+0.0001</f>
        <v/>
      </c>
    </row>
    <row r="6034">
      <c r="G6034">
        <f>G6033+0.0001</f>
        <v/>
      </c>
    </row>
    <row r="6035">
      <c r="G6035">
        <f>G6034+0.0001</f>
        <v/>
      </c>
    </row>
    <row r="6036">
      <c r="G6036">
        <f>G6035+0.0001</f>
        <v/>
      </c>
    </row>
    <row r="6037">
      <c r="G6037">
        <f>G6036+0.0001</f>
        <v/>
      </c>
    </row>
    <row r="6038">
      <c r="G6038">
        <f>G6037+0.0001</f>
        <v/>
      </c>
    </row>
    <row r="6039">
      <c r="G6039">
        <f>G6038+0.0001</f>
        <v/>
      </c>
    </row>
    <row r="6040">
      <c r="G6040">
        <f>G6039+0.0001</f>
        <v/>
      </c>
    </row>
    <row r="6041">
      <c r="G6041">
        <f>G6040+0.0001</f>
        <v/>
      </c>
    </row>
    <row r="6042">
      <c r="G6042">
        <f>G6041+0.0001</f>
        <v/>
      </c>
    </row>
    <row r="6043">
      <c r="G6043">
        <f>G6042+0.0001</f>
        <v/>
      </c>
    </row>
    <row r="6044">
      <c r="G6044">
        <f>G6043+0.0001</f>
        <v/>
      </c>
    </row>
    <row r="6045">
      <c r="G6045">
        <f>G6044+0.0001</f>
        <v/>
      </c>
    </row>
    <row r="6046">
      <c r="G6046">
        <f>G6045+0.0001</f>
        <v/>
      </c>
    </row>
    <row r="6047">
      <c r="G6047">
        <f>G6046+0.0001</f>
        <v/>
      </c>
    </row>
    <row r="6048">
      <c r="G6048">
        <f>G6047+0.0001</f>
        <v/>
      </c>
    </row>
    <row r="6049">
      <c r="G6049">
        <f>G6048+0.0001</f>
        <v/>
      </c>
    </row>
    <row r="6050">
      <c r="G6050">
        <f>G6049+0.0001</f>
        <v/>
      </c>
    </row>
    <row r="6051">
      <c r="G6051">
        <f>G6050+0.0001</f>
        <v/>
      </c>
    </row>
    <row r="6052">
      <c r="G6052">
        <f>G6051+0.0001</f>
        <v/>
      </c>
    </row>
    <row r="6053">
      <c r="G6053">
        <f>G6052+0.0001</f>
        <v/>
      </c>
    </row>
    <row r="6054">
      <c r="G6054">
        <f>G6053+0.0001</f>
        <v/>
      </c>
    </row>
    <row r="6055">
      <c r="G6055">
        <f>G6054+0.0001</f>
        <v/>
      </c>
    </row>
    <row r="6056">
      <c r="G6056">
        <f>G6055+0.0001</f>
        <v/>
      </c>
    </row>
    <row r="6057">
      <c r="G6057">
        <f>G6056+0.0001</f>
        <v/>
      </c>
    </row>
    <row r="6058">
      <c r="G6058">
        <f>G6057+0.0001</f>
        <v/>
      </c>
    </row>
    <row r="6059">
      <c r="G6059">
        <f>G6058+0.0001</f>
        <v/>
      </c>
    </row>
    <row r="6060">
      <c r="G6060">
        <f>G6059+0.0001</f>
        <v/>
      </c>
    </row>
    <row r="6061">
      <c r="G6061">
        <f>G6060+0.0001</f>
        <v/>
      </c>
    </row>
    <row r="6062">
      <c r="G6062">
        <f>G6061+0.0001</f>
        <v/>
      </c>
    </row>
    <row r="6063">
      <c r="G6063">
        <f>G6062+0.0001</f>
        <v/>
      </c>
    </row>
    <row r="6064">
      <c r="G6064">
        <f>G6063+0.0001</f>
        <v/>
      </c>
    </row>
    <row r="6065">
      <c r="G6065">
        <f>G6064+0.0001</f>
        <v/>
      </c>
    </row>
    <row r="6066">
      <c r="G6066">
        <f>G6065+0.0001</f>
        <v/>
      </c>
    </row>
    <row r="6067">
      <c r="G6067">
        <f>G6066+0.0001</f>
        <v/>
      </c>
    </row>
    <row r="6068">
      <c r="G6068">
        <f>G6067+0.0001</f>
        <v/>
      </c>
    </row>
    <row r="6069">
      <c r="G6069">
        <f>G6068+0.0001</f>
        <v/>
      </c>
    </row>
    <row r="6070">
      <c r="G6070">
        <f>G6069+0.0001</f>
        <v/>
      </c>
    </row>
    <row r="6071">
      <c r="G6071">
        <f>G6070+0.0001</f>
        <v/>
      </c>
    </row>
    <row r="6072">
      <c r="G6072">
        <f>G6071+0.0001</f>
        <v/>
      </c>
    </row>
    <row r="6073">
      <c r="G6073">
        <f>G6072+0.0001</f>
        <v/>
      </c>
    </row>
    <row r="6074">
      <c r="G6074">
        <f>G6073+0.0001</f>
        <v/>
      </c>
    </row>
    <row r="6075">
      <c r="G6075">
        <f>G6074+0.0001</f>
        <v/>
      </c>
    </row>
    <row r="6076">
      <c r="G6076">
        <f>G6075+0.0001</f>
        <v/>
      </c>
    </row>
    <row r="6077">
      <c r="G6077">
        <f>G6076+0.0001</f>
        <v/>
      </c>
    </row>
    <row r="6078">
      <c r="G6078">
        <f>G6077+0.0001</f>
        <v/>
      </c>
    </row>
    <row r="6079">
      <c r="G6079">
        <f>G6078+0.0001</f>
        <v/>
      </c>
    </row>
    <row r="6080">
      <c r="G6080">
        <f>G6079+0.0001</f>
        <v/>
      </c>
    </row>
    <row r="6081">
      <c r="G6081">
        <f>G6080+0.0001</f>
        <v/>
      </c>
    </row>
    <row r="6082">
      <c r="G6082">
        <f>G6081+0.0001</f>
        <v/>
      </c>
    </row>
    <row r="6083">
      <c r="G6083">
        <f>G6082+0.0001</f>
        <v/>
      </c>
    </row>
    <row r="6084">
      <c r="G6084">
        <f>G6083+0.0001</f>
        <v/>
      </c>
    </row>
    <row r="6085">
      <c r="G6085">
        <f>G6084+0.0001</f>
        <v/>
      </c>
    </row>
    <row r="6086">
      <c r="G6086">
        <f>G6085+0.0001</f>
        <v/>
      </c>
    </row>
    <row r="6087">
      <c r="G6087">
        <f>G6086+0.0001</f>
        <v/>
      </c>
    </row>
    <row r="6088">
      <c r="G6088">
        <f>G6087+0.0001</f>
        <v/>
      </c>
    </row>
    <row r="6089">
      <c r="G6089">
        <f>G6088+0.0001</f>
        <v/>
      </c>
    </row>
    <row r="6090">
      <c r="G6090">
        <f>G6089+0.0001</f>
        <v/>
      </c>
    </row>
    <row r="6091">
      <c r="G6091">
        <f>G6090+0.0001</f>
        <v/>
      </c>
    </row>
    <row r="6092">
      <c r="G6092">
        <f>G6091+0.0001</f>
        <v/>
      </c>
    </row>
    <row r="6093">
      <c r="G6093">
        <f>G6092+0.0001</f>
        <v/>
      </c>
    </row>
    <row r="6094">
      <c r="G6094">
        <f>G6093+0.0001</f>
        <v/>
      </c>
    </row>
    <row r="6095">
      <c r="G6095">
        <f>G6094+0.0001</f>
        <v/>
      </c>
    </row>
    <row r="6096">
      <c r="G6096">
        <f>G6095+0.0001</f>
        <v/>
      </c>
    </row>
    <row r="6097">
      <c r="G6097">
        <f>G6096+0.0001</f>
        <v/>
      </c>
    </row>
    <row r="6098">
      <c r="G6098">
        <f>G6097+0.0001</f>
        <v/>
      </c>
    </row>
    <row r="6099">
      <c r="G6099">
        <f>G6098+0.0001</f>
        <v/>
      </c>
    </row>
    <row r="6100">
      <c r="G6100">
        <f>G6099+0.0001</f>
        <v/>
      </c>
    </row>
    <row r="6101">
      <c r="G6101">
        <f>G6100+0.0001</f>
        <v/>
      </c>
    </row>
    <row r="6102">
      <c r="G6102">
        <f>G6101+0.0001</f>
        <v/>
      </c>
    </row>
    <row r="6103">
      <c r="G6103">
        <f>G6102+0.0001</f>
        <v/>
      </c>
    </row>
    <row r="6104">
      <c r="G6104">
        <f>G6103+0.0001</f>
        <v/>
      </c>
    </row>
    <row r="6105">
      <c r="G6105">
        <f>G6104+0.0001</f>
        <v/>
      </c>
    </row>
    <row r="6106">
      <c r="G6106">
        <f>G6105+0.0001</f>
        <v/>
      </c>
    </row>
    <row r="6107">
      <c r="G6107">
        <f>G6106+0.0001</f>
        <v/>
      </c>
    </row>
    <row r="6108">
      <c r="G6108">
        <f>G6107+0.0001</f>
        <v/>
      </c>
    </row>
    <row r="6109">
      <c r="G6109">
        <f>G6108+0.0001</f>
        <v/>
      </c>
    </row>
    <row r="6110">
      <c r="G6110">
        <f>G6109+0.0001</f>
        <v/>
      </c>
    </row>
    <row r="6111">
      <c r="G6111">
        <f>G6110+0.0001</f>
        <v/>
      </c>
    </row>
    <row r="6112">
      <c r="G6112">
        <f>G6111+0.0001</f>
        <v/>
      </c>
    </row>
    <row r="6113">
      <c r="G6113">
        <f>G6112+0.0001</f>
        <v/>
      </c>
    </row>
    <row r="6114">
      <c r="G6114">
        <f>G6113+0.0001</f>
        <v/>
      </c>
    </row>
    <row r="6115">
      <c r="G6115">
        <f>G6114+0.0001</f>
        <v/>
      </c>
    </row>
    <row r="6116">
      <c r="G6116">
        <f>G6115+0.0001</f>
        <v/>
      </c>
    </row>
    <row r="6117">
      <c r="G6117">
        <f>G6116+0.0001</f>
        <v/>
      </c>
    </row>
    <row r="6118">
      <c r="G6118">
        <f>G6117+0.0001</f>
        <v/>
      </c>
    </row>
    <row r="6119">
      <c r="G6119">
        <f>G6118+0.0001</f>
        <v/>
      </c>
    </row>
    <row r="6120">
      <c r="G6120">
        <f>G6119+0.0001</f>
        <v/>
      </c>
    </row>
    <row r="6121">
      <c r="G6121">
        <f>G6120+0.0001</f>
        <v/>
      </c>
    </row>
    <row r="6122">
      <c r="G6122">
        <f>G6121+0.0001</f>
        <v/>
      </c>
    </row>
    <row r="6123">
      <c r="G6123">
        <f>G6122+0.0001</f>
        <v/>
      </c>
    </row>
    <row r="6124">
      <c r="G6124">
        <f>G6123+0.0001</f>
        <v/>
      </c>
    </row>
    <row r="6125">
      <c r="G6125">
        <f>G6124+0.0001</f>
        <v/>
      </c>
    </row>
    <row r="6126">
      <c r="G6126">
        <f>G6125+0.0001</f>
        <v/>
      </c>
    </row>
    <row r="6127">
      <c r="G6127">
        <f>G6126+0.0001</f>
        <v/>
      </c>
    </row>
    <row r="6128">
      <c r="G6128">
        <f>G6127+0.0001</f>
        <v/>
      </c>
    </row>
    <row r="6129">
      <c r="G6129">
        <f>G6128+0.0001</f>
        <v/>
      </c>
    </row>
    <row r="6130">
      <c r="G6130">
        <f>G6129+0.0001</f>
        <v/>
      </c>
    </row>
    <row r="6131">
      <c r="G6131">
        <f>G6130+0.0001</f>
        <v/>
      </c>
    </row>
    <row r="6132">
      <c r="G6132">
        <f>G6131+0.0001</f>
        <v/>
      </c>
    </row>
    <row r="6133">
      <c r="G6133">
        <f>G6132+0.0001</f>
        <v/>
      </c>
    </row>
    <row r="6134">
      <c r="G6134">
        <f>G6133+0.0001</f>
        <v/>
      </c>
    </row>
    <row r="6135">
      <c r="G6135">
        <f>G6134+0.0001</f>
        <v/>
      </c>
    </row>
    <row r="6136">
      <c r="G6136">
        <f>G6135+0.0001</f>
        <v/>
      </c>
    </row>
    <row r="6137">
      <c r="G6137">
        <f>G6136+0.0001</f>
        <v/>
      </c>
    </row>
    <row r="6138">
      <c r="G6138">
        <f>G6137+0.0001</f>
        <v/>
      </c>
    </row>
    <row r="6139">
      <c r="G6139">
        <f>G6138+0.0001</f>
        <v/>
      </c>
    </row>
    <row r="6140">
      <c r="G6140">
        <f>G6139+0.0001</f>
        <v/>
      </c>
    </row>
    <row r="6141">
      <c r="G6141">
        <f>G6140+0.0001</f>
        <v/>
      </c>
    </row>
    <row r="6142">
      <c r="G6142">
        <f>G6141+0.0001</f>
        <v/>
      </c>
    </row>
    <row r="6143">
      <c r="G6143">
        <f>G6142+0.0001</f>
        <v/>
      </c>
    </row>
    <row r="6144">
      <c r="G6144">
        <f>G6143+0.0001</f>
        <v/>
      </c>
    </row>
    <row r="6145">
      <c r="G6145">
        <f>G6144+0.0001</f>
        <v/>
      </c>
    </row>
    <row r="6146">
      <c r="G6146">
        <f>G6145+0.0001</f>
        <v/>
      </c>
    </row>
    <row r="6147">
      <c r="G6147">
        <f>G6146+0.0001</f>
        <v/>
      </c>
    </row>
    <row r="6148">
      <c r="G6148">
        <f>G6147+0.0001</f>
        <v/>
      </c>
    </row>
    <row r="6149">
      <c r="G6149">
        <f>G6148+0.0001</f>
        <v/>
      </c>
    </row>
    <row r="6150">
      <c r="G6150">
        <f>G6149+0.0001</f>
        <v/>
      </c>
    </row>
    <row r="6151">
      <c r="G6151">
        <f>G6150+0.0001</f>
        <v/>
      </c>
    </row>
    <row r="6152">
      <c r="G6152">
        <f>G6151+0.0001</f>
        <v/>
      </c>
    </row>
    <row r="6153">
      <c r="G6153">
        <f>G6152+0.0001</f>
        <v/>
      </c>
    </row>
    <row r="6154">
      <c r="G6154">
        <f>G6153+0.0001</f>
        <v/>
      </c>
    </row>
    <row r="6155">
      <c r="G6155">
        <f>G6154+0.0001</f>
        <v/>
      </c>
    </row>
    <row r="6156">
      <c r="G6156">
        <f>G6155+0.0001</f>
        <v/>
      </c>
    </row>
    <row r="6157">
      <c r="G6157">
        <f>G6156+0.0001</f>
        <v/>
      </c>
    </row>
    <row r="6158">
      <c r="G6158">
        <f>G6157+0.0001</f>
        <v/>
      </c>
    </row>
    <row r="6159">
      <c r="G6159">
        <f>G6158+0.0001</f>
        <v/>
      </c>
    </row>
    <row r="6160">
      <c r="G6160">
        <f>G6159+0.0001</f>
        <v/>
      </c>
    </row>
    <row r="6161">
      <c r="G6161">
        <f>G6160+0.0001</f>
        <v/>
      </c>
    </row>
    <row r="6162">
      <c r="G6162">
        <f>G6161+0.0001</f>
        <v/>
      </c>
    </row>
    <row r="6163">
      <c r="G6163">
        <f>G6162+0.0001</f>
        <v/>
      </c>
    </row>
    <row r="6164">
      <c r="G6164">
        <f>G6163+0.0001</f>
        <v/>
      </c>
    </row>
    <row r="6165">
      <c r="G6165">
        <f>G6164+0.0001</f>
        <v/>
      </c>
    </row>
    <row r="6166">
      <c r="G6166">
        <f>G6165+0.0001</f>
        <v/>
      </c>
    </row>
    <row r="6167">
      <c r="G6167">
        <f>G6166+0.0001</f>
        <v/>
      </c>
    </row>
    <row r="6168">
      <c r="G6168">
        <f>G6167+0.0001</f>
        <v/>
      </c>
    </row>
    <row r="6169">
      <c r="G6169">
        <f>G6168+0.0001</f>
        <v/>
      </c>
    </row>
    <row r="6170">
      <c r="G6170">
        <f>G6169+0.0001</f>
        <v/>
      </c>
    </row>
    <row r="6171">
      <c r="G6171">
        <f>G6170+0.0001</f>
        <v/>
      </c>
    </row>
    <row r="6172">
      <c r="G6172">
        <f>G6171+0.0001</f>
        <v/>
      </c>
    </row>
    <row r="6173">
      <c r="G6173">
        <f>G6172+0.0001</f>
        <v/>
      </c>
    </row>
    <row r="6174">
      <c r="G6174">
        <f>G6173+0.0001</f>
        <v/>
      </c>
    </row>
    <row r="6175">
      <c r="G6175">
        <f>G6174+0.0001</f>
        <v/>
      </c>
    </row>
    <row r="6176">
      <c r="G6176">
        <f>G6175+0.0001</f>
        <v/>
      </c>
    </row>
    <row r="6177">
      <c r="G6177">
        <f>G6176+0.0001</f>
        <v/>
      </c>
    </row>
    <row r="6178">
      <c r="G6178">
        <f>G6177+0.0001</f>
        <v/>
      </c>
    </row>
    <row r="6179">
      <c r="G6179">
        <f>G6178+0.0001</f>
        <v/>
      </c>
    </row>
    <row r="6180">
      <c r="G6180">
        <f>G6179+0.0001</f>
        <v/>
      </c>
    </row>
    <row r="6181">
      <c r="G6181">
        <f>G6180+0.0001</f>
        <v/>
      </c>
    </row>
    <row r="6182">
      <c r="G6182">
        <f>G6181+0.0001</f>
        <v/>
      </c>
    </row>
    <row r="6183">
      <c r="G6183">
        <f>G6182+0.0001</f>
        <v/>
      </c>
    </row>
    <row r="6184">
      <c r="G6184">
        <f>G6183+0.0001</f>
        <v/>
      </c>
    </row>
    <row r="6185">
      <c r="G6185">
        <f>G6184+0.0001</f>
        <v/>
      </c>
    </row>
    <row r="6186">
      <c r="G6186">
        <f>G6185+0.0001</f>
        <v/>
      </c>
    </row>
    <row r="6187">
      <c r="G6187">
        <f>G6186+0.0001</f>
        <v/>
      </c>
    </row>
    <row r="6188">
      <c r="G6188">
        <f>G6187+0.0001</f>
        <v/>
      </c>
    </row>
    <row r="6189">
      <c r="G6189">
        <f>G6188+0.0001</f>
        <v/>
      </c>
    </row>
    <row r="6190">
      <c r="G6190">
        <f>G6189+0.0001</f>
        <v/>
      </c>
    </row>
    <row r="6191">
      <c r="G6191">
        <f>G6190+0.0001</f>
        <v/>
      </c>
    </row>
    <row r="6192">
      <c r="G6192">
        <f>G6191+0.0001</f>
        <v/>
      </c>
    </row>
    <row r="6193">
      <c r="G6193">
        <f>G6192+0.0001</f>
        <v/>
      </c>
    </row>
    <row r="6194">
      <c r="G6194">
        <f>G6193+0.0001</f>
        <v/>
      </c>
    </row>
    <row r="6195">
      <c r="G6195">
        <f>G6194+0.0001</f>
        <v/>
      </c>
    </row>
    <row r="6196">
      <c r="G6196">
        <f>G6195+0.0001</f>
        <v/>
      </c>
    </row>
    <row r="6197">
      <c r="G6197">
        <f>G6196+0.0001</f>
        <v/>
      </c>
    </row>
    <row r="6198">
      <c r="G6198">
        <f>G6197+0.0001</f>
        <v/>
      </c>
    </row>
    <row r="6199">
      <c r="G6199">
        <f>G6198+0.0001</f>
        <v/>
      </c>
    </row>
    <row r="6200">
      <c r="G6200">
        <f>G6199+0.0001</f>
        <v/>
      </c>
    </row>
    <row r="6201">
      <c r="G6201">
        <f>G6200+0.0001</f>
        <v/>
      </c>
    </row>
    <row r="6202">
      <c r="G6202">
        <f>G6201+0.0001</f>
        <v/>
      </c>
    </row>
    <row r="6203">
      <c r="G6203">
        <f>G6202+0.0001</f>
        <v/>
      </c>
    </row>
    <row r="6204">
      <c r="G6204">
        <f>G6203+0.0001</f>
        <v/>
      </c>
    </row>
    <row r="6205">
      <c r="G6205">
        <f>G6204+0.0001</f>
        <v/>
      </c>
    </row>
    <row r="6206">
      <c r="G6206">
        <f>G6205+0.0001</f>
        <v/>
      </c>
    </row>
    <row r="6207">
      <c r="G6207">
        <f>G6206+0.0001</f>
        <v/>
      </c>
    </row>
    <row r="6208">
      <c r="G6208">
        <f>G6207+0.0001</f>
        <v/>
      </c>
    </row>
    <row r="6209">
      <c r="G6209">
        <f>G6208+0.0001</f>
        <v/>
      </c>
    </row>
    <row r="6210">
      <c r="G6210">
        <f>G6209+0.0001</f>
        <v/>
      </c>
    </row>
    <row r="6211">
      <c r="G6211">
        <f>G6210+0.0001</f>
        <v/>
      </c>
    </row>
    <row r="6212">
      <c r="G6212">
        <f>G6211+0.0001</f>
        <v/>
      </c>
    </row>
    <row r="6213">
      <c r="G6213">
        <f>G6212+0.0001</f>
        <v/>
      </c>
    </row>
    <row r="6214">
      <c r="G6214">
        <f>G6213+0.0001</f>
        <v/>
      </c>
    </row>
    <row r="6215">
      <c r="G6215">
        <f>G6214+0.0001</f>
        <v/>
      </c>
    </row>
    <row r="6216">
      <c r="G6216">
        <f>G6215+0.0001</f>
        <v/>
      </c>
    </row>
    <row r="6217">
      <c r="G6217">
        <f>G6216+0.0001</f>
        <v/>
      </c>
    </row>
    <row r="6218">
      <c r="G6218">
        <f>G6217+0.0001</f>
        <v/>
      </c>
    </row>
    <row r="6219">
      <c r="G6219">
        <f>G6218+0.0001</f>
        <v/>
      </c>
    </row>
    <row r="6220">
      <c r="G6220">
        <f>G6219+0.0001</f>
        <v/>
      </c>
    </row>
    <row r="6221">
      <c r="G6221">
        <f>G6220+0.0001</f>
        <v/>
      </c>
    </row>
    <row r="6222">
      <c r="G6222">
        <f>G6221+0.0001</f>
        <v/>
      </c>
    </row>
    <row r="6223">
      <c r="G6223">
        <f>G6222+0.0001</f>
        <v/>
      </c>
    </row>
    <row r="6224">
      <c r="G6224">
        <f>G6223+0.0001</f>
        <v/>
      </c>
    </row>
    <row r="6225">
      <c r="G6225">
        <f>G6224+0.0001</f>
        <v/>
      </c>
    </row>
    <row r="6226">
      <c r="G6226">
        <f>G6225+0.0001</f>
        <v/>
      </c>
    </row>
    <row r="6227">
      <c r="G6227">
        <f>G6226+0.0001</f>
        <v/>
      </c>
    </row>
    <row r="6228">
      <c r="G6228">
        <f>G6227+0.0001</f>
        <v/>
      </c>
    </row>
    <row r="6229">
      <c r="G6229">
        <f>G6228+0.0001</f>
        <v/>
      </c>
    </row>
    <row r="6230">
      <c r="G6230">
        <f>G6229+0.0001</f>
        <v/>
      </c>
    </row>
    <row r="6231">
      <c r="G6231">
        <f>G6230+0.0001</f>
        <v/>
      </c>
    </row>
    <row r="6232">
      <c r="G6232">
        <f>G6231+0.0001</f>
        <v/>
      </c>
    </row>
    <row r="6233">
      <c r="G6233">
        <f>G6232+0.0001</f>
        <v/>
      </c>
    </row>
    <row r="6234">
      <c r="G6234">
        <f>G6233+0.0001</f>
        <v/>
      </c>
    </row>
    <row r="6235">
      <c r="G6235">
        <f>G6234+0.0001</f>
        <v/>
      </c>
    </row>
    <row r="6236">
      <c r="G6236">
        <f>G6235+0.0001</f>
        <v/>
      </c>
    </row>
    <row r="6237">
      <c r="G6237">
        <f>G6236+0.0001</f>
        <v/>
      </c>
    </row>
    <row r="6238">
      <c r="G6238">
        <f>G6237+0.0001</f>
        <v/>
      </c>
    </row>
    <row r="6239">
      <c r="G6239">
        <f>G6238+0.0001</f>
        <v/>
      </c>
    </row>
    <row r="6240">
      <c r="G6240">
        <f>G6239+0.0001</f>
        <v/>
      </c>
    </row>
    <row r="6241">
      <c r="G6241">
        <f>G6240+0.0001</f>
        <v/>
      </c>
    </row>
    <row r="6242">
      <c r="G6242">
        <f>G6241+0.0001</f>
        <v/>
      </c>
    </row>
    <row r="6243">
      <c r="G6243">
        <f>G6242+0.0001</f>
        <v/>
      </c>
    </row>
    <row r="6244">
      <c r="G6244">
        <f>G6243+0.0001</f>
        <v/>
      </c>
    </row>
    <row r="6245">
      <c r="G6245">
        <f>G6244+0.0001</f>
        <v/>
      </c>
    </row>
    <row r="6246">
      <c r="G6246">
        <f>G6245+0.0001</f>
        <v/>
      </c>
    </row>
    <row r="6247">
      <c r="G6247">
        <f>G6246+0.0001</f>
        <v/>
      </c>
    </row>
    <row r="6248">
      <c r="G6248">
        <f>G6247+0.0001</f>
        <v/>
      </c>
    </row>
    <row r="6249">
      <c r="G6249">
        <f>G6248+0.0001</f>
        <v/>
      </c>
    </row>
    <row r="6250">
      <c r="G6250">
        <f>G6249+0.0001</f>
        <v/>
      </c>
    </row>
    <row r="6251">
      <c r="G6251">
        <f>G6250+0.0001</f>
        <v/>
      </c>
    </row>
    <row r="6252">
      <c r="G6252">
        <f>G6251+0.0001</f>
        <v/>
      </c>
    </row>
    <row r="6253">
      <c r="G6253">
        <f>G6252+0.0001</f>
        <v/>
      </c>
    </row>
    <row r="6254">
      <c r="G6254">
        <f>G6253+0.0001</f>
        <v/>
      </c>
    </row>
    <row r="6255">
      <c r="G6255">
        <f>G6254+0.0001</f>
        <v/>
      </c>
    </row>
    <row r="6256">
      <c r="G6256">
        <f>G6255+0.0001</f>
        <v/>
      </c>
    </row>
    <row r="6257">
      <c r="G6257">
        <f>G6256+0.0001</f>
        <v/>
      </c>
    </row>
    <row r="6258">
      <c r="G6258">
        <f>G6257+0.0001</f>
        <v/>
      </c>
    </row>
    <row r="6259">
      <c r="G6259">
        <f>G6258+0.0001</f>
        <v/>
      </c>
    </row>
    <row r="6260">
      <c r="G6260">
        <f>G6259+0.0001</f>
        <v/>
      </c>
    </row>
    <row r="6261">
      <c r="G6261">
        <f>G6260+0.0001</f>
        <v/>
      </c>
    </row>
    <row r="6262">
      <c r="G6262">
        <f>G6261+0.0001</f>
        <v/>
      </c>
    </row>
    <row r="6263">
      <c r="G6263">
        <f>G6262+0.0001</f>
        <v/>
      </c>
    </row>
    <row r="6264">
      <c r="G6264">
        <f>G6263+0.0001</f>
        <v/>
      </c>
    </row>
    <row r="6265">
      <c r="G6265">
        <f>G6264+0.0001</f>
        <v/>
      </c>
    </row>
    <row r="6266">
      <c r="G6266">
        <f>G6265+0.0001</f>
        <v/>
      </c>
    </row>
    <row r="6267">
      <c r="G6267">
        <f>G6266+0.0001</f>
        <v/>
      </c>
    </row>
    <row r="6268">
      <c r="G6268">
        <f>G6267+0.0001</f>
        <v/>
      </c>
    </row>
    <row r="6269">
      <c r="G6269">
        <f>G6268+0.0001</f>
        <v/>
      </c>
    </row>
    <row r="6270">
      <c r="G6270">
        <f>G6269+0.0001</f>
        <v/>
      </c>
    </row>
    <row r="6271">
      <c r="G6271">
        <f>G6270+0.0001</f>
        <v/>
      </c>
    </row>
    <row r="6272">
      <c r="G6272">
        <f>G6271+0.0001</f>
        <v/>
      </c>
    </row>
    <row r="6273">
      <c r="G6273">
        <f>G6272+0.0001</f>
        <v/>
      </c>
    </row>
    <row r="6274">
      <c r="G6274">
        <f>G6273+0.0001</f>
        <v/>
      </c>
    </row>
    <row r="6275">
      <c r="G6275">
        <f>G6274+0.0001</f>
        <v/>
      </c>
    </row>
    <row r="6276">
      <c r="G6276">
        <f>G6275+0.0001</f>
        <v/>
      </c>
    </row>
    <row r="6277">
      <c r="G6277">
        <f>G6276+0.0001</f>
        <v/>
      </c>
    </row>
    <row r="6278">
      <c r="G6278">
        <f>G6277+0.0001</f>
        <v/>
      </c>
    </row>
    <row r="6279">
      <c r="G6279">
        <f>G6278+0.0001</f>
        <v/>
      </c>
    </row>
    <row r="6280">
      <c r="G6280">
        <f>G6279+0.0001</f>
        <v/>
      </c>
    </row>
    <row r="6281">
      <c r="G6281">
        <f>G6280+0.0001</f>
        <v/>
      </c>
    </row>
    <row r="6282">
      <c r="G6282">
        <f>G6281+0.0001</f>
        <v/>
      </c>
    </row>
    <row r="6283">
      <c r="G6283">
        <f>G6282+0.0001</f>
        <v/>
      </c>
    </row>
    <row r="6284">
      <c r="G6284">
        <f>G6283+0.0001</f>
        <v/>
      </c>
    </row>
    <row r="6285">
      <c r="G6285">
        <f>G6284+0.0001</f>
        <v/>
      </c>
    </row>
    <row r="6286">
      <c r="G6286">
        <f>G6285+0.0001</f>
        <v/>
      </c>
    </row>
    <row r="6287">
      <c r="G6287">
        <f>G6286+0.0001</f>
        <v/>
      </c>
    </row>
    <row r="6288">
      <c r="G6288">
        <f>G6287+0.0001</f>
        <v/>
      </c>
    </row>
    <row r="6289">
      <c r="G6289">
        <f>G6288+0.0001</f>
        <v/>
      </c>
    </row>
    <row r="6290">
      <c r="G6290">
        <f>G6289+0.0001</f>
        <v/>
      </c>
    </row>
    <row r="6291">
      <c r="G6291">
        <f>G6290+0.0001</f>
        <v/>
      </c>
    </row>
    <row r="6292">
      <c r="G6292">
        <f>G6291+0.0001</f>
        <v/>
      </c>
    </row>
    <row r="6293">
      <c r="G6293">
        <f>G6292+0.0001</f>
        <v/>
      </c>
    </row>
    <row r="6294">
      <c r="G6294">
        <f>G6293+0.0001</f>
        <v/>
      </c>
    </row>
    <row r="6295">
      <c r="G6295">
        <f>G6294+0.0001</f>
        <v/>
      </c>
    </row>
    <row r="6296">
      <c r="G6296">
        <f>G6295+0.0001</f>
        <v/>
      </c>
    </row>
    <row r="6297">
      <c r="G6297">
        <f>G6296+0.0001</f>
        <v/>
      </c>
    </row>
    <row r="6298">
      <c r="G6298">
        <f>G6297+0.0001</f>
        <v/>
      </c>
    </row>
    <row r="6299">
      <c r="G6299">
        <f>G6298+0.0001</f>
        <v/>
      </c>
    </row>
    <row r="6300">
      <c r="G6300">
        <f>G6299+0.0001</f>
        <v/>
      </c>
    </row>
    <row r="6301">
      <c r="G6301">
        <f>G6300+0.0001</f>
        <v/>
      </c>
    </row>
    <row r="6302">
      <c r="G6302">
        <f>G6301+0.0001</f>
        <v/>
      </c>
    </row>
    <row r="6303">
      <c r="G6303">
        <f>G6302+0.0001</f>
        <v/>
      </c>
    </row>
    <row r="6304">
      <c r="G6304">
        <f>G6303+0.0001</f>
        <v/>
      </c>
    </row>
    <row r="6305">
      <c r="G6305">
        <f>G6304+0.0001</f>
        <v/>
      </c>
    </row>
    <row r="6306">
      <c r="G6306">
        <f>G6305+0.0001</f>
        <v/>
      </c>
    </row>
    <row r="6307">
      <c r="G6307">
        <f>G6306+0.0001</f>
        <v/>
      </c>
    </row>
    <row r="6308">
      <c r="G6308">
        <f>G6307+0.0001</f>
        <v/>
      </c>
    </row>
    <row r="6309">
      <c r="G6309">
        <f>G6308+0.0001</f>
        <v/>
      </c>
    </row>
    <row r="6310">
      <c r="G6310">
        <f>G6309+0.0001</f>
        <v/>
      </c>
    </row>
    <row r="6311">
      <c r="G6311">
        <f>G6310+0.0001</f>
        <v/>
      </c>
    </row>
    <row r="6312">
      <c r="G6312">
        <f>G6311+0.0001</f>
        <v/>
      </c>
    </row>
    <row r="6313">
      <c r="G6313">
        <f>G6312+0.0001</f>
        <v/>
      </c>
    </row>
    <row r="6314">
      <c r="G6314">
        <f>G6313+0.0001</f>
        <v/>
      </c>
    </row>
    <row r="6315">
      <c r="G6315">
        <f>G6314+0.0001</f>
        <v/>
      </c>
    </row>
    <row r="6316">
      <c r="G6316">
        <f>G6315+0.0001</f>
        <v/>
      </c>
    </row>
    <row r="6317">
      <c r="G6317">
        <f>G6316+0.0001</f>
        <v/>
      </c>
    </row>
    <row r="6318">
      <c r="G6318">
        <f>G6317+0.0001</f>
        <v/>
      </c>
    </row>
    <row r="6319">
      <c r="G6319">
        <f>G6318+0.0001</f>
        <v/>
      </c>
    </row>
    <row r="6320">
      <c r="G6320">
        <f>G6319+0.0001</f>
        <v/>
      </c>
    </row>
    <row r="6321">
      <c r="G6321">
        <f>G6320+0.0001</f>
        <v/>
      </c>
    </row>
    <row r="6322">
      <c r="G6322">
        <f>G6321+0.0001</f>
        <v/>
      </c>
    </row>
    <row r="6323">
      <c r="G6323">
        <f>G6322+0.0001</f>
        <v/>
      </c>
    </row>
    <row r="6324">
      <c r="G6324">
        <f>G6323+0.0001</f>
        <v/>
      </c>
    </row>
    <row r="6325">
      <c r="G6325">
        <f>G6324+0.0001</f>
        <v/>
      </c>
    </row>
    <row r="6326">
      <c r="G6326">
        <f>G6325+0.0001</f>
        <v/>
      </c>
    </row>
    <row r="6327">
      <c r="G6327">
        <f>G6326+0.0001</f>
        <v/>
      </c>
    </row>
    <row r="6328">
      <c r="G6328">
        <f>G6327+0.0001</f>
        <v/>
      </c>
    </row>
    <row r="6329">
      <c r="G6329">
        <f>G6328+0.0001</f>
        <v/>
      </c>
    </row>
    <row r="6330">
      <c r="G6330">
        <f>G6329+0.0001</f>
        <v/>
      </c>
    </row>
    <row r="6331">
      <c r="G6331">
        <f>G6330+0.0001</f>
        <v/>
      </c>
    </row>
    <row r="6332">
      <c r="G6332">
        <f>G6331+0.0001</f>
        <v/>
      </c>
    </row>
    <row r="6333">
      <c r="G6333">
        <f>G6332+0.0001</f>
        <v/>
      </c>
    </row>
    <row r="6334">
      <c r="G6334">
        <f>G6333+0.0001</f>
        <v/>
      </c>
    </row>
    <row r="6335">
      <c r="G6335">
        <f>G6334+0.0001</f>
        <v/>
      </c>
    </row>
    <row r="6336">
      <c r="G6336">
        <f>G6335+0.0001</f>
        <v/>
      </c>
    </row>
    <row r="6337">
      <c r="G6337">
        <f>G6336+0.0001</f>
        <v/>
      </c>
    </row>
    <row r="6338">
      <c r="G6338">
        <f>G6337+0.0001</f>
        <v/>
      </c>
    </row>
    <row r="6339">
      <c r="G6339">
        <f>G6338+0.0001</f>
        <v/>
      </c>
    </row>
    <row r="6340">
      <c r="G6340">
        <f>G6339+0.0001</f>
        <v/>
      </c>
    </row>
    <row r="6341">
      <c r="G6341">
        <f>G6340+0.0001</f>
        <v/>
      </c>
    </row>
    <row r="6342">
      <c r="G6342">
        <f>G6341+0.0001</f>
        <v/>
      </c>
    </row>
    <row r="6343">
      <c r="G6343">
        <f>G6342+0.0001</f>
        <v/>
      </c>
    </row>
    <row r="6344">
      <c r="G6344">
        <f>G6343+0.0001</f>
        <v/>
      </c>
    </row>
    <row r="6345">
      <c r="G6345">
        <f>G6344+0.0001</f>
        <v/>
      </c>
    </row>
    <row r="6346">
      <c r="G6346">
        <f>G6345+0.0001</f>
        <v/>
      </c>
    </row>
    <row r="6347">
      <c r="G6347">
        <f>G6346+0.0001</f>
        <v/>
      </c>
    </row>
    <row r="6348">
      <c r="G6348">
        <f>G6347+0.0001</f>
        <v/>
      </c>
    </row>
    <row r="6349">
      <c r="G6349">
        <f>G6348+0.0001</f>
        <v/>
      </c>
    </row>
    <row r="6350">
      <c r="G6350">
        <f>G6349+0.0001</f>
        <v/>
      </c>
    </row>
    <row r="6351">
      <c r="G6351">
        <f>G6350+0.0001</f>
        <v/>
      </c>
    </row>
    <row r="6352">
      <c r="G6352">
        <f>G6351+0.0001</f>
        <v/>
      </c>
    </row>
    <row r="6353">
      <c r="G6353">
        <f>G6352+0.0001</f>
        <v/>
      </c>
    </row>
    <row r="6354">
      <c r="G6354">
        <f>G6353+0.0001</f>
        <v/>
      </c>
    </row>
    <row r="6355">
      <c r="G6355">
        <f>G6354+0.0001</f>
        <v/>
      </c>
    </row>
    <row r="6356">
      <c r="G6356">
        <f>G6355+0.0001</f>
        <v/>
      </c>
    </row>
    <row r="6357">
      <c r="G6357">
        <f>G6356+0.0001</f>
        <v/>
      </c>
    </row>
    <row r="6358">
      <c r="G6358">
        <f>G6357+0.0001</f>
        <v/>
      </c>
    </row>
    <row r="6359">
      <c r="G6359">
        <f>G6358+0.0001</f>
        <v/>
      </c>
    </row>
    <row r="6360">
      <c r="G6360">
        <f>G6359+0.0001</f>
        <v/>
      </c>
    </row>
    <row r="6361">
      <c r="G6361">
        <f>G6360+0.0001</f>
        <v/>
      </c>
    </row>
    <row r="6362">
      <c r="G6362">
        <f>G6361+0.0001</f>
        <v/>
      </c>
    </row>
    <row r="6363">
      <c r="G6363">
        <f>G6362+0.0001</f>
        <v/>
      </c>
    </row>
    <row r="6364">
      <c r="G6364">
        <f>G6363+0.0001</f>
        <v/>
      </c>
    </row>
    <row r="6365">
      <c r="G6365">
        <f>G6364+0.0001</f>
        <v/>
      </c>
    </row>
    <row r="6366">
      <c r="G6366">
        <f>G6365+0.0001</f>
        <v/>
      </c>
    </row>
    <row r="6367">
      <c r="G6367">
        <f>G6366+0.0001</f>
        <v/>
      </c>
    </row>
    <row r="6368">
      <c r="G6368">
        <f>G6367+0.0001</f>
        <v/>
      </c>
    </row>
    <row r="6369">
      <c r="G6369">
        <f>G6368+0.0001</f>
        <v/>
      </c>
    </row>
    <row r="6370">
      <c r="G6370">
        <f>G6369+0.0001</f>
        <v/>
      </c>
    </row>
    <row r="6371">
      <c r="G6371">
        <f>G6370+0.0001</f>
        <v/>
      </c>
    </row>
    <row r="6372">
      <c r="G6372">
        <f>G6371+0.0001</f>
        <v/>
      </c>
    </row>
    <row r="6373">
      <c r="G6373">
        <f>G6372+0.0001</f>
        <v/>
      </c>
    </row>
    <row r="6374">
      <c r="G6374">
        <f>G6373+0.0001</f>
        <v/>
      </c>
    </row>
    <row r="6375">
      <c r="G6375">
        <f>G6374+0.0001</f>
        <v/>
      </c>
    </row>
    <row r="6376">
      <c r="G6376">
        <f>G6375+0.0001</f>
        <v/>
      </c>
    </row>
    <row r="6377">
      <c r="G6377">
        <f>G6376+0.0001</f>
        <v/>
      </c>
    </row>
    <row r="6378">
      <c r="G6378">
        <f>G6377+0.0001</f>
        <v/>
      </c>
    </row>
    <row r="6379">
      <c r="G6379">
        <f>G6378+0.0001</f>
        <v/>
      </c>
    </row>
    <row r="6380">
      <c r="G6380">
        <f>G6379+0.0001</f>
        <v/>
      </c>
    </row>
    <row r="6381">
      <c r="G6381">
        <f>G6380+0.0001</f>
        <v/>
      </c>
    </row>
    <row r="6382">
      <c r="G6382">
        <f>G6381+0.0001</f>
        <v/>
      </c>
    </row>
    <row r="6383">
      <c r="G6383">
        <f>G6382+0.0001</f>
        <v/>
      </c>
    </row>
    <row r="6384">
      <c r="G6384">
        <f>G6383+0.0001</f>
        <v/>
      </c>
    </row>
    <row r="6385">
      <c r="G6385">
        <f>G6384+0.0001</f>
        <v/>
      </c>
    </row>
    <row r="6386">
      <c r="G6386">
        <f>G6385+0.0001</f>
        <v/>
      </c>
    </row>
    <row r="6387">
      <c r="G6387">
        <f>G6386+0.0001</f>
        <v/>
      </c>
    </row>
    <row r="6388">
      <c r="G6388">
        <f>G6387+0.0001</f>
        <v/>
      </c>
    </row>
    <row r="6389">
      <c r="G6389">
        <f>G6388+0.0001</f>
        <v/>
      </c>
    </row>
    <row r="6390">
      <c r="G6390">
        <f>G6389+0.0001</f>
        <v/>
      </c>
    </row>
    <row r="6391">
      <c r="G6391">
        <f>G6390+0.0001</f>
        <v/>
      </c>
    </row>
    <row r="6392">
      <c r="G6392">
        <f>G6391+0.0001</f>
        <v/>
      </c>
    </row>
    <row r="6393">
      <c r="G6393">
        <f>G6392+0.0001</f>
        <v/>
      </c>
    </row>
    <row r="6394">
      <c r="G6394">
        <f>G6393+0.0001</f>
        <v/>
      </c>
    </row>
    <row r="6395">
      <c r="G6395">
        <f>G6394+0.0001</f>
        <v/>
      </c>
    </row>
    <row r="6396">
      <c r="G6396">
        <f>G6395+0.0001</f>
        <v/>
      </c>
    </row>
    <row r="6397">
      <c r="G6397">
        <f>G6396+0.0001</f>
        <v/>
      </c>
    </row>
    <row r="6398">
      <c r="G6398">
        <f>G6397+0.0001</f>
        <v/>
      </c>
    </row>
    <row r="6399">
      <c r="G6399">
        <f>G6398+0.0001</f>
        <v/>
      </c>
    </row>
    <row r="6400">
      <c r="G6400">
        <f>G6399+0.0001</f>
        <v/>
      </c>
    </row>
    <row r="6401">
      <c r="G6401">
        <f>G6400+0.0001</f>
        <v/>
      </c>
    </row>
    <row r="6402">
      <c r="G6402">
        <f>G6401+0.0001</f>
        <v/>
      </c>
    </row>
    <row r="6403">
      <c r="G6403">
        <f>G6402+0.0001</f>
        <v/>
      </c>
    </row>
    <row r="6404">
      <c r="G6404">
        <f>G6403+0.0001</f>
        <v/>
      </c>
    </row>
    <row r="6405">
      <c r="G6405">
        <f>G6404+0.0001</f>
        <v/>
      </c>
    </row>
    <row r="6406">
      <c r="G6406">
        <f>G6405+0.0001</f>
        <v/>
      </c>
    </row>
    <row r="6407">
      <c r="G6407">
        <f>G6406+0.0001</f>
        <v/>
      </c>
    </row>
    <row r="6408">
      <c r="G6408">
        <f>G6407+0.0001</f>
        <v/>
      </c>
    </row>
    <row r="6409">
      <c r="G6409">
        <f>G6408+0.0001</f>
        <v/>
      </c>
    </row>
    <row r="6410">
      <c r="G6410">
        <f>G6409+0.0001</f>
        <v/>
      </c>
    </row>
    <row r="6411">
      <c r="G6411">
        <f>G6410+0.0001</f>
        <v/>
      </c>
    </row>
    <row r="6412">
      <c r="G6412">
        <f>G6411+0.0001</f>
        <v/>
      </c>
    </row>
    <row r="6413">
      <c r="G6413">
        <f>G6412+0.0001</f>
        <v/>
      </c>
    </row>
    <row r="6414">
      <c r="G6414">
        <f>G6413+0.0001</f>
        <v/>
      </c>
    </row>
    <row r="6415">
      <c r="G6415">
        <f>G6414+0.0001</f>
        <v/>
      </c>
    </row>
    <row r="6416">
      <c r="G6416">
        <f>G6415+0.0001</f>
        <v/>
      </c>
    </row>
    <row r="6417">
      <c r="G6417">
        <f>G6416+0.0001</f>
        <v/>
      </c>
    </row>
    <row r="6418">
      <c r="G6418">
        <f>G6417+0.0001</f>
        <v/>
      </c>
    </row>
    <row r="6419">
      <c r="G6419">
        <f>G6418+0.0001</f>
        <v/>
      </c>
    </row>
    <row r="6420">
      <c r="G6420">
        <f>G6419+0.0001</f>
        <v/>
      </c>
    </row>
    <row r="6421">
      <c r="G6421">
        <f>G6420+0.0001</f>
        <v/>
      </c>
    </row>
    <row r="6422">
      <c r="G6422">
        <f>G6421+0.0001</f>
        <v/>
      </c>
    </row>
    <row r="6423">
      <c r="G6423">
        <f>G6422+0.0001</f>
        <v/>
      </c>
    </row>
    <row r="6424">
      <c r="G6424">
        <f>G6423+0.0001</f>
        <v/>
      </c>
    </row>
    <row r="6425">
      <c r="G6425">
        <f>G6424+0.0001</f>
        <v/>
      </c>
    </row>
    <row r="6426">
      <c r="G6426">
        <f>G6425+0.0001</f>
        <v/>
      </c>
    </row>
    <row r="6427">
      <c r="G6427">
        <f>G6426+0.0001</f>
        <v/>
      </c>
    </row>
    <row r="6428">
      <c r="G6428">
        <f>G6427+0.0001</f>
        <v/>
      </c>
    </row>
    <row r="6429">
      <c r="G6429">
        <f>G6428+0.0001</f>
        <v/>
      </c>
    </row>
    <row r="6430">
      <c r="G6430">
        <f>G6429+0.0001</f>
        <v/>
      </c>
    </row>
    <row r="6431">
      <c r="G6431">
        <f>G6430+0.0001</f>
        <v/>
      </c>
    </row>
    <row r="6432">
      <c r="G6432">
        <f>G6431+0.0001</f>
        <v/>
      </c>
    </row>
    <row r="6433">
      <c r="G6433">
        <f>G6432+0.0001</f>
        <v/>
      </c>
    </row>
    <row r="6434">
      <c r="G6434">
        <f>G6433+0.0001</f>
        <v/>
      </c>
    </row>
    <row r="6435">
      <c r="G6435">
        <f>G6434+0.0001</f>
        <v/>
      </c>
    </row>
    <row r="6436">
      <c r="G6436">
        <f>G6435+0.0001</f>
        <v/>
      </c>
    </row>
    <row r="6437">
      <c r="G6437">
        <f>G6436+0.0001</f>
        <v/>
      </c>
    </row>
    <row r="6438">
      <c r="G6438">
        <f>G6437+0.0001</f>
        <v/>
      </c>
    </row>
    <row r="6439">
      <c r="G6439">
        <f>G6438+0.0001</f>
        <v/>
      </c>
    </row>
    <row r="6440">
      <c r="G6440">
        <f>G6439+0.0001</f>
        <v/>
      </c>
    </row>
    <row r="6441">
      <c r="G6441">
        <f>G6440+0.0001</f>
        <v/>
      </c>
    </row>
    <row r="6442">
      <c r="G6442">
        <f>G6441+0.0001</f>
        <v/>
      </c>
    </row>
    <row r="6443">
      <c r="G6443">
        <f>G6442+0.0001</f>
        <v/>
      </c>
    </row>
    <row r="6444">
      <c r="G6444">
        <f>G6443+0.0001</f>
        <v/>
      </c>
    </row>
    <row r="6445">
      <c r="G6445">
        <f>G6444+0.0001</f>
        <v/>
      </c>
    </row>
    <row r="6446">
      <c r="G6446">
        <f>G6445+0.0001</f>
        <v/>
      </c>
    </row>
    <row r="6447">
      <c r="G6447">
        <f>G6446+0.0001</f>
        <v/>
      </c>
    </row>
    <row r="6448">
      <c r="G6448">
        <f>G6447+0.0001</f>
        <v/>
      </c>
    </row>
    <row r="6449">
      <c r="G6449">
        <f>G6448+0.0001</f>
        <v/>
      </c>
    </row>
    <row r="6450">
      <c r="G6450">
        <f>G6449+0.0001</f>
        <v/>
      </c>
    </row>
    <row r="6451">
      <c r="G6451">
        <f>G6450+0.0001</f>
        <v/>
      </c>
    </row>
    <row r="6452">
      <c r="G6452">
        <f>G6451+0.0001</f>
        <v/>
      </c>
    </row>
    <row r="6453">
      <c r="G6453">
        <f>G6452+0.0001</f>
        <v/>
      </c>
    </row>
    <row r="6454">
      <c r="G6454">
        <f>G6453+0.0001</f>
        <v/>
      </c>
    </row>
    <row r="6455">
      <c r="G6455">
        <f>G6454+0.0001</f>
        <v/>
      </c>
    </row>
    <row r="6456">
      <c r="G6456">
        <f>G6455+0.0001</f>
        <v/>
      </c>
    </row>
    <row r="6457">
      <c r="G6457">
        <f>G6456+0.0001</f>
        <v/>
      </c>
    </row>
    <row r="6458">
      <c r="G6458">
        <f>G6457+0.0001</f>
        <v/>
      </c>
    </row>
    <row r="6459">
      <c r="G6459">
        <f>G6458+0.0001</f>
        <v/>
      </c>
    </row>
    <row r="6460">
      <c r="G6460">
        <f>G6459+0.0001</f>
        <v/>
      </c>
    </row>
    <row r="6461">
      <c r="G6461">
        <f>G6460+0.0001</f>
        <v/>
      </c>
    </row>
    <row r="6462">
      <c r="G6462">
        <f>G6461+0.0001</f>
        <v/>
      </c>
    </row>
    <row r="6463">
      <c r="G6463">
        <f>G6462+0.0001</f>
        <v/>
      </c>
    </row>
    <row r="6464">
      <c r="G6464">
        <f>G6463+0.0001</f>
        <v/>
      </c>
    </row>
    <row r="6465">
      <c r="G6465">
        <f>G6464+0.0001</f>
        <v/>
      </c>
    </row>
    <row r="6466">
      <c r="G6466">
        <f>G6465+0.0001</f>
        <v/>
      </c>
    </row>
    <row r="6467">
      <c r="G6467">
        <f>G6466+0.0001</f>
        <v/>
      </c>
    </row>
    <row r="6468">
      <c r="G6468">
        <f>G6467+0.0001</f>
        <v/>
      </c>
    </row>
    <row r="6469">
      <c r="G6469">
        <f>G6468+0.0001</f>
        <v/>
      </c>
    </row>
    <row r="6470">
      <c r="G6470">
        <f>G6469+0.0001</f>
        <v/>
      </c>
    </row>
    <row r="6471">
      <c r="G6471">
        <f>G6470+0.0001</f>
        <v/>
      </c>
    </row>
    <row r="6472">
      <c r="G6472">
        <f>G6471+0.0001</f>
        <v/>
      </c>
    </row>
    <row r="6473">
      <c r="G6473">
        <f>G6472+0.0001</f>
        <v/>
      </c>
    </row>
    <row r="6474">
      <c r="G6474">
        <f>G6473+0.0001</f>
        <v/>
      </c>
    </row>
    <row r="6475">
      <c r="G6475">
        <f>G6474+0.0001</f>
        <v/>
      </c>
    </row>
    <row r="6476">
      <c r="G6476">
        <f>G6475+0.0001</f>
        <v/>
      </c>
    </row>
    <row r="6477">
      <c r="G6477">
        <f>G6476+0.0001</f>
        <v/>
      </c>
    </row>
    <row r="6478">
      <c r="G6478">
        <f>G6477+0.0001</f>
        <v/>
      </c>
    </row>
    <row r="6479">
      <c r="G6479">
        <f>G6478+0.0001</f>
        <v/>
      </c>
    </row>
    <row r="6480">
      <c r="G6480">
        <f>G6479+0.0001</f>
        <v/>
      </c>
    </row>
    <row r="6481">
      <c r="G6481">
        <f>G6480+0.0001</f>
        <v/>
      </c>
    </row>
    <row r="6482">
      <c r="G6482">
        <f>G6481+0.0001</f>
        <v/>
      </c>
    </row>
    <row r="6483">
      <c r="G6483">
        <f>G6482+0.0001</f>
        <v/>
      </c>
    </row>
    <row r="6484">
      <c r="G6484">
        <f>G6483+0.0001</f>
        <v/>
      </c>
    </row>
    <row r="6485">
      <c r="G6485">
        <f>G6484+0.0001</f>
        <v/>
      </c>
    </row>
    <row r="6486">
      <c r="G6486">
        <f>G6485+0.0001</f>
        <v/>
      </c>
    </row>
    <row r="6487">
      <c r="G6487">
        <f>G6486+0.0001</f>
        <v/>
      </c>
    </row>
    <row r="6488">
      <c r="G6488">
        <f>G6487+0.0001</f>
        <v/>
      </c>
    </row>
    <row r="6489">
      <c r="G6489">
        <f>G6488+0.0001</f>
        <v/>
      </c>
    </row>
    <row r="6490">
      <c r="G6490">
        <f>G6489+0.0001</f>
        <v/>
      </c>
    </row>
    <row r="6491">
      <c r="G6491">
        <f>G6490+0.0001</f>
        <v/>
      </c>
    </row>
    <row r="6492">
      <c r="G6492">
        <f>G6491+0.0001</f>
        <v/>
      </c>
    </row>
    <row r="6493">
      <c r="G6493">
        <f>G6492+0.0001</f>
        <v/>
      </c>
    </row>
    <row r="6494">
      <c r="G6494">
        <f>G6493+0.0001</f>
        <v/>
      </c>
    </row>
    <row r="6495">
      <c r="G6495">
        <f>G6494+0.0001</f>
        <v/>
      </c>
    </row>
    <row r="6496">
      <c r="G6496">
        <f>G6495+0.0001</f>
        <v/>
      </c>
    </row>
    <row r="6497">
      <c r="G6497">
        <f>G6496+0.0001</f>
        <v/>
      </c>
    </row>
    <row r="6498">
      <c r="G6498">
        <f>G6497+0.0001</f>
        <v/>
      </c>
    </row>
    <row r="6499">
      <c r="G6499">
        <f>G6498+0.0001</f>
        <v/>
      </c>
    </row>
    <row r="6500">
      <c r="G6500">
        <f>G6499+0.0001</f>
        <v/>
      </c>
    </row>
    <row r="6501">
      <c r="G6501">
        <f>G6500+0.0001</f>
        <v/>
      </c>
    </row>
    <row r="6502">
      <c r="G6502">
        <f>G6501+0.0001</f>
        <v/>
      </c>
    </row>
    <row r="6503">
      <c r="G6503">
        <f>G6502+0.0001</f>
        <v/>
      </c>
    </row>
    <row r="6504">
      <c r="G6504">
        <f>G6503+0.0001</f>
        <v/>
      </c>
    </row>
    <row r="6505">
      <c r="G6505">
        <f>G6504+0.0001</f>
        <v/>
      </c>
    </row>
    <row r="6506">
      <c r="G6506">
        <f>G6505+0.0001</f>
        <v/>
      </c>
    </row>
    <row r="6507">
      <c r="G6507">
        <f>G6506+0.0001</f>
        <v/>
      </c>
    </row>
    <row r="6508">
      <c r="G6508">
        <f>G6507+0.0001</f>
        <v/>
      </c>
    </row>
    <row r="6509">
      <c r="G6509">
        <f>G6508+0.0001</f>
        <v/>
      </c>
    </row>
    <row r="6510">
      <c r="G6510">
        <f>G6509+0.0001</f>
        <v/>
      </c>
    </row>
    <row r="6511">
      <c r="G6511">
        <f>G6510+0.0001</f>
        <v/>
      </c>
    </row>
    <row r="6512">
      <c r="G6512">
        <f>G6511+0.0001</f>
        <v/>
      </c>
    </row>
    <row r="6513">
      <c r="G6513">
        <f>G6512+0.0001</f>
        <v/>
      </c>
    </row>
    <row r="6514">
      <c r="G6514">
        <f>G6513+0.0001</f>
        <v/>
      </c>
    </row>
    <row r="6515">
      <c r="G6515">
        <f>G6514+0.0001</f>
        <v/>
      </c>
    </row>
    <row r="6516">
      <c r="G6516">
        <f>G6515+0.0001</f>
        <v/>
      </c>
    </row>
    <row r="6517">
      <c r="G6517">
        <f>G6516+0.0001</f>
        <v/>
      </c>
    </row>
    <row r="6518">
      <c r="G6518">
        <f>G6517+0.0001</f>
        <v/>
      </c>
    </row>
    <row r="6519">
      <c r="G6519">
        <f>G6518+0.0001</f>
        <v/>
      </c>
    </row>
    <row r="6520">
      <c r="G6520">
        <f>G6519+0.0001</f>
        <v/>
      </c>
    </row>
    <row r="6521">
      <c r="G6521">
        <f>G6520+0.0001</f>
        <v/>
      </c>
    </row>
    <row r="6522">
      <c r="G6522">
        <f>G6521+0.0001</f>
        <v/>
      </c>
    </row>
    <row r="6523">
      <c r="G6523">
        <f>G6522+0.0001</f>
        <v/>
      </c>
    </row>
    <row r="6524">
      <c r="G6524">
        <f>G6523+0.0001</f>
        <v/>
      </c>
    </row>
    <row r="6525">
      <c r="G6525">
        <f>G6524+0.0001</f>
        <v/>
      </c>
    </row>
    <row r="6526">
      <c r="G6526">
        <f>G6525+0.0001</f>
        <v/>
      </c>
    </row>
    <row r="6527">
      <c r="G6527">
        <f>G6526+0.0001</f>
        <v/>
      </c>
    </row>
    <row r="6528">
      <c r="G6528">
        <f>G6527+0.0001</f>
        <v/>
      </c>
    </row>
    <row r="6529">
      <c r="G6529">
        <f>G6528+0.0001</f>
        <v/>
      </c>
    </row>
    <row r="6530">
      <c r="G6530">
        <f>G6529+0.0001</f>
        <v/>
      </c>
    </row>
    <row r="6531">
      <c r="G6531">
        <f>G6530+0.0001</f>
        <v/>
      </c>
    </row>
    <row r="6532">
      <c r="G6532">
        <f>G6531+0.0001</f>
        <v/>
      </c>
    </row>
    <row r="6533">
      <c r="G6533">
        <f>G6532+0.0001</f>
        <v/>
      </c>
    </row>
    <row r="6534">
      <c r="G6534">
        <f>G6533+0.0001</f>
        <v/>
      </c>
    </row>
    <row r="6535">
      <c r="G6535">
        <f>G6534+0.0001</f>
        <v/>
      </c>
    </row>
    <row r="6536">
      <c r="G6536">
        <f>G6535+0.0001</f>
        <v/>
      </c>
    </row>
    <row r="6537">
      <c r="G6537">
        <f>G6536+0.0001</f>
        <v/>
      </c>
    </row>
    <row r="6538">
      <c r="G6538">
        <f>G6537+0.0001</f>
        <v/>
      </c>
    </row>
    <row r="6539">
      <c r="G6539">
        <f>G6538+0.0001</f>
        <v/>
      </c>
    </row>
    <row r="6540">
      <c r="G6540">
        <f>G6539+0.0001</f>
        <v/>
      </c>
    </row>
    <row r="6541">
      <c r="G6541">
        <f>G6540+0.0001</f>
        <v/>
      </c>
    </row>
    <row r="6542">
      <c r="G6542">
        <f>G6541+0.0001</f>
        <v/>
      </c>
    </row>
    <row r="6543">
      <c r="G6543">
        <f>G6542+0.0001</f>
        <v/>
      </c>
    </row>
    <row r="6544">
      <c r="G6544">
        <f>G6543+0.0001</f>
        <v/>
      </c>
    </row>
    <row r="6545">
      <c r="G6545">
        <f>G6544+0.0001</f>
        <v/>
      </c>
    </row>
    <row r="6546">
      <c r="G6546">
        <f>G6545+0.0001</f>
        <v/>
      </c>
    </row>
    <row r="6547">
      <c r="G6547">
        <f>G6546+0.0001</f>
        <v/>
      </c>
    </row>
    <row r="6548">
      <c r="G6548">
        <f>G6547+0.0001</f>
        <v/>
      </c>
    </row>
    <row r="6549">
      <c r="G6549">
        <f>G6548+0.0001</f>
        <v/>
      </c>
    </row>
    <row r="6550">
      <c r="G6550">
        <f>G6549+0.0001</f>
        <v/>
      </c>
    </row>
    <row r="6551">
      <c r="G6551">
        <f>G6550+0.0001</f>
        <v/>
      </c>
    </row>
    <row r="6552">
      <c r="G6552">
        <f>G6551+0.0001</f>
        <v/>
      </c>
    </row>
    <row r="6553">
      <c r="G6553">
        <f>G6552+0.0001</f>
        <v/>
      </c>
    </row>
    <row r="6554">
      <c r="G6554">
        <f>G6553+0.0001</f>
        <v/>
      </c>
    </row>
    <row r="6555">
      <c r="G6555">
        <f>G6554+0.0001</f>
        <v/>
      </c>
    </row>
    <row r="6556">
      <c r="G6556">
        <f>G6555+0.0001</f>
        <v/>
      </c>
    </row>
    <row r="6557">
      <c r="G6557">
        <f>G6556+0.0001</f>
        <v/>
      </c>
    </row>
    <row r="6558">
      <c r="G6558">
        <f>G6557+0.0001</f>
        <v/>
      </c>
    </row>
    <row r="6559">
      <c r="G6559">
        <f>G6558+0.0001</f>
        <v/>
      </c>
    </row>
    <row r="6560">
      <c r="G6560">
        <f>G6559+0.0001</f>
        <v/>
      </c>
    </row>
    <row r="6561">
      <c r="G6561">
        <f>G6560+0.0001</f>
        <v/>
      </c>
    </row>
    <row r="6562">
      <c r="G6562">
        <f>G6561+0.0001</f>
        <v/>
      </c>
    </row>
    <row r="6563">
      <c r="G6563">
        <f>G6562+0.0001</f>
        <v/>
      </c>
    </row>
    <row r="6564">
      <c r="G6564">
        <f>G6563+0.0001</f>
        <v/>
      </c>
    </row>
    <row r="6565">
      <c r="G6565">
        <f>G6564+0.0001</f>
        <v/>
      </c>
    </row>
    <row r="6566">
      <c r="G6566">
        <f>G6565+0.0001</f>
        <v/>
      </c>
    </row>
    <row r="6567">
      <c r="G6567">
        <f>G6566+0.0001</f>
        <v/>
      </c>
    </row>
    <row r="6568">
      <c r="G6568">
        <f>G6567+0.0001</f>
        <v/>
      </c>
    </row>
    <row r="6569">
      <c r="G6569">
        <f>G6568+0.0001</f>
        <v/>
      </c>
    </row>
    <row r="6570">
      <c r="G6570">
        <f>G6569+0.0001</f>
        <v/>
      </c>
    </row>
    <row r="6571">
      <c r="G6571">
        <f>G6570+0.0001</f>
        <v/>
      </c>
    </row>
    <row r="6572">
      <c r="G6572">
        <f>G6571+0.0001</f>
        <v/>
      </c>
    </row>
    <row r="6573">
      <c r="G6573">
        <f>G6572+0.0001</f>
        <v/>
      </c>
    </row>
    <row r="6574">
      <c r="G6574">
        <f>G6573+0.0001</f>
        <v/>
      </c>
    </row>
    <row r="6575">
      <c r="G6575">
        <f>G6574+0.0001</f>
        <v/>
      </c>
    </row>
    <row r="6576">
      <c r="G6576">
        <f>G6575+0.0001</f>
        <v/>
      </c>
    </row>
    <row r="6577">
      <c r="G6577">
        <f>G6576+0.0001</f>
        <v/>
      </c>
    </row>
    <row r="6578">
      <c r="G6578">
        <f>G6577+0.0001</f>
        <v/>
      </c>
    </row>
    <row r="6579">
      <c r="G6579">
        <f>G6578+0.0001</f>
        <v/>
      </c>
    </row>
    <row r="6580">
      <c r="G6580">
        <f>G6579+0.0001</f>
        <v/>
      </c>
    </row>
    <row r="6581">
      <c r="G6581">
        <f>G6580+0.0001</f>
        <v/>
      </c>
    </row>
    <row r="6582">
      <c r="G6582">
        <f>G6581+0.0001</f>
        <v/>
      </c>
    </row>
    <row r="6583">
      <c r="G6583">
        <f>G6582+0.0001</f>
        <v/>
      </c>
    </row>
    <row r="6584">
      <c r="G6584">
        <f>G6583+0.0001</f>
        <v/>
      </c>
    </row>
    <row r="6585">
      <c r="G6585">
        <f>G6584+0.0001</f>
        <v/>
      </c>
    </row>
    <row r="6586">
      <c r="G6586">
        <f>G6585+0.0001</f>
        <v/>
      </c>
    </row>
    <row r="6587">
      <c r="G6587">
        <f>G6586+0.0001</f>
        <v/>
      </c>
    </row>
    <row r="6588">
      <c r="G6588">
        <f>G6587+0.0001</f>
        <v/>
      </c>
    </row>
    <row r="6589">
      <c r="G6589">
        <f>G6588+0.0001</f>
        <v/>
      </c>
    </row>
    <row r="6590">
      <c r="G6590">
        <f>G6589+0.0001</f>
        <v/>
      </c>
    </row>
    <row r="6591">
      <c r="G6591">
        <f>G6590+0.0001</f>
        <v/>
      </c>
    </row>
    <row r="6592">
      <c r="G6592">
        <f>G6591+0.0001</f>
        <v/>
      </c>
    </row>
    <row r="6593">
      <c r="G6593">
        <f>G6592+0.0001</f>
        <v/>
      </c>
    </row>
    <row r="6594">
      <c r="G6594">
        <f>G6593+0.0001</f>
        <v/>
      </c>
    </row>
    <row r="6595">
      <c r="G6595">
        <f>G6594+0.0001</f>
        <v/>
      </c>
    </row>
    <row r="6596">
      <c r="G6596">
        <f>G6595+0.0001</f>
        <v/>
      </c>
    </row>
    <row r="6597">
      <c r="G6597">
        <f>G6596+0.0001</f>
        <v/>
      </c>
    </row>
    <row r="6598">
      <c r="G6598">
        <f>G6597+0.0001</f>
        <v/>
      </c>
    </row>
    <row r="6599">
      <c r="G6599">
        <f>G6598+0.0001</f>
        <v/>
      </c>
    </row>
    <row r="6600">
      <c r="G6600">
        <f>G6599+0.0001</f>
        <v/>
      </c>
    </row>
    <row r="6601">
      <c r="G6601">
        <f>G6600+0.0001</f>
        <v/>
      </c>
    </row>
    <row r="6602">
      <c r="G6602">
        <f>G6601+0.0001</f>
        <v/>
      </c>
    </row>
    <row r="6603">
      <c r="G6603">
        <f>G6602+0.0001</f>
        <v/>
      </c>
    </row>
    <row r="6604">
      <c r="G6604">
        <f>G6603+0.0001</f>
        <v/>
      </c>
    </row>
    <row r="6605">
      <c r="G6605">
        <f>G6604+0.0001</f>
        <v/>
      </c>
    </row>
    <row r="6606">
      <c r="G6606">
        <f>G6605+0.0001</f>
        <v/>
      </c>
    </row>
    <row r="6607">
      <c r="G6607">
        <f>G6606+0.0001</f>
        <v/>
      </c>
    </row>
    <row r="6608">
      <c r="G6608">
        <f>G6607+0.0001</f>
        <v/>
      </c>
    </row>
    <row r="6609">
      <c r="G6609">
        <f>G6608+0.0001</f>
        <v/>
      </c>
    </row>
    <row r="6610">
      <c r="G6610">
        <f>G6609+0.0001</f>
        <v/>
      </c>
    </row>
    <row r="6611">
      <c r="G6611">
        <f>G6610+0.0001</f>
        <v/>
      </c>
    </row>
    <row r="6612">
      <c r="G6612">
        <f>G6611+0.0001</f>
        <v/>
      </c>
    </row>
    <row r="6613">
      <c r="G6613">
        <f>G6612+0.0001</f>
        <v/>
      </c>
    </row>
    <row r="6614">
      <c r="G6614">
        <f>G6613+0.0001</f>
        <v/>
      </c>
    </row>
    <row r="6615">
      <c r="G6615">
        <f>G6614+0.0001</f>
        <v/>
      </c>
    </row>
    <row r="6616">
      <c r="G6616">
        <f>G6615+0.0001</f>
        <v/>
      </c>
    </row>
    <row r="6617">
      <c r="G6617">
        <f>G6616+0.0001</f>
        <v/>
      </c>
    </row>
    <row r="6618">
      <c r="G6618">
        <f>G6617+0.0001</f>
        <v/>
      </c>
    </row>
    <row r="6619">
      <c r="G6619">
        <f>G6618+0.0001</f>
        <v/>
      </c>
    </row>
    <row r="6620">
      <c r="G6620">
        <f>G6619+0.0001</f>
        <v/>
      </c>
    </row>
    <row r="6621">
      <c r="G6621">
        <f>G6620+0.0001</f>
        <v/>
      </c>
    </row>
    <row r="6622">
      <c r="G6622">
        <f>G6621+0.0001</f>
        <v/>
      </c>
    </row>
    <row r="6623">
      <c r="G6623">
        <f>G6622+0.0001</f>
        <v/>
      </c>
    </row>
    <row r="6624">
      <c r="G6624">
        <f>G6623+0.0001</f>
        <v/>
      </c>
    </row>
    <row r="6625">
      <c r="G6625">
        <f>G6624+0.0001</f>
        <v/>
      </c>
    </row>
    <row r="6626">
      <c r="G6626">
        <f>G6625+0.0001</f>
        <v/>
      </c>
    </row>
    <row r="6627">
      <c r="G6627">
        <f>G6626+0.0001</f>
        <v/>
      </c>
    </row>
    <row r="6628">
      <c r="G6628">
        <f>G6627+0.0001</f>
        <v/>
      </c>
    </row>
    <row r="6629">
      <c r="G6629">
        <f>G6628+0.0001</f>
        <v/>
      </c>
    </row>
    <row r="6630">
      <c r="G6630">
        <f>G6629+0.0001</f>
        <v/>
      </c>
    </row>
    <row r="6631">
      <c r="G6631">
        <f>G6630+0.0001</f>
        <v/>
      </c>
    </row>
    <row r="6632">
      <c r="G6632">
        <f>G6631+0.0001</f>
        <v/>
      </c>
    </row>
    <row r="6633">
      <c r="G6633">
        <f>G6632+0.0001</f>
        <v/>
      </c>
    </row>
    <row r="6634">
      <c r="G6634">
        <f>G6633+0.0001</f>
        <v/>
      </c>
    </row>
    <row r="6635">
      <c r="G6635">
        <f>G6634+0.0001</f>
        <v/>
      </c>
    </row>
    <row r="6636">
      <c r="G6636">
        <f>G6635+0.0001</f>
        <v/>
      </c>
    </row>
    <row r="6637">
      <c r="G6637">
        <f>G6636+0.0001</f>
        <v/>
      </c>
    </row>
    <row r="6638">
      <c r="G6638">
        <f>G6637+0.0001</f>
        <v/>
      </c>
    </row>
    <row r="6639">
      <c r="G6639">
        <f>G6638+0.0001</f>
        <v/>
      </c>
    </row>
    <row r="6640">
      <c r="G6640">
        <f>G6639+0.0001</f>
        <v/>
      </c>
    </row>
    <row r="6641">
      <c r="G6641">
        <f>G6640+0.0001</f>
        <v/>
      </c>
    </row>
    <row r="6642">
      <c r="G6642">
        <f>G6641+0.0001</f>
        <v/>
      </c>
    </row>
    <row r="6643">
      <c r="G6643">
        <f>G6642+0.0001</f>
        <v/>
      </c>
    </row>
    <row r="6644">
      <c r="G6644">
        <f>G6643+0.0001</f>
        <v/>
      </c>
    </row>
    <row r="6645">
      <c r="G6645">
        <f>G6644+0.0001</f>
        <v/>
      </c>
    </row>
    <row r="6646">
      <c r="G6646">
        <f>G6645+0.0001</f>
        <v/>
      </c>
    </row>
    <row r="6647">
      <c r="G6647">
        <f>G6646+0.0001</f>
        <v/>
      </c>
    </row>
    <row r="6648">
      <c r="G6648">
        <f>G6647+0.0001</f>
        <v/>
      </c>
    </row>
    <row r="6649">
      <c r="G6649">
        <f>G6648+0.0001</f>
        <v/>
      </c>
    </row>
    <row r="6650">
      <c r="G6650">
        <f>G6649+0.0001</f>
        <v/>
      </c>
    </row>
    <row r="6651">
      <c r="G6651">
        <f>G6650+0.0001</f>
        <v/>
      </c>
    </row>
    <row r="6652">
      <c r="G6652">
        <f>G6651+0.0001</f>
        <v/>
      </c>
    </row>
    <row r="6653">
      <c r="G6653">
        <f>G6652+0.0001</f>
        <v/>
      </c>
    </row>
    <row r="6654">
      <c r="G6654">
        <f>G6653+0.0001</f>
        <v/>
      </c>
    </row>
    <row r="6655">
      <c r="G6655">
        <f>G6654+0.0001</f>
        <v/>
      </c>
    </row>
    <row r="6656">
      <c r="G6656">
        <f>G6655+0.0001</f>
        <v/>
      </c>
    </row>
    <row r="6657">
      <c r="G6657">
        <f>G6656+0.0001</f>
        <v/>
      </c>
    </row>
    <row r="6658">
      <c r="G6658">
        <f>G6657+0.0001</f>
        <v/>
      </c>
    </row>
    <row r="6659">
      <c r="G6659">
        <f>G6658+0.0001</f>
        <v/>
      </c>
    </row>
    <row r="6660">
      <c r="G6660">
        <f>G6659+0.0001</f>
        <v/>
      </c>
    </row>
    <row r="6661">
      <c r="G6661">
        <f>G6660+0.0001</f>
        <v/>
      </c>
    </row>
    <row r="6662">
      <c r="G6662">
        <f>G6661+0.0001</f>
        <v/>
      </c>
    </row>
    <row r="6663">
      <c r="G6663">
        <f>G6662+0.0001</f>
        <v/>
      </c>
    </row>
    <row r="6664">
      <c r="G6664">
        <f>G6663+0.0001</f>
        <v/>
      </c>
    </row>
    <row r="6665">
      <c r="G6665">
        <f>G6664+0.0001</f>
        <v/>
      </c>
    </row>
    <row r="6666">
      <c r="G6666">
        <f>G6665+0.0001</f>
        <v/>
      </c>
    </row>
    <row r="6667">
      <c r="G6667">
        <f>G6666+0.0001</f>
        <v/>
      </c>
    </row>
    <row r="6668">
      <c r="G6668">
        <f>G6667+0.0001</f>
        <v/>
      </c>
    </row>
    <row r="6669">
      <c r="G6669">
        <f>G6668+0.0001</f>
        <v/>
      </c>
    </row>
    <row r="6670">
      <c r="G6670">
        <f>G6669+0.0001</f>
        <v/>
      </c>
    </row>
    <row r="6671">
      <c r="G6671">
        <f>G6670+0.0001</f>
        <v/>
      </c>
    </row>
    <row r="6672">
      <c r="G6672">
        <f>G6671+0.0001</f>
        <v/>
      </c>
    </row>
    <row r="6673">
      <c r="G6673">
        <f>G6672+0.0001</f>
        <v/>
      </c>
    </row>
    <row r="6674">
      <c r="G6674">
        <f>G6673+0.0001</f>
        <v/>
      </c>
    </row>
    <row r="6675">
      <c r="G6675">
        <f>G6674+0.0001</f>
        <v/>
      </c>
    </row>
    <row r="6676">
      <c r="G6676">
        <f>G6675+0.0001</f>
        <v/>
      </c>
    </row>
    <row r="6677">
      <c r="G6677">
        <f>G6676+0.0001</f>
        <v/>
      </c>
    </row>
    <row r="6678">
      <c r="G6678">
        <f>G6677+0.0001</f>
        <v/>
      </c>
    </row>
    <row r="6679">
      <c r="G6679">
        <f>G6678+0.0001</f>
        <v/>
      </c>
    </row>
    <row r="6680">
      <c r="G6680">
        <f>G6679+0.0001</f>
        <v/>
      </c>
    </row>
    <row r="6681">
      <c r="G6681">
        <f>G6680+0.0001</f>
        <v/>
      </c>
    </row>
    <row r="6682">
      <c r="G6682">
        <f>G6681+0.0001</f>
        <v/>
      </c>
    </row>
    <row r="6683">
      <c r="G6683">
        <f>G6682+0.0001</f>
        <v/>
      </c>
    </row>
    <row r="6684">
      <c r="G6684">
        <f>G6683+0.0001</f>
        <v/>
      </c>
    </row>
    <row r="6685">
      <c r="G6685">
        <f>G6684+0.0001</f>
        <v/>
      </c>
    </row>
    <row r="6686">
      <c r="G6686">
        <f>G6685+0.0001</f>
        <v/>
      </c>
    </row>
    <row r="6687">
      <c r="G6687">
        <f>G6686+0.0001</f>
        <v/>
      </c>
    </row>
    <row r="6688">
      <c r="G6688">
        <f>G6687+0.0001</f>
        <v/>
      </c>
    </row>
    <row r="6689">
      <c r="G6689">
        <f>G6688+0.0001</f>
        <v/>
      </c>
    </row>
    <row r="6690">
      <c r="G6690">
        <f>G6689+0.0001</f>
        <v/>
      </c>
    </row>
    <row r="6691">
      <c r="G6691">
        <f>G6690+0.0001</f>
        <v/>
      </c>
    </row>
    <row r="6692">
      <c r="G6692">
        <f>G6691+0.0001</f>
        <v/>
      </c>
    </row>
    <row r="6693">
      <c r="G6693">
        <f>G6692+0.0001</f>
        <v/>
      </c>
    </row>
    <row r="6694">
      <c r="G6694">
        <f>G6693+0.0001</f>
        <v/>
      </c>
    </row>
    <row r="6695">
      <c r="G6695">
        <f>G6694+0.0001</f>
        <v/>
      </c>
    </row>
    <row r="6696">
      <c r="G6696">
        <f>G6695+0.0001</f>
        <v/>
      </c>
    </row>
    <row r="6697">
      <c r="G6697">
        <f>G6696+0.0001</f>
        <v/>
      </c>
    </row>
    <row r="6698">
      <c r="G6698">
        <f>G6697+0.0001</f>
        <v/>
      </c>
    </row>
    <row r="6699">
      <c r="G6699">
        <f>G6698+0.0001</f>
        <v/>
      </c>
    </row>
    <row r="6700">
      <c r="G6700">
        <f>G6699+0.0001</f>
        <v/>
      </c>
    </row>
    <row r="6701">
      <c r="G6701">
        <f>G6700+0.0001</f>
        <v/>
      </c>
    </row>
    <row r="6702">
      <c r="G6702">
        <f>G6701+0.0001</f>
        <v/>
      </c>
    </row>
    <row r="6703">
      <c r="G6703">
        <f>G6702+0.0001</f>
        <v/>
      </c>
    </row>
    <row r="6704">
      <c r="G6704">
        <f>G6703+0.0001</f>
        <v/>
      </c>
    </row>
    <row r="6705">
      <c r="G6705">
        <f>G6704+0.0001</f>
        <v/>
      </c>
    </row>
    <row r="6706">
      <c r="G6706">
        <f>G6705+0.0001</f>
        <v/>
      </c>
    </row>
    <row r="6707">
      <c r="G6707">
        <f>G6706+0.0001</f>
        <v/>
      </c>
    </row>
    <row r="6708">
      <c r="G6708">
        <f>G6707+0.0001</f>
        <v/>
      </c>
    </row>
    <row r="6709">
      <c r="G6709">
        <f>G6708+0.0001</f>
        <v/>
      </c>
    </row>
    <row r="6710">
      <c r="G6710">
        <f>G6709+0.0001</f>
        <v/>
      </c>
    </row>
    <row r="6711">
      <c r="G6711">
        <f>G6710+0.0001</f>
        <v/>
      </c>
    </row>
    <row r="6712">
      <c r="G6712">
        <f>G6711+0.0001</f>
        <v/>
      </c>
    </row>
    <row r="6713">
      <c r="G6713">
        <f>G6712+0.0001</f>
        <v/>
      </c>
    </row>
    <row r="6714">
      <c r="G6714">
        <f>G6713+0.0001</f>
        <v/>
      </c>
    </row>
    <row r="6715">
      <c r="G6715">
        <f>G6714+0.0001</f>
        <v/>
      </c>
    </row>
    <row r="6716">
      <c r="G6716">
        <f>G6715+0.0001</f>
        <v/>
      </c>
    </row>
    <row r="6717">
      <c r="G6717">
        <f>G6716+0.0001</f>
        <v/>
      </c>
    </row>
    <row r="6718">
      <c r="G6718">
        <f>G6717+0.0001</f>
        <v/>
      </c>
    </row>
    <row r="6719">
      <c r="G6719">
        <f>G6718+0.0001</f>
        <v/>
      </c>
    </row>
    <row r="6720">
      <c r="G6720">
        <f>G6719+0.0001</f>
        <v/>
      </c>
    </row>
    <row r="6721">
      <c r="G6721">
        <f>G6720+0.0001</f>
        <v/>
      </c>
    </row>
    <row r="6722">
      <c r="G6722">
        <f>G6721+0.0001</f>
        <v/>
      </c>
    </row>
    <row r="6723">
      <c r="G6723">
        <f>G6722+0.0001</f>
        <v/>
      </c>
    </row>
    <row r="6724">
      <c r="G6724">
        <f>G6723+0.0001</f>
        <v/>
      </c>
    </row>
    <row r="6725">
      <c r="G6725">
        <f>G6724+0.0001</f>
        <v/>
      </c>
    </row>
    <row r="6726">
      <c r="G6726">
        <f>G6725+0.0001</f>
        <v/>
      </c>
    </row>
    <row r="6727">
      <c r="G6727">
        <f>G6726+0.0001</f>
        <v/>
      </c>
    </row>
    <row r="6728">
      <c r="G6728">
        <f>G6727+0.0001</f>
        <v/>
      </c>
    </row>
    <row r="6729">
      <c r="G6729">
        <f>G6728+0.0001</f>
        <v/>
      </c>
    </row>
    <row r="6730">
      <c r="G6730">
        <f>G6729+0.0001</f>
        <v/>
      </c>
    </row>
    <row r="6731">
      <c r="G6731">
        <f>G6730+0.0001</f>
        <v/>
      </c>
    </row>
    <row r="6732">
      <c r="G6732">
        <f>G6731+0.0001</f>
        <v/>
      </c>
    </row>
    <row r="6733">
      <c r="G6733">
        <f>G6732+0.0001</f>
        <v/>
      </c>
    </row>
    <row r="6734">
      <c r="G6734">
        <f>G6733+0.0001</f>
        <v/>
      </c>
    </row>
    <row r="6735">
      <c r="G6735">
        <f>G6734+0.0001</f>
        <v/>
      </c>
    </row>
    <row r="6736">
      <c r="G6736">
        <f>G6735+0.0001</f>
        <v/>
      </c>
    </row>
    <row r="6737">
      <c r="G6737">
        <f>G6736+0.0001</f>
        <v/>
      </c>
    </row>
    <row r="6738">
      <c r="G6738">
        <f>G6737+0.0001</f>
        <v/>
      </c>
    </row>
    <row r="6739">
      <c r="G6739">
        <f>G6738+0.0001</f>
        <v/>
      </c>
    </row>
    <row r="6740">
      <c r="G6740">
        <f>G6739+0.0001</f>
        <v/>
      </c>
    </row>
    <row r="6741">
      <c r="G6741">
        <f>G6740+0.0001</f>
        <v/>
      </c>
    </row>
    <row r="6742">
      <c r="G6742">
        <f>G6741+0.0001</f>
        <v/>
      </c>
    </row>
    <row r="6743">
      <c r="G6743">
        <f>G6742+0.0001</f>
        <v/>
      </c>
    </row>
    <row r="6744">
      <c r="G6744">
        <f>G6743+0.0001</f>
        <v/>
      </c>
    </row>
    <row r="6745">
      <c r="G6745">
        <f>G6744+0.0001</f>
        <v/>
      </c>
    </row>
    <row r="6746">
      <c r="G6746">
        <f>G6745+0.0001</f>
        <v/>
      </c>
    </row>
    <row r="6747">
      <c r="G6747">
        <f>G6746+0.0001</f>
        <v/>
      </c>
    </row>
    <row r="6748">
      <c r="G6748">
        <f>G6747+0.0001</f>
        <v/>
      </c>
    </row>
    <row r="6749">
      <c r="G6749">
        <f>G6748+0.0001</f>
        <v/>
      </c>
    </row>
    <row r="6750">
      <c r="G6750">
        <f>G6749+0.0001</f>
        <v/>
      </c>
    </row>
    <row r="6751">
      <c r="G6751">
        <f>G6750+0.0001</f>
        <v/>
      </c>
    </row>
    <row r="6752">
      <c r="G6752">
        <f>G6751+0.0001</f>
        <v/>
      </c>
    </row>
    <row r="6753">
      <c r="G6753">
        <f>G6752+0.0001</f>
        <v/>
      </c>
    </row>
    <row r="6754">
      <c r="G6754">
        <f>G6753+0.0001</f>
        <v/>
      </c>
    </row>
    <row r="6755">
      <c r="G6755">
        <f>G6754+0.0001</f>
        <v/>
      </c>
    </row>
    <row r="6756">
      <c r="G6756">
        <f>G6755+0.0001</f>
        <v/>
      </c>
    </row>
    <row r="6757">
      <c r="G6757">
        <f>G6756+0.0001</f>
        <v/>
      </c>
    </row>
    <row r="6758">
      <c r="G6758">
        <f>G6757+0.0001</f>
        <v/>
      </c>
    </row>
    <row r="6759">
      <c r="G6759">
        <f>G6758+0.0001</f>
        <v/>
      </c>
    </row>
    <row r="6760">
      <c r="G6760">
        <f>G6759+0.0001</f>
        <v/>
      </c>
    </row>
    <row r="6761">
      <c r="G6761">
        <f>G6760+0.0001</f>
        <v/>
      </c>
    </row>
    <row r="6762">
      <c r="G6762">
        <f>G6761+0.0001</f>
        <v/>
      </c>
    </row>
    <row r="6763">
      <c r="G6763">
        <f>G6762+0.0001</f>
        <v/>
      </c>
    </row>
    <row r="6764">
      <c r="G6764">
        <f>G6763+0.0001</f>
        <v/>
      </c>
    </row>
    <row r="6765">
      <c r="G6765">
        <f>G6764+0.0001</f>
        <v/>
      </c>
    </row>
    <row r="6766">
      <c r="G6766">
        <f>G6765+0.0001</f>
        <v/>
      </c>
    </row>
    <row r="6767">
      <c r="G6767">
        <f>G6766+0.0001</f>
        <v/>
      </c>
    </row>
    <row r="6768">
      <c r="G6768">
        <f>G6767+0.0001</f>
        <v/>
      </c>
    </row>
    <row r="6769">
      <c r="G6769">
        <f>G6768+0.0001</f>
        <v/>
      </c>
    </row>
    <row r="6770">
      <c r="G6770">
        <f>G6769+0.0001</f>
        <v/>
      </c>
    </row>
    <row r="6771">
      <c r="G6771">
        <f>G6770+0.0001</f>
        <v/>
      </c>
    </row>
    <row r="6772">
      <c r="G6772">
        <f>G6771+0.0001</f>
        <v/>
      </c>
    </row>
    <row r="6773">
      <c r="G6773">
        <f>G6772+0.0001</f>
        <v/>
      </c>
    </row>
    <row r="6774">
      <c r="G6774">
        <f>G6773+0.0001</f>
        <v/>
      </c>
    </row>
    <row r="6775">
      <c r="G6775">
        <f>G6774+0.0001</f>
        <v/>
      </c>
    </row>
    <row r="6776">
      <c r="G6776">
        <f>G6775+0.0001</f>
        <v/>
      </c>
    </row>
    <row r="6777">
      <c r="G6777">
        <f>G6776+0.0001</f>
        <v/>
      </c>
    </row>
    <row r="6778">
      <c r="G6778">
        <f>G6777+0.0001</f>
        <v/>
      </c>
    </row>
    <row r="6779">
      <c r="G6779">
        <f>G6778+0.0001</f>
        <v/>
      </c>
    </row>
    <row r="6780">
      <c r="G6780">
        <f>G6779+0.0001</f>
        <v/>
      </c>
    </row>
    <row r="6781">
      <c r="G6781">
        <f>G6780+0.0001</f>
        <v/>
      </c>
    </row>
    <row r="6782">
      <c r="G6782">
        <f>G6781+0.0001</f>
        <v/>
      </c>
    </row>
    <row r="6783">
      <c r="G6783">
        <f>G6782+0.0001</f>
        <v/>
      </c>
    </row>
    <row r="6784">
      <c r="G6784">
        <f>G6783+0.0001</f>
        <v/>
      </c>
    </row>
    <row r="6785">
      <c r="G6785">
        <f>G6784+0.0001</f>
        <v/>
      </c>
    </row>
    <row r="6786">
      <c r="G6786">
        <f>G6785+0.0001</f>
        <v/>
      </c>
    </row>
    <row r="6787">
      <c r="G6787">
        <f>G6786+0.0001</f>
        <v/>
      </c>
    </row>
    <row r="6788">
      <c r="G6788">
        <f>G6787+0.0001</f>
        <v/>
      </c>
    </row>
    <row r="6789">
      <c r="G6789">
        <f>G6788+0.0001</f>
        <v/>
      </c>
    </row>
    <row r="6790">
      <c r="G6790">
        <f>G6789+0.0001</f>
        <v/>
      </c>
    </row>
    <row r="6791">
      <c r="G6791">
        <f>G6790+0.0001</f>
        <v/>
      </c>
    </row>
    <row r="6792">
      <c r="G6792">
        <f>G6791+0.0001</f>
        <v/>
      </c>
    </row>
    <row r="6793">
      <c r="G6793">
        <f>G6792+0.0001</f>
        <v/>
      </c>
    </row>
    <row r="6794">
      <c r="G6794">
        <f>G6793+0.0001</f>
        <v/>
      </c>
    </row>
    <row r="6795">
      <c r="G6795">
        <f>G6794+0.0001</f>
        <v/>
      </c>
    </row>
    <row r="6796">
      <c r="G6796">
        <f>G6795+0.0001</f>
        <v/>
      </c>
    </row>
    <row r="6797">
      <c r="G6797">
        <f>G6796+0.0001</f>
        <v/>
      </c>
    </row>
    <row r="6798">
      <c r="G6798">
        <f>G6797+0.0001</f>
        <v/>
      </c>
    </row>
    <row r="6799">
      <c r="G6799">
        <f>G6798+0.0001</f>
        <v/>
      </c>
    </row>
    <row r="6800">
      <c r="G6800">
        <f>G6799+0.0001</f>
        <v/>
      </c>
    </row>
    <row r="6801">
      <c r="G6801">
        <f>G6800+0.0001</f>
        <v/>
      </c>
    </row>
    <row r="6802">
      <c r="G6802">
        <f>G6801+0.0001</f>
        <v/>
      </c>
    </row>
    <row r="6803">
      <c r="G6803">
        <f>G6802+0.0001</f>
        <v/>
      </c>
    </row>
    <row r="6804">
      <c r="G6804">
        <f>G6803+0.0001</f>
        <v/>
      </c>
    </row>
    <row r="6805">
      <c r="G6805">
        <f>G6804+0.0001</f>
        <v/>
      </c>
    </row>
    <row r="6806">
      <c r="G6806">
        <f>G6805+0.0001</f>
        <v/>
      </c>
    </row>
    <row r="6807">
      <c r="G6807">
        <f>G6806+0.0001</f>
        <v/>
      </c>
    </row>
    <row r="6808">
      <c r="G6808">
        <f>G6807+0.0001</f>
        <v/>
      </c>
    </row>
    <row r="6809">
      <c r="G6809">
        <f>G6808+0.0001</f>
        <v/>
      </c>
    </row>
    <row r="6810">
      <c r="G6810">
        <f>G6809+0.0001</f>
        <v/>
      </c>
    </row>
    <row r="6811">
      <c r="G6811">
        <f>G6810+0.0001</f>
        <v/>
      </c>
    </row>
    <row r="6812">
      <c r="G6812">
        <f>G6811+0.0001</f>
        <v/>
      </c>
    </row>
    <row r="6813">
      <c r="G6813">
        <f>G6812+0.0001</f>
        <v/>
      </c>
    </row>
    <row r="6814">
      <c r="G6814">
        <f>G6813+0.0001</f>
        <v/>
      </c>
    </row>
    <row r="6815">
      <c r="G6815">
        <f>G6814+0.0001</f>
        <v/>
      </c>
    </row>
    <row r="6816">
      <c r="G6816">
        <f>G6815+0.0001</f>
        <v/>
      </c>
    </row>
    <row r="6817">
      <c r="G6817">
        <f>G6816+0.0001</f>
        <v/>
      </c>
    </row>
    <row r="6818">
      <c r="G6818">
        <f>G6817+0.0001</f>
        <v/>
      </c>
    </row>
    <row r="6819">
      <c r="G6819">
        <f>G6818+0.0001</f>
        <v/>
      </c>
    </row>
    <row r="6820">
      <c r="G6820">
        <f>G6819+0.0001</f>
        <v/>
      </c>
    </row>
    <row r="6821">
      <c r="G6821">
        <f>G6820+0.0001</f>
        <v/>
      </c>
    </row>
    <row r="6822">
      <c r="G6822">
        <f>G6821+0.0001</f>
        <v/>
      </c>
    </row>
    <row r="6823">
      <c r="G6823">
        <f>G6822+0.0001</f>
        <v/>
      </c>
    </row>
    <row r="6824">
      <c r="G6824">
        <f>G6823+0.0001</f>
        <v/>
      </c>
    </row>
    <row r="6825">
      <c r="G6825">
        <f>G6824+0.0001</f>
        <v/>
      </c>
    </row>
    <row r="6826">
      <c r="G6826">
        <f>G6825+0.0001</f>
        <v/>
      </c>
    </row>
    <row r="6827">
      <c r="G6827">
        <f>G6826+0.0001</f>
        <v/>
      </c>
    </row>
    <row r="6828">
      <c r="G6828">
        <f>G6827+0.0001</f>
        <v/>
      </c>
    </row>
    <row r="6829">
      <c r="G6829">
        <f>G6828+0.0001</f>
        <v/>
      </c>
    </row>
    <row r="6830">
      <c r="G6830">
        <f>G6829+0.0001</f>
        <v/>
      </c>
    </row>
    <row r="6831">
      <c r="G6831">
        <f>G6830+0.0001</f>
        <v/>
      </c>
    </row>
    <row r="6832">
      <c r="G6832">
        <f>G6831+0.0001</f>
        <v/>
      </c>
    </row>
    <row r="6833">
      <c r="G6833">
        <f>G6832+0.0001</f>
        <v/>
      </c>
    </row>
    <row r="6834">
      <c r="G6834">
        <f>G6833+0.0001</f>
        <v/>
      </c>
    </row>
    <row r="6835">
      <c r="G6835">
        <f>G6834+0.0001</f>
        <v/>
      </c>
    </row>
    <row r="6836">
      <c r="G6836">
        <f>G6835+0.0001</f>
        <v/>
      </c>
    </row>
    <row r="6837">
      <c r="G6837">
        <f>G6836+0.0001</f>
        <v/>
      </c>
    </row>
    <row r="6838">
      <c r="G6838">
        <f>G6837+0.0001</f>
        <v/>
      </c>
    </row>
    <row r="6839">
      <c r="G6839">
        <f>G6838+0.0001</f>
        <v/>
      </c>
    </row>
    <row r="6840">
      <c r="G6840">
        <f>G6839+0.0001</f>
        <v/>
      </c>
    </row>
    <row r="6841">
      <c r="G6841">
        <f>G6840+0.0001</f>
        <v/>
      </c>
    </row>
    <row r="6842">
      <c r="G6842">
        <f>G6841+0.0001</f>
        <v/>
      </c>
    </row>
    <row r="6843">
      <c r="G6843">
        <f>G6842+0.0001</f>
        <v/>
      </c>
    </row>
    <row r="6844">
      <c r="G6844">
        <f>G6843+0.0001</f>
        <v/>
      </c>
    </row>
    <row r="6845">
      <c r="G6845">
        <f>G6844+0.0001</f>
        <v/>
      </c>
    </row>
    <row r="6846">
      <c r="G6846">
        <f>G6845+0.0001</f>
        <v/>
      </c>
    </row>
    <row r="6847">
      <c r="G6847">
        <f>G6846+0.0001</f>
        <v/>
      </c>
    </row>
    <row r="6848">
      <c r="G6848">
        <f>G6847+0.0001</f>
        <v/>
      </c>
    </row>
    <row r="6849">
      <c r="G6849">
        <f>G6848+0.0001</f>
        <v/>
      </c>
    </row>
    <row r="6850">
      <c r="G6850">
        <f>G6849+0.0001</f>
        <v/>
      </c>
    </row>
    <row r="6851">
      <c r="G6851">
        <f>G6850+0.0001</f>
        <v/>
      </c>
    </row>
    <row r="6852">
      <c r="G6852">
        <f>G6851+0.0001</f>
        <v/>
      </c>
    </row>
    <row r="6853">
      <c r="G6853">
        <f>G6852+0.0001</f>
        <v/>
      </c>
    </row>
    <row r="6854">
      <c r="G6854">
        <f>G6853+0.0001</f>
        <v/>
      </c>
    </row>
    <row r="6855">
      <c r="G6855">
        <f>G6854+0.0001</f>
        <v/>
      </c>
    </row>
    <row r="6856">
      <c r="G6856">
        <f>G6855+0.0001</f>
        <v/>
      </c>
    </row>
    <row r="6857">
      <c r="G6857">
        <f>G6856+0.0001</f>
        <v/>
      </c>
    </row>
    <row r="6858">
      <c r="G6858">
        <f>G6857+0.0001</f>
        <v/>
      </c>
    </row>
    <row r="6859">
      <c r="G6859">
        <f>G6858+0.0001</f>
        <v/>
      </c>
    </row>
    <row r="6860">
      <c r="G6860">
        <f>G6859+0.0001</f>
        <v/>
      </c>
    </row>
    <row r="6861">
      <c r="G6861">
        <f>G6860+0.0001</f>
        <v/>
      </c>
    </row>
    <row r="6862">
      <c r="G6862">
        <f>G6861+0.0001</f>
        <v/>
      </c>
    </row>
    <row r="6863">
      <c r="G6863">
        <f>G6862+0.0001</f>
        <v/>
      </c>
    </row>
    <row r="6864">
      <c r="G6864">
        <f>G6863+0.0001</f>
        <v/>
      </c>
    </row>
    <row r="6865">
      <c r="G6865">
        <f>G6864+0.0001</f>
        <v/>
      </c>
    </row>
    <row r="6866">
      <c r="G6866">
        <f>G6865+0.0001</f>
        <v/>
      </c>
    </row>
    <row r="6867">
      <c r="G6867">
        <f>G6866+0.0001</f>
        <v/>
      </c>
    </row>
    <row r="6868">
      <c r="G6868">
        <f>G6867+0.0001</f>
        <v/>
      </c>
    </row>
    <row r="6869">
      <c r="G6869">
        <f>G6868+0.0001</f>
        <v/>
      </c>
    </row>
    <row r="6870">
      <c r="G6870">
        <f>G6869+0.0001</f>
        <v/>
      </c>
    </row>
    <row r="6871">
      <c r="G6871">
        <f>G6870+0.0001</f>
        <v/>
      </c>
    </row>
    <row r="6872">
      <c r="G6872">
        <f>G6871+0.0001</f>
        <v/>
      </c>
    </row>
    <row r="6873">
      <c r="G6873">
        <f>G6872+0.0001</f>
        <v/>
      </c>
    </row>
    <row r="6874">
      <c r="G6874">
        <f>G6873+0.0001</f>
        <v/>
      </c>
    </row>
    <row r="6875">
      <c r="G6875">
        <f>G6874+0.0001</f>
        <v/>
      </c>
    </row>
    <row r="6876">
      <c r="G6876">
        <f>G6875+0.0001</f>
        <v/>
      </c>
    </row>
    <row r="6877">
      <c r="G6877">
        <f>G6876+0.0001</f>
        <v/>
      </c>
    </row>
    <row r="6878">
      <c r="G6878">
        <f>G6877+0.0001</f>
        <v/>
      </c>
    </row>
    <row r="6879">
      <c r="G6879">
        <f>G6878+0.0001</f>
        <v/>
      </c>
    </row>
    <row r="6880">
      <c r="G6880">
        <f>G6879+0.0001</f>
        <v/>
      </c>
    </row>
    <row r="6881">
      <c r="G6881">
        <f>G6880+0.0001</f>
        <v/>
      </c>
    </row>
    <row r="6882">
      <c r="G6882">
        <f>G6881+0.0001</f>
        <v/>
      </c>
    </row>
    <row r="6883">
      <c r="G6883">
        <f>G6882+0.0001</f>
        <v/>
      </c>
    </row>
    <row r="6884">
      <c r="G6884">
        <f>G6883+0.0001</f>
        <v/>
      </c>
    </row>
    <row r="6885">
      <c r="G6885">
        <f>G6884+0.0001</f>
        <v/>
      </c>
    </row>
    <row r="6886">
      <c r="G6886">
        <f>G6885+0.0001</f>
        <v/>
      </c>
    </row>
    <row r="6887">
      <c r="G6887">
        <f>G6886+0.0001</f>
        <v/>
      </c>
    </row>
    <row r="6888">
      <c r="G6888">
        <f>G6887+0.0001</f>
        <v/>
      </c>
    </row>
    <row r="6889">
      <c r="G6889">
        <f>G6888+0.0001</f>
        <v/>
      </c>
    </row>
    <row r="6890">
      <c r="G6890">
        <f>G6889+0.0001</f>
        <v/>
      </c>
    </row>
    <row r="6891">
      <c r="G6891">
        <f>G6890+0.0001</f>
        <v/>
      </c>
    </row>
    <row r="6892">
      <c r="G6892">
        <f>G6891+0.0001</f>
        <v/>
      </c>
    </row>
    <row r="6893">
      <c r="G6893">
        <f>G6892+0.0001</f>
        <v/>
      </c>
    </row>
    <row r="6894">
      <c r="G6894">
        <f>G6893+0.0001</f>
        <v/>
      </c>
    </row>
    <row r="6895">
      <c r="G6895">
        <f>G6894+0.0001</f>
        <v/>
      </c>
    </row>
    <row r="6896">
      <c r="G6896">
        <f>G6895+0.0001</f>
        <v/>
      </c>
    </row>
    <row r="6897">
      <c r="G6897">
        <f>G6896+0.0001</f>
        <v/>
      </c>
    </row>
    <row r="6898">
      <c r="G6898">
        <f>G6897+0.0001</f>
        <v/>
      </c>
    </row>
    <row r="6899">
      <c r="G6899">
        <f>G6898+0.0001</f>
        <v/>
      </c>
    </row>
    <row r="6900">
      <c r="G6900">
        <f>G6899+0.0001</f>
        <v/>
      </c>
    </row>
    <row r="6901">
      <c r="G6901">
        <f>G6900+0.0001</f>
        <v/>
      </c>
    </row>
    <row r="6902">
      <c r="G6902">
        <f>G6901+0.0001</f>
        <v/>
      </c>
    </row>
    <row r="6903">
      <c r="G6903">
        <f>G6902+0.0001</f>
        <v/>
      </c>
    </row>
    <row r="6904">
      <c r="G6904">
        <f>G6903+0.0001</f>
        <v/>
      </c>
    </row>
    <row r="6905">
      <c r="G6905">
        <f>G6904+0.0001</f>
        <v/>
      </c>
    </row>
    <row r="6906">
      <c r="G6906">
        <f>G6905+0.0001</f>
        <v/>
      </c>
    </row>
    <row r="6907">
      <c r="G6907">
        <f>G6906+0.0001</f>
        <v/>
      </c>
    </row>
    <row r="6908">
      <c r="G6908">
        <f>G6907+0.0001</f>
        <v/>
      </c>
    </row>
    <row r="6909">
      <c r="G6909">
        <f>G6908+0.0001</f>
        <v/>
      </c>
    </row>
    <row r="6910">
      <c r="G6910">
        <f>G6909+0.0001</f>
        <v/>
      </c>
    </row>
    <row r="6911">
      <c r="G6911">
        <f>G6910+0.0001</f>
        <v/>
      </c>
    </row>
    <row r="6912">
      <c r="G6912">
        <f>G6911+0.0001</f>
        <v/>
      </c>
    </row>
    <row r="6913">
      <c r="G6913">
        <f>G6912+0.0001</f>
        <v/>
      </c>
    </row>
    <row r="6914">
      <c r="G6914">
        <f>G6913+0.0001</f>
        <v/>
      </c>
    </row>
    <row r="6915">
      <c r="G6915">
        <f>G6914+0.0001</f>
        <v/>
      </c>
    </row>
    <row r="6916">
      <c r="G6916">
        <f>G6915+0.0001</f>
        <v/>
      </c>
    </row>
    <row r="6917">
      <c r="G6917">
        <f>G6916+0.0001</f>
        <v/>
      </c>
    </row>
    <row r="6918">
      <c r="G6918">
        <f>G6917+0.0001</f>
        <v/>
      </c>
    </row>
    <row r="6919">
      <c r="G6919">
        <f>G6918+0.0001</f>
        <v/>
      </c>
    </row>
    <row r="6920">
      <c r="G6920">
        <f>G6919+0.0001</f>
        <v/>
      </c>
    </row>
    <row r="6921">
      <c r="G6921">
        <f>G6920+0.0001</f>
        <v/>
      </c>
    </row>
    <row r="6922">
      <c r="G6922">
        <f>G6921+0.0001</f>
        <v/>
      </c>
    </row>
    <row r="6923">
      <c r="G6923">
        <f>G6922+0.0001</f>
        <v/>
      </c>
    </row>
    <row r="6924">
      <c r="G6924">
        <f>G6923+0.0001</f>
        <v/>
      </c>
    </row>
    <row r="6925">
      <c r="G6925">
        <f>G6924+0.0001</f>
        <v/>
      </c>
    </row>
    <row r="6926">
      <c r="G6926">
        <f>G6925+0.0001</f>
        <v/>
      </c>
    </row>
    <row r="6927">
      <c r="G6927">
        <f>G6926+0.0001</f>
        <v/>
      </c>
    </row>
    <row r="6928">
      <c r="G6928">
        <f>G6927+0.0001</f>
        <v/>
      </c>
    </row>
    <row r="6929">
      <c r="G6929">
        <f>G6928+0.0001</f>
        <v/>
      </c>
    </row>
    <row r="6930">
      <c r="G6930">
        <f>G6929+0.0001</f>
        <v/>
      </c>
    </row>
    <row r="6931">
      <c r="G6931">
        <f>G6930+0.0001</f>
        <v/>
      </c>
    </row>
    <row r="6932">
      <c r="G6932">
        <f>G6931+0.0001</f>
        <v/>
      </c>
    </row>
    <row r="6933">
      <c r="G6933">
        <f>G6932+0.0001</f>
        <v/>
      </c>
    </row>
    <row r="6934">
      <c r="G6934">
        <f>G6933+0.0001</f>
        <v/>
      </c>
    </row>
    <row r="6935">
      <c r="G6935">
        <f>G6934+0.0001</f>
        <v/>
      </c>
    </row>
    <row r="6936">
      <c r="G6936">
        <f>G6935+0.0001</f>
        <v/>
      </c>
    </row>
    <row r="6937">
      <c r="G6937">
        <f>G6936+0.0001</f>
        <v/>
      </c>
    </row>
    <row r="6938">
      <c r="G6938">
        <f>G6937+0.0001</f>
        <v/>
      </c>
    </row>
    <row r="6939">
      <c r="G6939">
        <f>G6938+0.0001</f>
        <v/>
      </c>
    </row>
    <row r="6940">
      <c r="G6940">
        <f>G6939+0.0001</f>
        <v/>
      </c>
    </row>
    <row r="6941">
      <c r="G6941">
        <f>G6940+0.0001</f>
        <v/>
      </c>
    </row>
    <row r="6942">
      <c r="G6942">
        <f>G6941+0.0001</f>
        <v/>
      </c>
    </row>
    <row r="6943">
      <c r="G6943">
        <f>G6942+0.0001</f>
        <v/>
      </c>
    </row>
    <row r="6944">
      <c r="G6944">
        <f>G6943+0.0001</f>
        <v/>
      </c>
    </row>
    <row r="6945">
      <c r="G6945">
        <f>G6944+0.0001</f>
        <v/>
      </c>
    </row>
    <row r="6946">
      <c r="G6946">
        <f>G6945+0.0001</f>
        <v/>
      </c>
    </row>
    <row r="6947">
      <c r="G6947">
        <f>G6946+0.0001</f>
        <v/>
      </c>
    </row>
    <row r="6948">
      <c r="G6948">
        <f>G6947+0.0001</f>
        <v/>
      </c>
    </row>
    <row r="6949">
      <c r="G6949">
        <f>G6948+0.0001</f>
        <v/>
      </c>
    </row>
    <row r="6950">
      <c r="G6950">
        <f>G6949+0.0001</f>
        <v/>
      </c>
    </row>
    <row r="6951">
      <c r="G6951">
        <f>G6950+0.0001</f>
        <v/>
      </c>
    </row>
    <row r="6952">
      <c r="G6952">
        <f>G6951+0.0001</f>
        <v/>
      </c>
    </row>
    <row r="6953">
      <c r="G6953">
        <f>G6952+0.0001</f>
        <v/>
      </c>
    </row>
    <row r="6954">
      <c r="G6954">
        <f>G6953+0.0001</f>
        <v/>
      </c>
    </row>
    <row r="6955">
      <c r="G6955">
        <f>G6954+0.0001</f>
        <v/>
      </c>
    </row>
    <row r="6956">
      <c r="G6956">
        <f>G6955+0.0001</f>
        <v/>
      </c>
    </row>
    <row r="6957">
      <c r="G6957">
        <f>G6956+0.0001</f>
        <v/>
      </c>
    </row>
    <row r="6958">
      <c r="G6958">
        <f>G6957+0.0001</f>
        <v/>
      </c>
    </row>
    <row r="6959">
      <c r="G6959">
        <f>G6958+0.0001</f>
        <v/>
      </c>
    </row>
    <row r="6960">
      <c r="G6960">
        <f>G6959+0.0001</f>
        <v/>
      </c>
    </row>
    <row r="6961">
      <c r="G6961">
        <f>G6960+0.0001</f>
        <v/>
      </c>
    </row>
    <row r="6962">
      <c r="G6962">
        <f>G6961+0.0001</f>
        <v/>
      </c>
    </row>
    <row r="6963">
      <c r="G6963">
        <f>G6962+0.0001</f>
        <v/>
      </c>
    </row>
    <row r="6964">
      <c r="G6964">
        <f>G6963+0.0001</f>
        <v/>
      </c>
    </row>
    <row r="6965">
      <c r="G6965">
        <f>G6964+0.0001</f>
        <v/>
      </c>
    </row>
    <row r="6966">
      <c r="G6966">
        <f>G6965+0.0001</f>
        <v/>
      </c>
    </row>
    <row r="6967">
      <c r="G6967">
        <f>G6966+0.0001</f>
        <v/>
      </c>
    </row>
    <row r="6968">
      <c r="G6968">
        <f>G6967+0.0001</f>
        <v/>
      </c>
    </row>
    <row r="6969">
      <c r="G6969">
        <f>G6968+0.0001</f>
        <v/>
      </c>
    </row>
    <row r="6970">
      <c r="G6970">
        <f>G6969+0.0001</f>
        <v/>
      </c>
    </row>
    <row r="6971">
      <c r="G6971">
        <f>G6970+0.0001</f>
        <v/>
      </c>
    </row>
    <row r="6972">
      <c r="G6972">
        <f>G6971+0.0001</f>
        <v/>
      </c>
    </row>
    <row r="6973">
      <c r="G6973">
        <f>G6972+0.0001</f>
        <v/>
      </c>
    </row>
    <row r="6974">
      <c r="G6974">
        <f>G6973+0.0001</f>
        <v/>
      </c>
    </row>
    <row r="6975">
      <c r="G6975">
        <f>G6974+0.0001</f>
        <v/>
      </c>
    </row>
    <row r="6976">
      <c r="G6976">
        <f>G6975+0.0001</f>
        <v/>
      </c>
    </row>
    <row r="6977">
      <c r="G6977">
        <f>G6976+0.0001</f>
        <v/>
      </c>
    </row>
    <row r="6978">
      <c r="G6978">
        <f>G6977+0.0001</f>
        <v/>
      </c>
    </row>
    <row r="6979">
      <c r="G6979">
        <f>G6978+0.0001</f>
        <v/>
      </c>
    </row>
    <row r="6980">
      <c r="G6980">
        <f>G6979+0.0001</f>
        <v/>
      </c>
    </row>
    <row r="6981">
      <c r="G6981">
        <f>G6980+0.0001</f>
        <v/>
      </c>
    </row>
    <row r="6982">
      <c r="G6982">
        <f>G6981+0.0001</f>
        <v/>
      </c>
    </row>
    <row r="6983">
      <c r="G6983">
        <f>G6982+0.0001</f>
        <v/>
      </c>
    </row>
    <row r="6984">
      <c r="G6984">
        <f>G6983+0.0001</f>
        <v/>
      </c>
    </row>
    <row r="6985">
      <c r="G6985">
        <f>G6984+0.0001</f>
        <v/>
      </c>
    </row>
    <row r="6986">
      <c r="G6986">
        <f>G6985+0.0001</f>
        <v/>
      </c>
    </row>
    <row r="6987">
      <c r="G6987">
        <f>G6986+0.0001</f>
        <v/>
      </c>
    </row>
    <row r="6988">
      <c r="G6988">
        <f>G6987+0.0001</f>
        <v/>
      </c>
    </row>
    <row r="6989">
      <c r="G6989">
        <f>G6988+0.0001</f>
        <v/>
      </c>
    </row>
    <row r="6990">
      <c r="G6990">
        <f>G6989+0.0001</f>
        <v/>
      </c>
    </row>
    <row r="6991">
      <c r="G6991">
        <f>G6990+0.0001</f>
        <v/>
      </c>
    </row>
    <row r="6992">
      <c r="G6992">
        <f>G6991+0.0001</f>
        <v/>
      </c>
    </row>
    <row r="6993">
      <c r="G6993">
        <f>G6992+0.0001</f>
        <v/>
      </c>
    </row>
    <row r="6994">
      <c r="G6994">
        <f>G6993+0.0001</f>
        <v/>
      </c>
    </row>
    <row r="6995">
      <c r="G6995">
        <f>G6994+0.0001</f>
        <v/>
      </c>
    </row>
    <row r="6996">
      <c r="G6996">
        <f>G6995+0.0001</f>
        <v/>
      </c>
    </row>
    <row r="6997">
      <c r="G6997">
        <f>G6996+0.0001</f>
        <v/>
      </c>
    </row>
    <row r="6998">
      <c r="G6998">
        <f>G6997+0.0001</f>
        <v/>
      </c>
    </row>
    <row r="6999">
      <c r="G6999">
        <f>G6998+0.0001</f>
        <v/>
      </c>
    </row>
    <row r="7000">
      <c r="G7000">
        <f>G6999+0.0001</f>
        <v/>
      </c>
    </row>
    <row r="7001">
      <c r="G7001">
        <f>G7000+0.0001</f>
        <v/>
      </c>
    </row>
    <row r="7002">
      <c r="G7002">
        <f>G7001+0.0001</f>
        <v/>
      </c>
    </row>
    <row r="7003">
      <c r="G7003">
        <f>G7002+0.0001</f>
        <v/>
      </c>
    </row>
    <row r="7004">
      <c r="G7004">
        <f>G7003+0.0001</f>
        <v/>
      </c>
    </row>
    <row r="7005">
      <c r="G7005">
        <f>G7004+0.0001</f>
        <v/>
      </c>
    </row>
    <row r="7006">
      <c r="G7006">
        <f>G7005+0.0001</f>
        <v/>
      </c>
    </row>
    <row r="7007">
      <c r="G7007">
        <f>G7006+0.0001</f>
        <v/>
      </c>
    </row>
    <row r="7008">
      <c r="G7008">
        <f>G7007+0.0001</f>
        <v/>
      </c>
    </row>
    <row r="7009">
      <c r="G7009">
        <f>G7008+0.0001</f>
        <v/>
      </c>
    </row>
    <row r="7010">
      <c r="G7010">
        <f>G7009+0.0001</f>
        <v/>
      </c>
    </row>
    <row r="7011">
      <c r="G7011">
        <f>G7010+0.0001</f>
        <v/>
      </c>
    </row>
    <row r="7012">
      <c r="G7012">
        <f>G7011+0.0001</f>
        <v/>
      </c>
    </row>
    <row r="7013">
      <c r="G7013">
        <f>G7012+0.0001</f>
        <v/>
      </c>
    </row>
    <row r="7014">
      <c r="G7014">
        <f>G7013+0.0001</f>
        <v/>
      </c>
    </row>
    <row r="7015">
      <c r="G7015">
        <f>G7014+0.0001</f>
        <v/>
      </c>
    </row>
    <row r="7016">
      <c r="G7016">
        <f>G7015+0.0001</f>
        <v/>
      </c>
    </row>
    <row r="7017">
      <c r="G7017">
        <f>G7016+0.0001</f>
        <v/>
      </c>
    </row>
    <row r="7018">
      <c r="G7018">
        <f>G7017+0.0001</f>
        <v/>
      </c>
    </row>
    <row r="7019">
      <c r="G7019">
        <f>G7018+0.0001</f>
        <v/>
      </c>
    </row>
    <row r="7020">
      <c r="G7020">
        <f>G7019+0.0001</f>
        <v/>
      </c>
    </row>
    <row r="7021">
      <c r="G7021">
        <f>G7020+0.0001</f>
        <v/>
      </c>
    </row>
    <row r="7022">
      <c r="G7022">
        <f>G7021+0.0001</f>
        <v/>
      </c>
    </row>
    <row r="7023">
      <c r="G7023">
        <f>G7022+0.0001</f>
        <v/>
      </c>
    </row>
    <row r="7024">
      <c r="G7024">
        <f>G7023+0.0001</f>
        <v/>
      </c>
    </row>
    <row r="7025">
      <c r="G7025">
        <f>G7024+0.0001</f>
        <v/>
      </c>
    </row>
    <row r="7026">
      <c r="G7026">
        <f>G7025+0.0001</f>
        <v/>
      </c>
    </row>
    <row r="7027">
      <c r="G7027">
        <f>G7026+0.0001</f>
        <v/>
      </c>
    </row>
    <row r="7028">
      <c r="G7028">
        <f>G7027+0.0001</f>
        <v/>
      </c>
    </row>
    <row r="7029">
      <c r="G7029">
        <f>G7028+0.0001</f>
        <v/>
      </c>
    </row>
    <row r="7030">
      <c r="G7030">
        <f>G7029+0.0001</f>
        <v/>
      </c>
    </row>
    <row r="7031">
      <c r="G7031">
        <f>G7030+0.0001</f>
        <v/>
      </c>
    </row>
    <row r="7032">
      <c r="G7032">
        <f>G7031+0.0001</f>
        <v/>
      </c>
    </row>
    <row r="7033">
      <c r="G7033">
        <f>G7032+0.0001</f>
        <v/>
      </c>
    </row>
    <row r="7034">
      <c r="G7034">
        <f>G7033+0.0001</f>
        <v/>
      </c>
    </row>
    <row r="7035">
      <c r="G7035">
        <f>G7034+0.0001</f>
        <v/>
      </c>
    </row>
    <row r="7036">
      <c r="G7036">
        <f>G7035+0.0001</f>
        <v/>
      </c>
    </row>
    <row r="7037">
      <c r="G7037">
        <f>G7036+0.0001</f>
        <v/>
      </c>
    </row>
    <row r="7038">
      <c r="G7038">
        <f>G7037+0.0001</f>
        <v/>
      </c>
    </row>
    <row r="7039">
      <c r="G7039">
        <f>G7038+0.0001</f>
        <v/>
      </c>
    </row>
    <row r="7040">
      <c r="G7040">
        <f>G7039+0.0001</f>
        <v/>
      </c>
    </row>
    <row r="7041">
      <c r="G7041">
        <f>G7040+0.0001</f>
        <v/>
      </c>
    </row>
    <row r="7042">
      <c r="G7042">
        <f>G7041+0.0001</f>
        <v/>
      </c>
    </row>
    <row r="7043">
      <c r="G7043">
        <f>G7042+0.0001</f>
        <v/>
      </c>
    </row>
    <row r="7044">
      <c r="G7044">
        <f>G7043+0.0001</f>
        <v/>
      </c>
    </row>
    <row r="7045">
      <c r="G7045">
        <f>G7044+0.0001</f>
        <v/>
      </c>
    </row>
    <row r="7046">
      <c r="G7046">
        <f>G7045+0.0001</f>
        <v/>
      </c>
    </row>
    <row r="7047">
      <c r="G7047">
        <f>G7046+0.0001</f>
        <v/>
      </c>
    </row>
    <row r="7048">
      <c r="G7048">
        <f>G7047+0.0001</f>
        <v/>
      </c>
    </row>
    <row r="7049">
      <c r="G7049">
        <f>G7048+0.0001</f>
        <v/>
      </c>
    </row>
    <row r="7050">
      <c r="G7050">
        <f>G7049+0.0001</f>
        <v/>
      </c>
    </row>
    <row r="7051">
      <c r="G7051">
        <f>G7050+0.0001</f>
        <v/>
      </c>
    </row>
    <row r="7052">
      <c r="G7052">
        <f>G7051+0.0001</f>
        <v/>
      </c>
    </row>
    <row r="7053">
      <c r="G7053">
        <f>G7052+0.0001</f>
        <v/>
      </c>
    </row>
    <row r="7054">
      <c r="G7054">
        <f>G7053+0.0001</f>
        <v/>
      </c>
    </row>
    <row r="7055">
      <c r="G7055">
        <f>G7054+0.0001</f>
        <v/>
      </c>
    </row>
    <row r="7056">
      <c r="G7056">
        <f>G7055+0.0001</f>
        <v/>
      </c>
    </row>
    <row r="7057">
      <c r="G7057">
        <f>G7056+0.0001</f>
        <v/>
      </c>
    </row>
    <row r="7058">
      <c r="G7058">
        <f>G7057+0.0001</f>
        <v/>
      </c>
    </row>
    <row r="7059">
      <c r="G7059">
        <f>G7058+0.0001</f>
        <v/>
      </c>
    </row>
    <row r="7060">
      <c r="G7060">
        <f>G7059+0.0001</f>
        <v/>
      </c>
    </row>
    <row r="7061">
      <c r="G7061">
        <f>G7060+0.0001</f>
        <v/>
      </c>
    </row>
    <row r="7062">
      <c r="G7062">
        <f>G7061+0.0001</f>
        <v/>
      </c>
    </row>
    <row r="7063">
      <c r="G7063">
        <f>G7062+0.0001</f>
        <v/>
      </c>
    </row>
    <row r="7064">
      <c r="G7064">
        <f>G7063+0.0001</f>
        <v/>
      </c>
    </row>
    <row r="7065">
      <c r="G7065">
        <f>G7064+0.0001</f>
        <v/>
      </c>
    </row>
    <row r="7066">
      <c r="G7066">
        <f>G7065+0.0001</f>
        <v/>
      </c>
    </row>
    <row r="7067">
      <c r="G7067">
        <f>G7066+0.0001</f>
        <v/>
      </c>
    </row>
    <row r="7068">
      <c r="G7068">
        <f>G7067+0.0001</f>
        <v/>
      </c>
    </row>
    <row r="7069">
      <c r="G7069">
        <f>G7068+0.0001</f>
        <v/>
      </c>
    </row>
    <row r="7070">
      <c r="G7070">
        <f>G7069+0.0001</f>
        <v/>
      </c>
    </row>
    <row r="7071">
      <c r="G7071">
        <f>G7070+0.0001</f>
        <v/>
      </c>
    </row>
    <row r="7072">
      <c r="G7072">
        <f>G7071+0.0001</f>
        <v/>
      </c>
    </row>
    <row r="7073">
      <c r="G7073">
        <f>G7072+0.0001</f>
        <v/>
      </c>
    </row>
    <row r="7074">
      <c r="G7074">
        <f>G7073+0.0001</f>
        <v/>
      </c>
    </row>
    <row r="7075">
      <c r="G7075">
        <f>G7074+0.0001</f>
        <v/>
      </c>
    </row>
    <row r="7076">
      <c r="G7076">
        <f>G7075+0.0001</f>
        <v/>
      </c>
    </row>
    <row r="7077">
      <c r="G7077">
        <f>G7076+0.0001</f>
        <v/>
      </c>
    </row>
    <row r="7078">
      <c r="G7078">
        <f>G7077+0.0001</f>
        <v/>
      </c>
    </row>
    <row r="7079">
      <c r="G7079">
        <f>G7078+0.0001</f>
        <v/>
      </c>
    </row>
    <row r="7080">
      <c r="G7080">
        <f>G7079+0.0001</f>
        <v/>
      </c>
    </row>
    <row r="7081">
      <c r="G7081">
        <f>G7080+0.0001</f>
        <v/>
      </c>
    </row>
    <row r="7082">
      <c r="G7082">
        <f>G7081+0.0001</f>
        <v/>
      </c>
    </row>
    <row r="7083">
      <c r="G7083">
        <f>G7082+0.0001</f>
        <v/>
      </c>
    </row>
    <row r="7084">
      <c r="G7084">
        <f>G7083+0.0001</f>
        <v/>
      </c>
    </row>
    <row r="7085">
      <c r="G7085">
        <f>G7084+0.0001</f>
        <v/>
      </c>
    </row>
    <row r="7086">
      <c r="G7086">
        <f>G7085+0.0001</f>
        <v/>
      </c>
    </row>
    <row r="7087">
      <c r="G7087">
        <f>G7086+0.0001</f>
        <v/>
      </c>
    </row>
    <row r="7088">
      <c r="G7088">
        <f>G7087+0.0001</f>
        <v/>
      </c>
    </row>
    <row r="7089">
      <c r="G7089">
        <f>G7088+0.0001</f>
        <v/>
      </c>
    </row>
    <row r="7090">
      <c r="G7090">
        <f>G7089+0.0001</f>
        <v/>
      </c>
    </row>
    <row r="7091">
      <c r="G7091">
        <f>G7090+0.0001</f>
        <v/>
      </c>
    </row>
    <row r="7092">
      <c r="G7092">
        <f>G7091+0.0001</f>
        <v/>
      </c>
    </row>
    <row r="7093">
      <c r="G7093">
        <f>G7092+0.0001</f>
        <v/>
      </c>
    </row>
    <row r="7094">
      <c r="G7094">
        <f>G7093+0.0001</f>
        <v/>
      </c>
    </row>
    <row r="7095">
      <c r="G7095">
        <f>G7094+0.0001</f>
        <v/>
      </c>
    </row>
    <row r="7096">
      <c r="G7096">
        <f>G7095+0.0001</f>
        <v/>
      </c>
    </row>
    <row r="7097">
      <c r="G7097">
        <f>G7096+0.0001</f>
        <v/>
      </c>
    </row>
    <row r="7098">
      <c r="G7098">
        <f>G7097+0.0001</f>
        <v/>
      </c>
    </row>
    <row r="7099">
      <c r="G7099">
        <f>G7098+0.0001</f>
        <v/>
      </c>
    </row>
    <row r="7100">
      <c r="G7100">
        <f>G7099+0.0001</f>
        <v/>
      </c>
    </row>
    <row r="7101">
      <c r="G7101">
        <f>G7100+0.0001</f>
        <v/>
      </c>
    </row>
    <row r="7102">
      <c r="G7102">
        <f>G7101+0.0001</f>
        <v/>
      </c>
    </row>
    <row r="7103">
      <c r="G7103">
        <f>G7102+0.0001</f>
        <v/>
      </c>
    </row>
    <row r="7104">
      <c r="G7104">
        <f>G7103+0.0001</f>
        <v/>
      </c>
    </row>
    <row r="7105">
      <c r="G7105">
        <f>G7104+0.0001</f>
        <v/>
      </c>
    </row>
    <row r="7106">
      <c r="G7106">
        <f>G7105+0.0001</f>
        <v/>
      </c>
    </row>
    <row r="7107">
      <c r="G7107">
        <f>G7106+0.0001</f>
        <v/>
      </c>
    </row>
    <row r="7108">
      <c r="G7108">
        <f>G7107+0.0001</f>
        <v/>
      </c>
    </row>
    <row r="7109">
      <c r="G7109">
        <f>G7108+0.0001</f>
        <v/>
      </c>
    </row>
    <row r="7110">
      <c r="G7110">
        <f>G7109+0.0001</f>
        <v/>
      </c>
    </row>
    <row r="7111">
      <c r="G7111">
        <f>G7110+0.0001</f>
        <v/>
      </c>
    </row>
    <row r="7112">
      <c r="G7112">
        <f>G7111+0.0001</f>
        <v/>
      </c>
    </row>
    <row r="7113">
      <c r="G7113">
        <f>G7112+0.0001</f>
        <v/>
      </c>
    </row>
    <row r="7114">
      <c r="G7114">
        <f>G7113+0.0001</f>
        <v/>
      </c>
    </row>
    <row r="7115">
      <c r="G7115">
        <f>G7114+0.0001</f>
        <v/>
      </c>
    </row>
    <row r="7116">
      <c r="G7116">
        <f>G7115+0.0001</f>
        <v/>
      </c>
    </row>
    <row r="7117">
      <c r="G7117">
        <f>G7116+0.0001</f>
        <v/>
      </c>
    </row>
    <row r="7118">
      <c r="G7118">
        <f>G7117+0.0001</f>
        <v/>
      </c>
    </row>
    <row r="7119">
      <c r="G7119">
        <f>G7118+0.0001</f>
        <v/>
      </c>
    </row>
    <row r="7120">
      <c r="G7120">
        <f>G7119+0.0001</f>
        <v/>
      </c>
    </row>
    <row r="7121">
      <c r="G7121">
        <f>G7120+0.0001</f>
        <v/>
      </c>
    </row>
    <row r="7122">
      <c r="G7122">
        <f>G7121+0.0001</f>
        <v/>
      </c>
    </row>
    <row r="7123">
      <c r="G7123">
        <f>G7122+0.0001</f>
        <v/>
      </c>
    </row>
    <row r="7124">
      <c r="G7124">
        <f>G7123+0.0001</f>
        <v/>
      </c>
    </row>
    <row r="7125">
      <c r="G7125">
        <f>G7124+0.0001</f>
        <v/>
      </c>
    </row>
    <row r="7126">
      <c r="G7126">
        <f>G7125+0.0001</f>
        <v/>
      </c>
    </row>
    <row r="7127">
      <c r="G7127">
        <f>G7126+0.0001</f>
        <v/>
      </c>
    </row>
    <row r="7128">
      <c r="G7128">
        <f>G7127+0.0001</f>
        <v/>
      </c>
    </row>
    <row r="7129">
      <c r="G7129">
        <f>G7128+0.0001</f>
        <v/>
      </c>
    </row>
    <row r="7130">
      <c r="G7130">
        <f>G7129+0.0001</f>
        <v/>
      </c>
    </row>
    <row r="7131">
      <c r="G7131">
        <f>G7130+0.0001</f>
        <v/>
      </c>
    </row>
    <row r="7132">
      <c r="G7132">
        <f>G7131+0.0001</f>
        <v/>
      </c>
    </row>
    <row r="7133">
      <c r="G7133">
        <f>G7132+0.0001</f>
        <v/>
      </c>
    </row>
    <row r="7134">
      <c r="G7134">
        <f>G7133+0.0001</f>
        <v/>
      </c>
    </row>
    <row r="7135">
      <c r="G7135">
        <f>G7134+0.0001</f>
        <v/>
      </c>
    </row>
    <row r="7136">
      <c r="G7136">
        <f>G7135+0.0001</f>
        <v/>
      </c>
    </row>
    <row r="7137">
      <c r="G7137">
        <f>G7136+0.0001</f>
        <v/>
      </c>
    </row>
    <row r="7138">
      <c r="G7138">
        <f>G7137+0.0001</f>
        <v/>
      </c>
    </row>
    <row r="7139">
      <c r="G7139">
        <f>G7138+0.0001</f>
        <v/>
      </c>
    </row>
    <row r="7140">
      <c r="G7140">
        <f>G7139+0.0001</f>
        <v/>
      </c>
    </row>
    <row r="7141">
      <c r="G7141">
        <f>G7140+0.0001</f>
        <v/>
      </c>
    </row>
    <row r="7142">
      <c r="G7142">
        <f>G7141+0.0001</f>
        <v/>
      </c>
    </row>
    <row r="7143">
      <c r="G7143">
        <f>G7142+0.0001</f>
        <v/>
      </c>
    </row>
    <row r="7144">
      <c r="G7144">
        <f>G7143+0.0001</f>
        <v/>
      </c>
    </row>
    <row r="7145">
      <c r="G7145">
        <f>G7144+0.0001</f>
        <v/>
      </c>
    </row>
    <row r="7146">
      <c r="G7146">
        <f>G7145+0.0001</f>
        <v/>
      </c>
    </row>
    <row r="7147">
      <c r="G7147">
        <f>G7146+0.0001</f>
        <v/>
      </c>
    </row>
    <row r="7148">
      <c r="G7148">
        <f>G7147+0.0001</f>
        <v/>
      </c>
    </row>
    <row r="7149">
      <c r="G7149">
        <f>G7148+0.0001</f>
        <v/>
      </c>
    </row>
    <row r="7150">
      <c r="G7150">
        <f>G7149+0.0001</f>
        <v/>
      </c>
    </row>
    <row r="7151">
      <c r="G7151">
        <f>G7150+0.0001</f>
        <v/>
      </c>
    </row>
    <row r="7152">
      <c r="G7152">
        <f>G7151+0.0001</f>
        <v/>
      </c>
    </row>
    <row r="7153">
      <c r="G7153">
        <f>G7152+0.0001</f>
        <v/>
      </c>
    </row>
    <row r="7154">
      <c r="G7154">
        <f>G7153+0.0001</f>
        <v/>
      </c>
    </row>
    <row r="7155">
      <c r="G7155">
        <f>G7154+0.0001</f>
        <v/>
      </c>
    </row>
    <row r="7156">
      <c r="G7156">
        <f>G7155+0.0001</f>
        <v/>
      </c>
    </row>
    <row r="7157">
      <c r="G7157">
        <f>G7156+0.0001</f>
        <v/>
      </c>
    </row>
    <row r="7158">
      <c r="G7158">
        <f>G7157+0.0001</f>
        <v/>
      </c>
    </row>
    <row r="7159">
      <c r="G7159">
        <f>G7158+0.0001</f>
        <v/>
      </c>
    </row>
    <row r="7160">
      <c r="G7160">
        <f>G7159+0.0001</f>
        <v/>
      </c>
    </row>
    <row r="7161">
      <c r="G7161">
        <f>G7160+0.0001</f>
        <v/>
      </c>
    </row>
    <row r="7162">
      <c r="G7162">
        <f>G7161+0.0001</f>
        <v/>
      </c>
    </row>
    <row r="7163">
      <c r="G7163">
        <f>G7162+0.0001</f>
        <v/>
      </c>
    </row>
    <row r="7164">
      <c r="G7164">
        <f>G7163+0.0001</f>
        <v/>
      </c>
    </row>
    <row r="7165">
      <c r="G7165">
        <f>G7164+0.0001</f>
        <v/>
      </c>
    </row>
    <row r="7166">
      <c r="G7166">
        <f>G7165+0.0001</f>
        <v/>
      </c>
    </row>
    <row r="7167">
      <c r="G7167">
        <f>G7166+0.0001</f>
        <v/>
      </c>
    </row>
    <row r="7168">
      <c r="G7168">
        <f>G7167+0.0001</f>
        <v/>
      </c>
    </row>
    <row r="7169">
      <c r="G7169">
        <f>G7168+0.0001</f>
        <v/>
      </c>
    </row>
    <row r="7170">
      <c r="G7170">
        <f>G7169+0.0001</f>
        <v/>
      </c>
    </row>
    <row r="7171">
      <c r="G7171">
        <f>G7170+0.0001</f>
        <v/>
      </c>
    </row>
    <row r="7172">
      <c r="G7172">
        <f>G7171+0.0001</f>
        <v/>
      </c>
    </row>
    <row r="7173">
      <c r="G7173">
        <f>G7172+0.0001</f>
        <v/>
      </c>
    </row>
    <row r="7174">
      <c r="G7174">
        <f>G7173+0.0001</f>
        <v/>
      </c>
    </row>
    <row r="7175">
      <c r="G7175">
        <f>G7174+0.0001</f>
        <v/>
      </c>
    </row>
    <row r="7176">
      <c r="G7176">
        <f>G7175+0.0001</f>
        <v/>
      </c>
    </row>
    <row r="7177">
      <c r="G7177">
        <f>G7176+0.0001</f>
        <v/>
      </c>
    </row>
    <row r="7178">
      <c r="G7178">
        <f>G7177+0.0001</f>
        <v/>
      </c>
    </row>
    <row r="7179">
      <c r="G7179">
        <f>G7178+0.0001</f>
        <v/>
      </c>
    </row>
    <row r="7180">
      <c r="G7180">
        <f>G7179+0.0001</f>
        <v/>
      </c>
    </row>
    <row r="7181">
      <c r="G7181">
        <f>G7180+0.0001</f>
        <v/>
      </c>
    </row>
    <row r="7182">
      <c r="G7182">
        <f>G7181+0.0001</f>
        <v/>
      </c>
    </row>
    <row r="7183">
      <c r="G7183">
        <f>G7182+0.0001</f>
        <v/>
      </c>
    </row>
    <row r="7184">
      <c r="G7184">
        <f>G7183+0.0001</f>
        <v/>
      </c>
    </row>
    <row r="7185">
      <c r="G7185">
        <f>G7184+0.0001</f>
        <v/>
      </c>
    </row>
    <row r="7186">
      <c r="G7186">
        <f>G7185+0.0001</f>
        <v/>
      </c>
    </row>
    <row r="7187">
      <c r="G7187">
        <f>G7186+0.0001</f>
        <v/>
      </c>
    </row>
    <row r="7188">
      <c r="G7188">
        <f>G7187+0.0001</f>
        <v/>
      </c>
    </row>
    <row r="7189">
      <c r="G7189">
        <f>G7188+0.0001</f>
        <v/>
      </c>
    </row>
    <row r="7190">
      <c r="G7190">
        <f>G7189+0.0001</f>
        <v/>
      </c>
    </row>
    <row r="7191">
      <c r="G7191">
        <f>G7190+0.0001</f>
        <v/>
      </c>
    </row>
    <row r="7192">
      <c r="G7192">
        <f>G7191+0.0001</f>
        <v/>
      </c>
    </row>
    <row r="7193">
      <c r="G7193">
        <f>G7192+0.0001</f>
        <v/>
      </c>
    </row>
    <row r="7194">
      <c r="G7194">
        <f>G7193+0.0001</f>
        <v/>
      </c>
    </row>
    <row r="7195">
      <c r="G7195">
        <f>G7194+0.0001</f>
        <v/>
      </c>
    </row>
    <row r="7196">
      <c r="G7196">
        <f>G7195+0.0001</f>
        <v/>
      </c>
    </row>
    <row r="7197">
      <c r="G7197">
        <f>G7196+0.0001</f>
        <v/>
      </c>
    </row>
    <row r="7198">
      <c r="G7198">
        <f>G7197+0.0001</f>
        <v/>
      </c>
    </row>
    <row r="7199">
      <c r="G7199">
        <f>G7198+0.0001</f>
        <v/>
      </c>
    </row>
    <row r="7200">
      <c r="G7200">
        <f>G7199+0.0001</f>
        <v/>
      </c>
    </row>
    <row r="7201">
      <c r="G7201">
        <f>G7200+0.0001</f>
        <v/>
      </c>
    </row>
    <row r="7202">
      <c r="G7202">
        <f>G7201+0.0001</f>
        <v/>
      </c>
    </row>
    <row r="7203">
      <c r="G7203">
        <f>G7202+0.0001</f>
        <v/>
      </c>
    </row>
    <row r="7204">
      <c r="G7204">
        <f>G7203+0.0001</f>
        <v/>
      </c>
    </row>
    <row r="7205">
      <c r="G7205">
        <f>G7204+0.0001</f>
        <v/>
      </c>
    </row>
    <row r="7206">
      <c r="G7206">
        <f>G7205+0.0001</f>
        <v/>
      </c>
    </row>
    <row r="7207">
      <c r="G7207">
        <f>G7206+0.0001</f>
        <v/>
      </c>
    </row>
    <row r="7208">
      <c r="G7208">
        <f>G7207+0.0001</f>
        <v/>
      </c>
    </row>
    <row r="7209">
      <c r="G7209">
        <f>G7208+0.0001</f>
        <v/>
      </c>
    </row>
    <row r="7210">
      <c r="G7210">
        <f>G7209+0.0001</f>
        <v/>
      </c>
    </row>
    <row r="7211">
      <c r="G7211">
        <f>G7210+0.0001</f>
        <v/>
      </c>
    </row>
    <row r="7212">
      <c r="G7212">
        <f>G7211+0.0001</f>
        <v/>
      </c>
    </row>
    <row r="7213">
      <c r="G7213">
        <f>G7212+0.0001</f>
        <v/>
      </c>
    </row>
    <row r="7214">
      <c r="G7214">
        <f>G7213+0.0001</f>
        <v/>
      </c>
    </row>
    <row r="7215">
      <c r="G7215">
        <f>G7214+0.0001</f>
        <v/>
      </c>
    </row>
    <row r="7216">
      <c r="G7216">
        <f>G7215+0.0001</f>
        <v/>
      </c>
    </row>
    <row r="7217">
      <c r="G7217">
        <f>G7216+0.0001</f>
        <v/>
      </c>
    </row>
    <row r="7218">
      <c r="G7218">
        <f>G7217+0.0001</f>
        <v/>
      </c>
    </row>
    <row r="7219">
      <c r="G7219">
        <f>G7218+0.0001</f>
        <v/>
      </c>
    </row>
    <row r="7220">
      <c r="G7220">
        <f>G7219+0.0001</f>
        <v/>
      </c>
    </row>
    <row r="7221">
      <c r="G7221">
        <f>G7220+0.0001</f>
        <v/>
      </c>
    </row>
    <row r="7222">
      <c r="G7222">
        <f>G7221+0.0001</f>
        <v/>
      </c>
    </row>
    <row r="7223">
      <c r="G7223">
        <f>G7222+0.0001</f>
        <v/>
      </c>
    </row>
    <row r="7224">
      <c r="G7224">
        <f>G7223+0.0001</f>
        <v/>
      </c>
    </row>
    <row r="7225">
      <c r="G7225">
        <f>G7224+0.0001</f>
        <v/>
      </c>
    </row>
    <row r="7226">
      <c r="G7226">
        <f>G7225+0.0001</f>
        <v/>
      </c>
    </row>
    <row r="7227">
      <c r="G7227">
        <f>G7226+0.0001</f>
        <v/>
      </c>
    </row>
    <row r="7228">
      <c r="G7228">
        <f>G7227+0.0001</f>
        <v/>
      </c>
    </row>
    <row r="7229">
      <c r="G7229">
        <f>G7228+0.0001</f>
        <v/>
      </c>
    </row>
    <row r="7230">
      <c r="G7230">
        <f>G7229+0.0001</f>
        <v/>
      </c>
    </row>
    <row r="7231">
      <c r="G7231">
        <f>G7230+0.0001</f>
        <v/>
      </c>
    </row>
    <row r="7232">
      <c r="G7232">
        <f>G7231+0.0001</f>
        <v/>
      </c>
    </row>
    <row r="7233">
      <c r="G7233">
        <f>G7232+0.0001</f>
        <v/>
      </c>
    </row>
    <row r="7234">
      <c r="G7234">
        <f>G7233+0.0001</f>
        <v/>
      </c>
    </row>
    <row r="7235">
      <c r="G7235">
        <f>G7234+0.0001</f>
        <v/>
      </c>
    </row>
    <row r="7236">
      <c r="G7236">
        <f>G7235+0.0001</f>
        <v/>
      </c>
    </row>
    <row r="7237">
      <c r="G7237">
        <f>G7236+0.0001</f>
        <v/>
      </c>
    </row>
    <row r="7238">
      <c r="G7238">
        <f>G7237+0.0001</f>
        <v/>
      </c>
    </row>
    <row r="7239">
      <c r="G7239">
        <f>G7238+0.0001</f>
        <v/>
      </c>
    </row>
    <row r="7240">
      <c r="G7240">
        <f>G7239+0.0001</f>
        <v/>
      </c>
    </row>
    <row r="7241">
      <c r="G7241">
        <f>G7240+0.0001</f>
        <v/>
      </c>
    </row>
    <row r="7242">
      <c r="G7242">
        <f>G7241+0.0001</f>
        <v/>
      </c>
    </row>
    <row r="7243">
      <c r="G7243">
        <f>G7242+0.0001</f>
        <v/>
      </c>
    </row>
    <row r="7244">
      <c r="G7244">
        <f>G7243+0.0001</f>
        <v/>
      </c>
    </row>
    <row r="7245">
      <c r="G7245">
        <f>G7244+0.0001</f>
        <v/>
      </c>
    </row>
    <row r="7246">
      <c r="G7246">
        <f>G7245+0.0001</f>
        <v/>
      </c>
    </row>
    <row r="7247">
      <c r="G7247">
        <f>G7246+0.0001</f>
        <v/>
      </c>
    </row>
    <row r="7248">
      <c r="G7248">
        <f>G7247+0.0001</f>
        <v/>
      </c>
    </row>
    <row r="7249">
      <c r="G7249">
        <f>G7248+0.0001</f>
        <v/>
      </c>
    </row>
    <row r="7250">
      <c r="G7250">
        <f>G7249+0.0001</f>
        <v/>
      </c>
    </row>
    <row r="7251">
      <c r="G7251">
        <f>G7250+0.0001</f>
        <v/>
      </c>
    </row>
    <row r="7252">
      <c r="G7252">
        <f>G7251+0.0001</f>
        <v/>
      </c>
    </row>
    <row r="7253">
      <c r="G7253">
        <f>G7252+0.0001</f>
        <v/>
      </c>
    </row>
    <row r="7254">
      <c r="G7254">
        <f>G7253+0.0001</f>
        <v/>
      </c>
    </row>
    <row r="7255">
      <c r="G7255">
        <f>G7254+0.0001</f>
        <v/>
      </c>
    </row>
    <row r="7256">
      <c r="G7256">
        <f>G7255+0.0001</f>
        <v/>
      </c>
    </row>
    <row r="7257">
      <c r="G7257">
        <f>G7256+0.0001</f>
        <v/>
      </c>
    </row>
    <row r="7258">
      <c r="G7258">
        <f>G7257+0.0001</f>
        <v/>
      </c>
    </row>
    <row r="7259">
      <c r="G7259">
        <f>G7258+0.0001</f>
        <v/>
      </c>
    </row>
    <row r="7260">
      <c r="G7260">
        <f>G7259+0.0001</f>
        <v/>
      </c>
    </row>
    <row r="7261">
      <c r="G7261">
        <f>G7260+0.0001</f>
        <v/>
      </c>
    </row>
    <row r="7262">
      <c r="G7262">
        <f>G7261+0.0001</f>
        <v/>
      </c>
    </row>
    <row r="7263">
      <c r="G7263">
        <f>G7262+0.0001</f>
        <v/>
      </c>
    </row>
    <row r="7264">
      <c r="G7264">
        <f>G7263+0.0001</f>
        <v/>
      </c>
    </row>
    <row r="7265">
      <c r="G7265">
        <f>G7264+0.0001</f>
        <v/>
      </c>
    </row>
    <row r="7266">
      <c r="G7266">
        <f>G7265+0.0001</f>
        <v/>
      </c>
    </row>
    <row r="7267">
      <c r="G7267">
        <f>G7266+0.0001</f>
        <v/>
      </c>
    </row>
    <row r="7268">
      <c r="G7268">
        <f>G7267+0.0001</f>
        <v/>
      </c>
    </row>
    <row r="7269">
      <c r="G7269">
        <f>G7268+0.0001</f>
        <v/>
      </c>
    </row>
    <row r="7270">
      <c r="G7270">
        <f>G7269+0.0001</f>
        <v/>
      </c>
    </row>
    <row r="7271">
      <c r="G7271">
        <f>G7270+0.0001</f>
        <v/>
      </c>
    </row>
    <row r="7272">
      <c r="G7272">
        <f>G7271+0.0001</f>
        <v/>
      </c>
    </row>
    <row r="7273">
      <c r="G7273">
        <f>G7272+0.0001</f>
        <v/>
      </c>
    </row>
    <row r="7274">
      <c r="G7274">
        <f>G7273+0.0001</f>
        <v/>
      </c>
    </row>
    <row r="7275">
      <c r="G7275">
        <f>G7274+0.0001</f>
        <v/>
      </c>
    </row>
    <row r="7276">
      <c r="G7276">
        <f>G7275+0.0001</f>
        <v/>
      </c>
    </row>
    <row r="7277">
      <c r="G7277">
        <f>G7276+0.0001</f>
        <v/>
      </c>
    </row>
    <row r="7278">
      <c r="G7278">
        <f>G7277+0.0001</f>
        <v/>
      </c>
    </row>
    <row r="7279">
      <c r="G7279">
        <f>G7278+0.0001</f>
        <v/>
      </c>
    </row>
    <row r="7280">
      <c r="G7280">
        <f>G7279+0.0001</f>
        <v/>
      </c>
    </row>
    <row r="7281">
      <c r="G7281">
        <f>G7280+0.0001</f>
        <v/>
      </c>
    </row>
    <row r="7282">
      <c r="G7282">
        <f>G7281+0.0001</f>
        <v/>
      </c>
    </row>
    <row r="7283">
      <c r="G7283">
        <f>G7282+0.0001</f>
        <v/>
      </c>
    </row>
    <row r="7284">
      <c r="G7284">
        <f>G7283+0.0001</f>
        <v/>
      </c>
    </row>
    <row r="7285">
      <c r="G7285">
        <f>G7284+0.0001</f>
        <v/>
      </c>
    </row>
    <row r="7286">
      <c r="G7286">
        <f>G7285+0.0001</f>
        <v/>
      </c>
    </row>
    <row r="7287">
      <c r="G7287">
        <f>G7286+0.0001</f>
        <v/>
      </c>
    </row>
    <row r="7288">
      <c r="G7288">
        <f>G7287+0.0001</f>
        <v/>
      </c>
    </row>
    <row r="7289">
      <c r="G7289">
        <f>G7288+0.0001</f>
        <v/>
      </c>
    </row>
    <row r="7290">
      <c r="G7290">
        <f>G7289+0.0001</f>
        <v/>
      </c>
    </row>
    <row r="7291">
      <c r="G7291">
        <f>G7290+0.0001</f>
        <v/>
      </c>
    </row>
    <row r="7292">
      <c r="G7292">
        <f>G7291+0.0001</f>
        <v/>
      </c>
    </row>
    <row r="7293">
      <c r="G7293">
        <f>G7292+0.0001</f>
        <v/>
      </c>
    </row>
    <row r="7294">
      <c r="G7294">
        <f>G7293+0.0001</f>
        <v/>
      </c>
    </row>
    <row r="7295">
      <c r="G7295">
        <f>G7294+0.0001</f>
        <v/>
      </c>
    </row>
    <row r="7296">
      <c r="G7296">
        <f>G7295+0.0001</f>
        <v/>
      </c>
    </row>
    <row r="7297">
      <c r="G7297">
        <f>G7296+0.0001</f>
        <v/>
      </c>
    </row>
    <row r="7298">
      <c r="G7298">
        <f>G7297+0.0001</f>
        <v/>
      </c>
    </row>
    <row r="7299">
      <c r="G7299">
        <f>G7298+0.0001</f>
        <v/>
      </c>
    </row>
    <row r="7300">
      <c r="G7300">
        <f>G7299+0.0001</f>
        <v/>
      </c>
    </row>
    <row r="7301">
      <c r="G7301">
        <f>G7300+0.0001</f>
        <v/>
      </c>
    </row>
    <row r="7302">
      <c r="G7302">
        <f>G7301+0.0001</f>
        <v/>
      </c>
    </row>
    <row r="7303">
      <c r="G7303">
        <f>G7302+0.0001</f>
        <v/>
      </c>
    </row>
    <row r="7304">
      <c r="G7304">
        <f>G7303+0.0001</f>
        <v/>
      </c>
    </row>
    <row r="7305">
      <c r="G7305">
        <f>G7304+0.0001</f>
        <v/>
      </c>
    </row>
    <row r="7306">
      <c r="G7306">
        <f>G7305+0.0001</f>
        <v/>
      </c>
    </row>
    <row r="7307">
      <c r="G7307">
        <f>G7306+0.0001</f>
        <v/>
      </c>
    </row>
    <row r="7308">
      <c r="G7308">
        <f>G7307+0.0001</f>
        <v/>
      </c>
    </row>
    <row r="7309">
      <c r="G7309">
        <f>G7308+0.0001</f>
        <v/>
      </c>
    </row>
    <row r="7310">
      <c r="G7310">
        <f>G7309+0.0001</f>
        <v/>
      </c>
    </row>
    <row r="7311">
      <c r="G7311">
        <f>G7310+0.0001</f>
        <v/>
      </c>
    </row>
    <row r="7312">
      <c r="G7312">
        <f>G7311+0.0001</f>
        <v/>
      </c>
    </row>
    <row r="7313">
      <c r="G7313">
        <f>G7312+0.0001</f>
        <v/>
      </c>
    </row>
    <row r="7314">
      <c r="G7314">
        <f>G7313+0.0001</f>
        <v/>
      </c>
    </row>
    <row r="7315">
      <c r="G7315">
        <f>G7314+0.0001</f>
        <v/>
      </c>
    </row>
    <row r="7316">
      <c r="G7316">
        <f>G7315+0.0001</f>
        <v/>
      </c>
    </row>
    <row r="7317">
      <c r="G7317">
        <f>G7316+0.0001</f>
        <v/>
      </c>
    </row>
    <row r="7318">
      <c r="G7318">
        <f>G7317+0.0001</f>
        <v/>
      </c>
    </row>
    <row r="7319">
      <c r="G7319">
        <f>G7318+0.0001</f>
        <v/>
      </c>
    </row>
    <row r="7320">
      <c r="G7320">
        <f>G7319+0.0001</f>
        <v/>
      </c>
    </row>
    <row r="7321">
      <c r="G7321">
        <f>G7320+0.0001</f>
        <v/>
      </c>
    </row>
    <row r="7322">
      <c r="G7322">
        <f>G7321+0.0001</f>
        <v/>
      </c>
    </row>
    <row r="7323">
      <c r="G7323">
        <f>G7322+0.0001</f>
        <v/>
      </c>
    </row>
    <row r="7324">
      <c r="G7324">
        <f>G7323+0.0001</f>
        <v/>
      </c>
    </row>
    <row r="7325">
      <c r="G7325">
        <f>G7324+0.0001</f>
        <v/>
      </c>
    </row>
    <row r="7326">
      <c r="G7326">
        <f>G7325+0.0001</f>
        <v/>
      </c>
    </row>
    <row r="7327">
      <c r="G7327">
        <f>G7326+0.0001</f>
        <v/>
      </c>
    </row>
    <row r="7328">
      <c r="G7328">
        <f>G7327+0.0001</f>
        <v/>
      </c>
    </row>
    <row r="7329">
      <c r="G7329">
        <f>G7328+0.0001</f>
        <v/>
      </c>
    </row>
    <row r="7330">
      <c r="G7330">
        <f>G7329+0.0001</f>
        <v/>
      </c>
    </row>
    <row r="7331">
      <c r="G7331">
        <f>G7330+0.0001</f>
        <v/>
      </c>
    </row>
    <row r="7332">
      <c r="G7332">
        <f>G7331+0.0001</f>
        <v/>
      </c>
    </row>
    <row r="7333">
      <c r="G7333">
        <f>G7332+0.0001</f>
        <v/>
      </c>
    </row>
    <row r="7334">
      <c r="G7334">
        <f>G7333+0.0001</f>
        <v/>
      </c>
    </row>
    <row r="7335">
      <c r="G7335">
        <f>G7334+0.0001</f>
        <v/>
      </c>
    </row>
    <row r="7336">
      <c r="G7336">
        <f>G7335+0.0001</f>
        <v/>
      </c>
    </row>
    <row r="7337">
      <c r="G7337">
        <f>G7336+0.0001</f>
        <v/>
      </c>
    </row>
    <row r="7338">
      <c r="G7338">
        <f>G7337+0.0001</f>
        <v/>
      </c>
    </row>
    <row r="7339">
      <c r="G7339">
        <f>G7338+0.0001</f>
        <v/>
      </c>
    </row>
    <row r="7340">
      <c r="G7340">
        <f>G7339+0.0001</f>
        <v/>
      </c>
    </row>
    <row r="7341">
      <c r="G7341">
        <f>G7340+0.0001</f>
        <v/>
      </c>
    </row>
    <row r="7342">
      <c r="G7342">
        <f>G7341+0.0001</f>
        <v/>
      </c>
    </row>
    <row r="7343">
      <c r="G7343">
        <f>G7342+0.0001</f>
        <v/>
      </c>
    </row>
    <row r="7344">
      <c r="G7344">
        <f>G7343+0.0001</f>
        <v/>
      </c>
    </row>
    <row r="7345">
      <c r="G7345">
        <f>G7344+0.0001</f>
        <v/>
      </c>
    </row>
    <row r="7346">
      <c r="G7346">
        <f>G7345+0.0001</f>
        <v/>
      </c>
    </row>
    <row r="7347">
      <c r="G7347">
        <f>G7346+0.0001</f>
        <v/>
      </c>
    </row>
    <row r="7348">
      <c r="G7348">
        <f>G7347+0.0001</f>
        <v/>
      </c>
    </row>
    <row r="7349">
      <c r="G7349">
        <f>G7348+0.0001</f>
        <v/>
      </c>
    </row>
    <row r="7350">
      <c r="G7350">
        <f>G7349+0.0001</f>
        <v/>
      </c>
    </row>
    <row r="7351">
      <c r="G7351">
        <f>G7350+0.0001</f>
        <v/>
      </c>
    </row>
    <row r="7352">
      <c r="G7352">
        <f>G7351+0.0001</f>
        <v/>
      </c>
    </row>
    <row r="7353">
      <c r="G7353">
        <f>G7352+0.0001</f>
        <v/>
      </c>
    </row>
    <row r="7354">
      <c r="G7354">
        <f>G7353+0.0001</f>
        <v/>
      </c>
    </row>
    <row r="7355">
      <c r="G7355">
        <f>G7354+0.0001</f>
        <v/>
      </c>
    </row>
    <row r="7356">
      <c r="G7356">
        <f>G7355+0.0001</f>
        <v/>
      </c>
    </row>
    <row r="7357">
      <c r="G7357">
        <f>G7356+0.0001</f>
        <v/>
      </c>
    </row>
    <row r="7358">
      <c r="G7358">
        <f>G7357+0.0001</f>
        <v/>
      </c>
    </row>
    <row r="7359">
      <c r="G7359">
        <f>G7358+0.0001</f>
        <v/>
      </c>
    </row>
    <row r="7360">
      <c r="G7360">
        <f>G7359+0.0001</f>
        <v/>
      </c>
    </row>
    <row r="7361">
      <c r="G7361">
        <f>G7360+0.0001</f>
        <v/>
      </c>
    </row>
    <row r="7362">
      <c r="G7362">
        <f>G7361+0.0001</f>
        <v/>
      </c>
    </row>
    <row r="7363">
      <c r="G7363">
        <f>G7362+0.0001</f>
        <v/>
      </c>
    </row>
    <row r="7364">
      <c r="G7364">
        <f>G7363+0.0001</f>
        <v/>
      </c>
    </row>
    <row r="7365">
      <c r="G7365">
        <f>G7364+0.0001</f>
        <v/>
      </c>
    </row>
    <row r="7366">
      <c r="G7366">
        <f>G7365+0.0001</f>
        <v/>
      </c>
    </row>
    <row r="7367">
      <c r="G7367">
        <f>G7366+0.0001</f>
        <v/>
      </c>
    </row>
    <row r="7368">
      <c r="G7368">
        <f>G7367+0.0001</f>
        <v/>
      </c>
    </row>
    <row r="7369">
      <c r="G7369">
        <f>G7368+0.0001</f>
        <v/>
      </c>
    </row>
    <row r="7370">
      <c r="G7370">
        <f>G7369+0.0001</f>
        <v/>
      </c>
    </row>
    <row r="7371">
      <c r="G7371">
        <f>G7370+0.0001</f>
        <v/>
      </c>
    </row>
    <row r="7372">
      <c r="G7372">
        <f>G7371+0.0001</f>
        <v/>
      </c>
    </row>
    <row r="7373">
      <c r="G7373">
        <f>G7372+0.0001</f>
        <v/>
      </c>
    </row>
    <row r="7374">
      <c r="G7374">
        <f>G7373+0.0001</f>
        <v/>
      </c>
    </row>
    <row r="7375">
      <c r="G7375">
        <f>G7374+0.0001</f>
        <v/>
      </c>
    </row>
    <row r="7376">
      <c r="G7376">
        <f>G7375+0.0001</f>
        <v/>
      </c>
    </row>
    <row r="7377">
      <c r="G7377">
        <f>G7376+0.0001</f>
        <v/>
      </c>
    </row>
    <row r="7378">
      <c r="G7378">
        <f>G7377+0.0001</f>
        <v/>
      </c>
    </row>
    <row r="7379">
      <c r="G7379">
        <f>G7378+0.0001</f>
        <v/>
      </c>
    </row>
    <row r="7380">
      <c r="G7380">
        <f>G7379+0.0001</f>
        <v/>
      </c>
    </row>
    <row r="7381">
      <c r="G7381">
        <f>G7380+0.0001</f>
        <v/>
      </c>
    </row>
    <row r="7382">
      <c r="G7382">
        <f>G7381+0.0001</f>
        <v/>
      </c>
    </row>
    <row r="7383">
      <c r="G7383">
        <f>G7382+0.0001</f>
        <v/>
      </c>
    </row>
    <row r="7384">
      <c r="G7384">
        <f>G7383+0.0001</f>
        <v/>
      </c>
    </row>
    <row r="7385">
      <c r="G7385">
        <f>G7384+0.0001</f>
        <v/>
      </c>
    </row>
    <row r="7386">
      <c r="G7386">
        <f>G7385+0.0001</f>
        <v/>
      </c>
    </row>
    <row r="7387">
      <c r="G7387">
        <f>G7386+0.0001</f>
        <v/>
      </c>
    </row>
    <row r="7388">
      <c r="G7388">
        <f>G7387+0.0001</f>
        <v/>
      </c>
    </row>
    <row r="7389">
      <c r="G7389">
        <f>G7388+0.0001</f>
        <v/>
      </c>
    </row>
    <row r="7390">
      <c r="G7390">
        <f>G7389+0.0001</f>
        <v/>
      </c>
    </row>
    <row r="7391">
      <c r="G7391">
        <f>G7390+0.0001</f>
        <v/>
      </c>
    </row>
    <row r="7392">
      <c r="G7392">
        <f>G7391+0.0001</f>
        <v/>
      </c>
    </row>
    <row r="7393">
      <c r="G7393">
        <f>G7392+0.0001</f>
        <v/>
      </c>
    </row>
    <row r="7394">
      <c r="G7394">
        <f>G7393+0.0001</f>
        <v/>
      </c>
    </row>
    <row r="7395">
      <c r="G7395">
        <f>G7394+0.0001</f>
        <v/>
      </c>
    </row>
    <row r="7396">
      <c r="G7396">
        <f>G7395+0.0001</f>
        <v/>
      </c>
    </row>
    <row r="7397">
      <c r="G7397">
        <f>G7396+0.0001</f>
        <v/>
      </c>
    </row>
    <row r="7398">
      <c r="G7398">
        <f>G7397+0.0001</f>
        <v/>
      </c>
    </row>
    <row r="7399">
      <c r="G7399">
        <f>G7398+0.0001</f>
        <v/>
      </c>
    </row>
    <row r="7400">
      <c r="G7400">
        <f>G7399+0.0001</f>
        <v/>
      </c>
    </row>
    <row r="7401">
      <c r="G7401">
        <f>G7400+0.0001</f>
        <v/>
      </c>
    </row>
    <row r="7402">
      <c r="G7402">
        <f>G7401+0.0001</f>
        <v/>
      </c>
    </row>
    <row r="7403">
      <c r="G7403">
        <f>G7402+0.0001</f>
        <v/>
      </c>
    </row>
    <row r="7404">
      <c r="G7404">
        <f>G7403+0.0001</f>
        <v/>
      </c>
    </row>
    <row r="7405">
      <c r="G7405">
        <f>G7404+0.0001</f>
        <v/>
      </c>
    </row>
    <row r="7406">
      <c r="G7406">
        <f>G7405+0.0001</f>
        <v/>
      </c>
    </row>
    <row r="7407">
      <c r="G7407">
        <f>G7406+0.0001</f>
        <v/>
      </c>
    </row>
    <row r="7408">
      <c r="G7408">
        <f>G7407+0.0001</f>
        <v/>
      </c>
    </row>
    <row r="7409">
      <c r="G7409">
        <f>G7408+0.0001</f>
        <v/>
      </c>
    </row>
    <row r="7410">
      <c r="G7410">
        <f>G7409+0.0001</f>
        <v/>
      </c>
    </row>
    <row r="7411">
      <c r="G7411">
        <f>G7410+0.0001</f>
        <v/>
      </c>
    </row>
    <row r="7412">
      <c r="G7412">
        <f>G7411+0.0001</f>
        <v/>
      </c>
    </row>
    <row r="7413">
      <c r="G7413">
        <f>G7412+0.0001</f>
        <v/>
      </c>
    </row>
    <row r="7414">
      <c r="G7414">
        <f>G7413+0.0001</f>
        <v/>
      </c>
    </row>
    <row r="7415">
      <c r="G7415">
        <f>G7414+0.0001</f>
        <v/>
      </c>
    </row>
    <row r="7416">
      <c r="G7416">
        <f>G7415+0.0001</f>
        <v/>
      </c>
    </row>
    <row r="7417">
      <c r="G7417">
        <f>G7416+0.0001</f>
        <v/>
      </c>
    </row>
    <row r="7418">
      <c r="G7418">
        <f>G7417+0.0001</f>
        <v/>
      </c>
    </row>
    <row r="7419">
      <c r="G7419">
        <f>G7418+0.0001</f>
        <v/>
      </c>
    </row>
    <row r="7420">
      <c r="G7420">
        <f>G7419+0.0001</f>
        <v/>
      </c>
    </row>
    <row r="7421">
      <c r="G7421">
        <f>G7420+0.0001</f>
        <v/>
      </c>
    </row>
    <row r="7422">
      <c r="G7422">
        <f>G7421+0.0001</f>
        <v/>
      </c>
    </row>
    <row r="7423">
      <c r="G7423">
        <f>G7422+0.0001</f>
        <v/>
      </c>
    </row>
    <row r="7424">
      <c r="G7424">
        <f>G7423+0.0001</f>
        <v/>
      </c>
    </row>
    <row r="7425">
      <c r="G7425">
        <f>G7424+0.0001</f>
        <v/>
      </c>
    </row>
    <row r="7426">
      <c r="G7426">
        <f>G7425+0.0001</f>
        <v/>
      </c>
    </row>
    <row r="7427">
      <c r="G7427">
        <f>G7426+0.0001</f>
        <v/>
      </c>
    </row>
    <row r="7428">
      <c r="G7428">
        <f>G7427+0.0001</f>
        <v/>
      </c>
    </row>
    <row r="7429">
      <c r="G7429">
        <f>G7428+0.0001</f>
        <v/>
      </c>
    </row>
    <row r="7430">
      <c r="G7430">
        <f>G7429+0.0001</f>
        <v/>
      </c>
    </row>
    <row r="7431">
      <c r="G7431">
        <f>G7430+0.0001</f>
        <v/>
      </c>
    </row>
    <row r="7432">
      <c r="G7432">
        <f>G7431+0.0001</f>
        <v/>
      </c>
    </row>
    <row r="7433">
      <c r="G7433">
        <f>G7432+0.0001</f>
        <v/>
      </c>
    </row>
    <row r="7434">
      <c r="G7434">
        <f>G7433+0.0001</f>
        <v/>
      </c>
    </row>
    <row r="7435">
      <c r="G7435">
        <f>G7434+0.0001</f>
        <v/>
      </c>
    </row>
    <row r="7436">
      <c r="G7436">
        <f>G7435+0.0001</f>
        <v/>
      </c>
    </row>
    <row r="7437">
      <c r="G7437">
        <f>G7436+0.0001</f>
        <v/>
      </c>
    </row>
    <row r="7438">
      <c r="G7438">
        <f>G7437+0.0001</f>
        <v/>
      </c>
    </row>
    <row r="7439">
      <c r="G7439">
        <f>G7438+0.0001</f>
        <v/>
      </c>
    </row>
    <row r="7440">
      <c r="G7440">
        <f>G7439+0.0001</f>
        <v/>
      </c>
    </row>
    <row r="7441">
      <c r="G7441">
        <f>G7440+0.0001</f>
        <v/>
      </c>
    </row>
    <row r="7442">
      <c r="G7442">
        <f>G7441+0.0001</f>
        <v/>
      </c>
    </row>
    <row r="7443">
      <c r="G7443">
        <f>G7442+0.0001</f>
        <v/>
      </c>
    </row>
    <row r="7444">
      <c r="G7444">
        <f>G7443+0.0001</f>
        <v/>
      </c>
    </row>
    <row r="7445">
      <c r="G7445">
        <f>G7444+0.0001</f>
        <v/>
      </c>
    </row>
    <row r="7446">
      <c r="G7446">
        <f>G7445+0.0001</f>
        <v/>
      </c>
    </row>
    <row r="7447">
      <c r="G7447">
        <f>G7446+0.0001</f>
        <v/>
      </c>
    </row>
    <row r="7448">
      <c r="G7448">
        <f>G7447+0.0001</f>
        <v/>
      </c>
    </row>
    <row r="7449">
      <c r="G7449">
        <f>G7448+0.0001</f>
        <v/>
      </c>
    </row>
    <row r="7450">
      <c r="G7450">
        <f>G7449+0.0001</f>
        <v/>
      </c>
    </row>
    <row r="7451">
      <c r="G7451">
        <f>G7450+0.0001</f>
        <v/>
      </c>
    </row>
    <row r="7452">
      <c r="G7452">
        <f>G7451+0.0001</f>
        <v/>
      </c>
    </row>
    <row r="7453">
      <c r="G7453">
        <f>G7452+0.0001</f>
        <v/>
      </c>
    </row>
    <row r="7454">
      <c r="G7454">
        <f>G7453+0.0001</f>
        <v/>
      </c>
    </row>
    <row r="7455">
      <c r="G7455">
        <f>G7454+0.0001</f>
        <v/>
      </c>
    </row>
    <row r="7456">
      <c r="G7456">
        <f>G7455+0.0001</f>
        <v/>
      </c>
    </row>
    <row r="7457">
      <c r="G7457">
        <f>G7456+0.0001</f>
        <v/>
      </c>
    </row>
    <row r="7458">
      <c r="G7458">
        <f>G7457+0.0001</f>
        <v/>
      </c>
    </row>
    <row r="7459">
      <c r="G7459">
        <f>G7458+0.0001</f>
        <v/>
      </c>
    </row>
    <row r="7460">
      <c r="G7460">
        <f>G7459+0.0001</f>
        <v/>
      </c>
    </row>
    <row r="7461">
      <c r="G7461">
        <f>G7460+0.0001</f>
        <v/>
      </c>
    </row>
    <row r="7462">
      <c r="G7462">
        <f>G7461+0.0001</f>
        <v/>
      </c>
    </row>
    <row r="7463">
      <c r="G7463">
        <f>G7462+0.0001</f>
        <v/>
      </c>
    </row>
    <row r="7464">
      <c r="G7464">
        <f>G7463+0.0001</f>
        <v/>
      </c>
    </row>
    <row r="7465">
      <c r="G7465">
        <f>G7464+0.0001</f>
        <v/>
      </c>
    </row>
    <row r="7466">
      <c r="G7466">
        <f>G7465+0.0001</f>
        <v/>
      </c>
    </row>
    <row r="7467">
      <c r="G7467">
        <f>G7466+0.0001</f>
        <v/>
      </c>
    </row>
    <row r="7468">
      <c r="G7468">
        <f>G7467+0.0001</f>
        <v/>
      </c>
    </row>
    <row r="7469">
      <c r="G7469">
        <f>G7468+0.0001</f>
        <v/>
      </c>
    </row>
    <row r="7470">
      <c r="G7470">
        <f>G7469+0.0001</f>
        <v/>
      </c>
    </row>
    <row r="7471">
      <c r="G7471">
        <f>G7470+0.0001</f>
        <v/>
      </c>
    </row>
    <row r="7472">
      <c r="G7472">
        <f>G7471+0.0001</f>
        <v/>
      </c>
    </row>
    <row r="7473">
      <c r="G7473">
        <f>G7472+0.0001</f>
        <v/>
      </c>
    </row>
    <row r="7474">
      <c r="G7474">
        <f>G7473+0.0001</f>
        <v/>
      </c>
    </row>
    <row r="7475">
      <c r="G7475">
        <f>G7474+0.0001</f>
        <v/>
      </c>
    </row>
    <row r="7476">
      <c r="G7476">
        <f>G7475+0.0001</f>
        <v/>
      </c>
    </row>
    <row r="7477">
      <c r="G7477">
        <f>G7476+0.0001</f>
        <v/>
      </c>
    </row>
    <row r="7478">
      <c r="G7478">
        <f>G7477+0.0001</f>
        <v/>
      </c>
    </row>
    <row r="7479">
      <c r="G7479">
        <f>G7478+0.0001</f>
        <v/>
      </c>
    </row>
    <row r="7480">
      <c r="G7480">
        <f>G7479+0.0001</f>
        <v/>
      </c>
    </row>
    <row r="7481">
      <c r="G7481">
        <f>G7480+0.0001</f>
        <v/>
      </c>
    </row>
    <row r="7482">
      <c r="G7482">
        <f>G7481+0.0001</f>
        <v/>
      </c>
    </row>
    <row r="7483">
      <c r="G7483">
        <f>G7482+0.0001</f>
        <v/>
      </c>
    </row>
    <row r="7484">
      <c r="G7484">
        <f>G7483+0.0001</f>
        <v/>
      </c>
    </row>
    <row r="7485">
      <c r="G7485">
        <f>G7484+0.0001</f>
        <v/>
      </c>
    </row>
    <row r="7486">
      <c r="G7486">
        <f>G7485+0.0001</f>
        <v/>
      </c>
    </row>
    <row r="7487">
      <c r="G7487">
        <f>G7486+0.0001</f>
        <v/>
      </c>
    </row>
    <row r="7488">
      <c r="G7488">
        <f>G7487+0.0001</f>
        <v/>
      </c>
    </row>
    <row r="7489">
      <c r="G7489">
        <f>G7488+0.0001</f>
        <v/>
      </c>
    </row>
    <row r="7490">
      <c r="G7490">
        <f>G7489+0.0001</f>
        <v/>
      </c>
    </row>
    <row r="7491">
      <c r="G7491">
        <f>G7490+0.0001</f>
        <v/>
      </c>
    </row>
    <row r="7492">
      <c r="G7492">
        <f>G7491+0.0001</f>
        <v/>
      </c>
    </row>
    <row r="7493">
      <c r="G7493">
        <f>G7492+0.0001</f>
        <v/>
      </c>
    </row>
    <row r="7494">
      <c r="G7494">
        <f>G7493+0.0001</f>
        <v/>
      </c>
    </row>
    <row r="7495">
      <c r="G7495">
        <f>G7494+0.0001</f>
        <v/>
      </c>
    </row>
    <row r="7496">
      <c r="G7496">
        <f>G7495+0.0001</f>
        <v/>
      </c>
    </row>
    <row r="7497">
      <c r="G7497">
        <f>G7496+0.0001</f>
        <v/>
      </c>
    </row>
    <row r="7498">
      <c r="G7498">
        <f>G7497+0.0001</f>
        <v/>
      </c>
    </row>
    <row r="7499">
      <c r="G7499">
        <f>G7498+0.0001</f>
        <v/>
      </c>
    </row>
    <row r="7500">
      <c r="G7500">
        <f>G7499+0.0001</f>
        <v/>
      </c>
    </row>
    <row r="7501">
      <c r="G7501">
        <f>G7500+0.0001</f>
        <v/>
      </c>
    </row>
    <row r="7502">
      <c r="G7502">
        <f>G7501+0.0001</f>
        <v/>
      </c>
    </row>
    <row r="7503">
      <c r="G7503">
        <f>G7502+0.0001</f>
        <v/>
      </c>
    </row>
    <row r="7504">
      <c r="G7504">
        <f>G7503+0.0001</f>
        <v/>
      </c>
    </row>
    <row r="7505">
      <c r="G7505">
        <f>G7504+0.0001</f>
        <v/>
      </c>
    </row>
    <row r="7506">
      <c r="G7506">
        <f>G7505+0.0001</f>
        <v/>
      </c>
    </row>
    <row r="7507">
      <c r="G7507">
        <f>G7506+0.0001</f>
        <v/>
      </c>
    </row>
    <row r="7508">
      <c r="G7508">
        <f>G7507+0.0001</f>
        <v/>
      </c>
    </row>
    <row r="7509">
      <c r="G7509">
        <f>G7508+0.0001</f>
        <v/>
      </c>
    </row>
    <row r="7510">
      <c r="G7510">
        <f>G7509+0.0001</f>
        <v/>
      </c>
    </row>
    <row r="7511">
      <c r="G7511">
        <f>G7510+0.0001</f>
        <v/>
      </c>
    </row>
    <row r="7512">
      <c r="G7512">
        <f>G7511+0.0001</f>
        <v/>
      </c>
    </row>
    <row r="7513">
      <c r="G7513">
        <f>G7512+0.0001</f>
        <v/>
      </c>
    </row>
    <row r="7514">
      <c r="G7514">
        <f>G7513+0.0001</f>
        <v/>
      </c>
    </row>
    <row r="7515">
      <c r="G7515">
        <f>G7514+0.0001</f>
        <v/>
      </c>
    </row>
    <row r="7516">
      <c r="G7516">
        <f>G7515+0.0001</f>
        <v/>
      </c>
    </row>
    <row r="7517">
      <c r="G7517">
        <f>G7516+0.0001</f>
        <v/>
      </c>
    </row>
    <row r="7518">
      <c r="G7518">
        <f>G7517+0.0001</f>
        <v/>
      </c>
    </row>
    <row r="7519">
      <c r="G7519">
        <f>G7518+0.0001</f>
        <v/>
      </c>
    </row>
    <row r="7520">
      <c r="G7520">
        <f>G7519+0.0001</f>
        <v/>
      </c>
    </row>
    <row r="7521">
      <c r="G7521">
        <f>G7520+0.0001</f>
        <v/>
      </c>
    </row>
    <row r="7522">
      <c r="G7522">
        <f>G7521+0.0001</f>
        <v/>
      </c>
    </row>
    <row r="7523">
      <c r="G7523">
        <f>G7522+0.0001</f>
        <v/>
      </c>
    </row>
    <row r="7524">
      <c r="G7524">
        <f>G7523+0.0001</f>
        <v/>
      </c>
    </row>
    <row r="7525">
      <c r="G7525">
        <f>G7524+0.0001</f>
        <v/>
      </c>
    </row>
    <row r="7526">
      <c r="G7526">
        <f>G7525+0.0001</f>
        <v/>
      </c>
    </row>
    <row r="7527">
      <c r="G7527">
        <f>G7526+0.0001</f>
        <v/>
      </c>
    </row>
    <row r="7528">
      <c r="G7528">
        <f>G7527+0.0001</f>
        <v/>
      </c>
    </row>
    <row r="7529">
      <c r="G7529">
        <f>G7528+0.0001</f>
        <v/>
      </c>
    </row>
    <row r="7530">
      <c r="G7530">
        <f>G7529+0.0001</f>
        <v/>
      </c>
    </row>
    <row r="7531">
      <c r="G7531">
        <f>G7530+0.0001</f>
        <v/>
      </c>
    </row>
    <row r="7532">
      <c r="G7532">
        <f>G7531+0.0001</f>
        <v/>
      </c>
    </row>
    <row r="7533">
      <c r="G7533">
        <f>G7532+0.0001</f>
        <v/>
      </c>
    </row>
    <row r="7534">
      <c r="G7534">
        <f>G7533+0.0001</f>
        <v/>
      </c>
    </row>
    <row r="7535">
      <c r="G7535">
        <f>G7534+0.0001</f>
        <v/>
      </c>
    </row>
    <row r="7536">
      <c r="G7536">
        <f>G7535+0.0001</f>
        <v/>
      </c>
    </row>
    <row r="7537">
      <c r="G7537">
        <f>G7536+0.0001</f>
        <v/>
      </c>
    </row>
    <row r="7538">
      <c r="G7538">
        <f>G7537+0.0001</f>
        <v/>
      </c>
    </row>
    <row r="7539">
      <c r="G7539">
        <f>G7538+0.0001</f>
        <v/>
      </c>
    </row>
    <row r="7540">
      <c r="G7540">
        <f>G7539+0.0001</f>
        <v/>
      </c>
    </row>
    <row r="7541">
      <c r="G7541">
        <f>G7540+0.0001</f>
        <v/>
      </c>
    </row>
    <row r="7542">
      <c r="G7542">
        <f>G7541+0.0001</f>
        <v/>
      </c>
    </row>
    <row r="7543">
      <c r="G7543">
        <f>G7542+0.0001</f>
        <v/>
      </c>
    </row>
    <row r="7544">
      <c r="G7544">
        <f>G7543+0.0001</f>
        <v/>
      </c>
    </row>
    <row r="7545">
      <c r="G7545">
        <f>G7544+0.0001</f>
        <v/>
      </c>
    </row>
    <row r="7546">
      <c r="G7546">
        <f>G7545+0.0001</f>
        <v/>
      </c>
    </row>
    <row r="7547">
      <c r="G7547">
        <f>G7546+0.0001</f>
        <v/>
      </c>
    </row>
    <row r="7548">
      <c r="G7548">
        <f>G7547+0.0001</f>
        <v/>
      </c>
    </row>
    <row r="7549">
      <c r="G7549">
        <f>G7548+0.0001</f>
        <v/>
      </c>
    </row>
    <row r="7550">
      <c r="G7550">
        <f>G7549+0.0001</f>
        <v/>
      </c>
    </row>
    <row r="7551">
      <c r="G7551">
        <f>G7550+0.0001</f>
        <v/>
      </c>
    </row>
    <row r="7552">
      <c r="G7552">
        <f>G7551+0.0001</f>
        <v/>
      </c>
    </row>
    <row r="7553">
      <c r="G7553">
        <f>G7552+0.0001</f>
        <v/>
      </c>
    </row>
    <row r="7554">
      <c r="G7554">
        <f>G7553+0.0001</f>
        <v/>
      </c>
    </row>
    <row r="7555">
      <c r="G7555">
        <f>G7554+0.0001</f>
        <v/>
      </c>
    </row>
    <row r="7556">
      <c r="G7556">
        <f>G7555+0.0001</f>
        <v/>
      </c>
    </row>
    <row r="7557">
      <c r="G7557">
        <f>G7556+0.0001</f>
        <v/>
      </c>
    </row>
    <row r="7558">
      <c r="G7558">
        <f>G7557+0.0001</f>
        <v/>
      </c>
    </row>
    <row r="7559">
      <c r="G7559">
        <f>G7558+0.0001</f>
        <v/>
      </c>
    </row>
    <row r="7560">
      <c r="G7560">
        <f>G7559+0.0001</f>
        <v/>
      </c>
    </row>
    <row r="7561">
      <c r="G7561">
        <f>G7560+0.0001</f>
        <v/>
      </c>
    </row>
    <row r="7562">
      <c r="G7562">
        <f>G7561+0.0001</f>
        <v/>
      </c>
    </row>
    <row r="7563">
      <c r="G7563">
        <f>G7562+0.0001</f>
        <v/>
      </c>
    </row>
    <row r="7564">
      <c r="G7564">
        <f>G7563+0.0001</f>
        <v/>
      </c>
    </row>
    <row r="7565">
      <c r="G7565">
        <f>G7564+0.0001</f>
        <v/>
      </c>
    </row>
    <row r="7566">
      <c r="G7566">
        <f>G7565+0.0001</f>
        <v/>
      </c>
    </row>
    <row r="7567">
      <c r="G7567">
        <f>G7566+0.0001</f>
        <v/>
      </c>
    </row>
    <row r="7568">
      <c r="G7568">
        <f>G7567+0.0001</f>
        <v/>
      </c>
    </row>
    <row r="7569">
      <c r="G7569">
        <f>G7568+0.0001</f>
        <v/>
      </c>
    </row>
    <row r="7570">
      <c r="G7570">
        <f>G7569+0.0001</f>
        <v/>
      </c>
    </row>
    <row r="7571">
      <c r="G7571">
        <f>G7570+0.0001</f>
        <v/>
      </c>
    </row>
    <row r="7572">
      <c r="G7572">
        <f>G7571+0.0001</f>
        <v/>
      </c>
    </row>
    <row r="7573">
      <c r="G7573">
        <f>G7572+0.0001</f>
        <v/>
      </c>
    </row>
    <row r="7574">
      <c r="G7574">
        <f>G7573+0.0001</f>
        <v/>
      </c>
    </row>
    <row r="7575">
      <c r="G7575">
        <f>G7574+0.0001</f>
        <v/>
      </c>
    </row>
    <row r="7576">
      <c r="G7576">
        <f>G7575+0.0001</f>
        <v/>
      </c>
    </row>
    <row r="7577">
      <c r="G7577">
        <f>G7576+0.0001</f>
        <v/>
      </c>
    </row>
    <row r="7578">
      <c r="G7578">
        <f>G7577+0.0001</f>
        <v/>
      </c>
    </row>
    <row r="7579">
      <c r="G7579">
        <f>G7578+0.0001</f>
        <v/>
      </c>
    </row>
    <row r="7580">
      <c r="G7580">
        <f>G7579+0.0001</f>
        <v/>
      </c>
    </row>
    <row r="7581">
      <c r="G7581">
        <f>G7580+0.0001</f>
        <v/>
      </c>
    </row>
    <row r="7582">
      <c r="G7582">
        <f>G7581+0.0001</f>
        <v/>
      </c>
    </row>
    <row r="7583">
      <c r="G7583">
        <f>G7582+0.0001</f>
        <v/>
      </c>
    </row>
    <row r="7584">
      <c r="G7584">
        <f>G7583+0.0001</f>
        <v/>
      </c>
    </row>
    <row r="7585">
      <c r="G7585">
        <f>G7584+0.0001</f>
        <v/>
      </c>
    </row>
    <row r="7586">
      <c r="G7586">
        <f>G7585+0.0001</f>
        <v/>
      </c>
    </row>
    <row r="7587">
      <c r="G7587">
        <f>G7586+0.0001</f>
        <v/>
      </c>
    </row>
    <row r="7588">
      <c r="G7588">
        <f>G7587+0.0001</f>
        <v/>
      </c>
    </row>
    <row r="7589">
      <c r="G7589">
        <f>G7588+0.0001</f>
        <v/>
      </c>
    </row>
    <row r="7590">
      <c r="G7590">
        <f>G7589+0.0001</f>
        <v/>
      </c>
    </row>
    <row r="7591">
      <c r="G7591">
        <f>G7590+0.0001</f>
        <v/>
      </c>
    </row>
    <row r="7592">
      <c r="G7592">
        <f>G7591+0.0001</f>
        <v/>
      </c>
    </row>
    <row r="7593">
      <c r="G7593">
        <f>G7592+0.0001</f>
        <v/>
      </c>
    </row>
    <row r="7594">
      <c r="G7594">
        <f>G7593+0.0001</f>
        <v/>
      </c>
    </row>
    <row r="7595">
      <c r="G7595">
        <f>G7594+0.0001</f>
        <v/>
      </c>
    </row>
    <row r="7596">
      <c r="G7596">
        <f>G7595+0.0001</f>
        <v/>
      </c>
    </row>
    <row r="7597">
      <c r="G7597">
        <f>G7596+0.0001</f>
        <v/>
      </c>
    </row>
    <row r="7598">
      <c r="G7598">
        <f>G7597+0.0001</f>
        <v/>
      </c>
    </row>
    <row r="7599">
      <c r="G7599">
        <f>G7598+0.0001</f>
        <v/>
      </c>
    </row>
    <row r="7600">
      <c r="G7600">
        <f>G7599+0.0001</f>
        <v/>
      </c>
    </row>
    <row r="7601">
      <c r="G7601">
        <f>G7600+0.0001</f>
        <v/>
      </c>
    </row>
    <row r="7602">
      <c r="G7602">
        <f>G7601+0.0001</f>
        <v/>
      </c>
    </row>
    <row r="7603">
      <c r="G7603">
        <f>G7602+0.0001</f>
        <v/>
      </c>
    </row>
    <row r="7604">
      <c r="G7604">
        <f>G7603+0.0001</f>
        <v/>
      </c>
    </row>
    <row r="7605">
      <c r="G7605">
        <f>G7604+0.0001</f>
        <v/>
      </c>
    </row>
    <row r="7606">
      <c r="G7606">
        <f>G7605+0.0001</f>
        <v/>
      </c>
    </row>
    <row r="7607">
      <c r="G7607">
        <f>G7606+0.0001</f>
        <v/>
      </c>
    </row>
    <row r="7608">
      <c r="G7608">
        <f>G7607+0.0001</f>
        <v/>
      </c>
    </row>
    <row r="7609">
      <c r="G7609">
        <f>G7608+0.0001</f>
        <v/>
      </c>
    </row>
    <row r="7610">
      <c r="G7610">
        <f>G7609+0.0001</f>
        <v/>
      </c>
    </row>
    <row r="7611">
      <c r="G7611">
        <f>G7610+0.0001</f>
        <v/>
      </c>
    </row>
    <row r="7612">
      <c r="G7612">
        <f>G7611+0.0001</f>
        <v/>
      </c>
    </row>
    <row r="7613">
      <c r="G7613">
        <f>G7612+0.0001</f>
        <v/>
      </c>
    </row>
    <row r="7614">
      <c r="G7614">
        <f>G7613+0.0001</f>
        <v/>
      </c>
    </row>
    <row r="7615">
      <c r="G7615">
        <f>G7614+0.0001</f>
        <v/>
      </c>
    </row>
    <row r="7616">
      <c r="G7616">
        <f>G7615+0.0001</f>
        <v/>
      </c>
    </row>
    <row r="7617">
      <c r="G7617">
        <f>G7616+0.0001</f>
        <v/>
      </c>
    </row>
    <row r="7618">
      <c r="G7618">
        <f>G7617+0.0001</f>
        <v/>
      </c>
    </row>
    <row r="7619">
      <c r="G7619">
        <f>G7618+0.0001</f>
        <v/>
      </c>
    </row>
    <row r="7620">
      <c r="G7620">
        <f>G7619+0.0001</f>
        <v/>
      </c>
    </row>
    <row r="7621">
      <c r="G7621">
        <f>G7620+0.0001</f>
        <v/>
      </c>
    </row>
    <row r="7622">
      <c r="G7622">
        <f>G7621+0.0001</f>
        <v/>
      </c>
    </row>
    <row r="7623">
      <c r="G7623">
        <f>G7622+0.0001</f>
        <v/>
      </c>
    </row>
    <row r="7624">
      <c r="G7624">
        <f>G7623+0.0001</f>
        <v/>
      </c>
    </row>
    <row r="7625">
      <c r="G7625">
        <f>G7624+0.0001</f>
        <v/>
      </c>
    </row>
    <row r="7626">
      <c r="G7626">
        <f>G7625+0.0001</f>
        <v/>
      </c>
    </row>
    <row r="7627">
      <c r="G7627">
        <f>G7626+0.0001</f>
        <v/>
      </c>
    </row>
    <row r="7628">
      <c r="G7628">
        <f>G7627+0.0001</f>
        <v/>
      </c>
    </row>
    <row r="7629">
      <c r="G7629">
        <f>G7628+0.0001</f>
        <v/>
      </c>
    </row>
    <row r="7630">
      <c r="G7630">
        <f>G7629+0.0001</f>
        <v/>
      </c>
    </row>
    <row r="7631">
      <c r="G7631">
        <f>G7630+0.0001</f>
        <v/>
      </c>
    </row>
    <row r="7632">
      <c r="G7632">
        <f>G7631+0.0001</f>
        <v/>
      </c>
    </row>
    <row r="7633">
      <c r="G7633">
        <f>G7632+0.0001</f>
        <v/>
      </c>
    </row>
    <row r="7634">
      <c r="G7634">
        <f>G7633+0.0001</f>
        <v/>
      </c>
    </row>
    <row r="7635">
      <c r="G7635">
        <f>G7634+0.0001</f>
        <v/>
      </c>
    </row>
    <row r="7636">
      <c r="G7636">
        <f>G7635+0.0001</f>
        <v/>
      </c>
    </row>
    <row r="7637">
      <c r="G7637">
        <f>G7636+0.0001</f>
        <v/>
      </c>
    </row>
    <row r="7638">
      <c r="G7638">
        <f>G7637+0.0001</f>
        <v/>
      </c>
    </row>
    <row r="7639">
      <c r="G7639">
        <f>G7638+0.0001</f>
        <v/>
      </c>
    </row>
    <row r="7640">
      <c r="G7640">
        <f>G7639+0.0001</f>
        <v/>
      </c>
    </row>
    <row r="7641">
      <c r="G7641">
        <f>G7640+0.0001</f>
        <v/>
      </c>
    </row>
    <row r="7642">
      <c r="G7642">
        <f>G7641+0.0001</f>
        <v/>
      </c>
    </row>
    <row r="7643">
      <c r="G7643">
        <f>G7642+0.0001</f>
        <v/>
      </c>
    </row>
    <row r="7644">
      <c r="G7644">
        <f>G7643+0.0001</f>
        <v/>
      </c>
    </row>
    <row r="7645">
      <c r="G7645">
        <f>G7644+0.0001</f>
        <v/>
      </c>
    </row>
    <row r="7646">
      <c r="G7646">
        <f>G7645+0.0001</f>
        <v/>
      </c>
    </row>
    <row r="7647">
      <c r="G7647">
        <f>G7646+0.0001</f>
        <v/>
      </c>
    </row>
    <row r="7648">
      <c r="G7648">
        <f>G7647+0.0001</f>
        <v/>
      </c>
    </row>
    <row r="7649">
      <c r="G7649">
        <f>G7648+0.0001</f>
        <v/>
      </c>
    </row>
    <row r="7650">
      <c r="G7650">
        <f>G7649+0.0001</f>
        <v/>
      </c>
    </row>
    <row r="7651">
      <c r="G7651">
        <f>G7650+0.0001</f>
        <v/>
      </c>
    </row>
    <row r="7652">
      <c r="G7652">
        <f>G7651+0.0001</f>
        <v/>
      </c>
    </row>
    <row r="7653">
      <c r="G7653">
        <f>G7652+0.0001</f>
        <v/>
      </c>
    </row>
    <row r="7654">
      <c r="G7654">
        <f>G7653+0.0001</f>
        <v/>
      </c>
    </row>
    <row r="7655">
      <c r="G7655">
        <f>G7654+0.0001</f>
        <v/>
      </c>
    </row>
    <row r="7656">
      <c r="G7656">
        <f>G7655+0.0001</f>
        <v/>
      </c>
    </row>
    <row r="7657">
      <c r="G7657">
        <f>G7656+0.0001</f>
        <v/>
      </c>
    </row>
    <row r="7658">
      <c r="G7658">
        <f>G7657+0.0001</f>
        <v/>
      </c>
    </row>
    <row r="7659">
      <c r="G7659">
        <f>G7658+0.0001</f>
        <v/>
      </c>
    </row>
    <row r="7660">
      <c r="G7660">
        <f>G7659+0.0001</f>
        <v/>
      </c>
    </row>
    <row r="7661">
      <c r="G7661">
        <f>G7660+0.0001</f>
        <v/>
      </c>
    </row>
    <row r="7662">
      <c r="G7662">
        <f>G7661+0.0001</f>
        <v/>
      </c>
    </row>
    <row r="7663">
      <c r="G7663">
        <f>G7662+0.0001</f>
        <v/>
      </c>
    </row>
    <row r="7664">
      <c r="G7664">
        <f>G7663+0.0001</f>
        <v/>
      </c>
    </row>
    <row r="7665">
      <c r="G7665">
        <f>G7664+0.0001</f>
        <v/>
      </c>
    </row>
    <row r="7666">
      <c r="G7666">
        <f>G7665+0.0001</f>
        <v/>
      </c>
    </row>
    <row r="7667">
      <c r="G7667">
        <f>G7666+0.0001</f>
        <v/>
      </c>
    </row>
    <row r="7668">
      <c r="G7668">
        <f>G7667+0.0001</f>
        <v/>
      </c>
    </row>
    <row r="7669">
      <c r="G7669">
        <f>G7668+0.0001</f>
        <v/>
      </c>
    </row>
    <row r="7670">
      <c r="G7670">
        <f>G7669+0.0001</f>
        <v/>
      </c>
    </row>
    <row r="7671">
      <c r="G7671">
        <f>G7670+0.0001</f>
        <v/>
      </c>
    </row>
    <row r="7672">
      <c r="G7672">
        <f>G7671+0.0001</f>
        <v/>
      </c>
    </row>
    <row r="7673">
      <c r="G7673">
        <f>G7672+0.0001</f>
        <v/>
      </c>
    </row>
    <row r="7674">
      <c r="G7674">
        <f>G7673+0.0001</f>
        <v/>
      </c>
    </row>
    <row r="7675">
      <c r="G7675">
        <f>G7674+0.0001</f>
        <v/>
      </c>
    </row>
    <row r="7676">
      <c r="G7676">
        <f>G7675+0.0001</f>
        <v/>
      </c>
    </row>
    <row r="7677">
      <c r="G7677">
        <f>G7676+0.0001</f>
        <v/>
      </c>
    </row>
    <row r="7678">
      <c r="G7678">
        <f>G7677+0.0001</f>
        <v/>
      </c>
    </row>
    <row r="7679">
      <c r="G7679">
        <f>G7678+0.0001</f>
        <v/>
      </c>
    </row>
    <row r="7680">
      <c r="G7680">
        <f>G7679+0.0001</f>
        <v/>
      </c>
    </row>
    <row r="7681">
      <c r="G7681">
        <f>G7680+0.0001</f>
        <v/>
      </c>
    </row>
    <row r="7682">
      <c r="G7682">
        <f>G7681+0.0001</f>
        <v/>
      </c>
    </row>
    <row r="7683">
      <c r="G7683">
        <f>G7682+0.0001</f>
        <v/>
      </c>
    </row>
    <row r="7684">
      <c r="G7684">
        <f>G7683+0.0001</f>
        <v/>
      </c>
    </row>
    <row r="7685">
      <c r="G7685">
        <f>G7684+0.0001</f>
        <v/>
      </c>
    </row>
    <row r="7686">
      <c r="G7686">
        <f>G7685+0.0001</f>
        <v/>
      </c>
    </row>
    <row r="7687">
      <c r="G7687">
        <f>G7686+0.0001</f>
        <v/>
      </c>
    </row>
    <row r="7688">
      <c r="G7688">
        <f>G7687+0.0001</f>
        <v/>
      </c>
    </row>
    <row r="7689">
      <c r="G7689">
        <f>G7688+0.0001</f>
        <v/>
      </c>
    </row>
    <row r="7690">
      <c r="G7690">
        <f>G7689+0.0001</f>
        <v/>
      </c>
    </row>
    <row r="7691">
      <c r="G7691">
        <f>G7690+0.0001</f>
        <v/>
      </c>
    </row>
    <row r="7692">
      <c r="G7692">
        <f>G7691+0.0001</f>
        <v/>
      </c>
    </row>
    <row r="7693">
      <c r="G7693">
        <f>G7692+0.0001</f>
        <v/>
      </c>
    </row>
    <row r="7694">
      <c r="G7694">
        <f>G7693+0.0001</f>
        <v/>
      </c>
    </row>
    <row r="7695">
      <c r="G7695">
        <f>G7694+0.0001</f>
        <v/>
      </c>
    </row>
    <row r="7696">
      <c r="G7696">
        <f>G7695+0.0001</f>
        <v/>
      </c>
    </row>
    <row r="7697">
      <c r="G7697">
        <f>G7696+0.0001</f>
        <v/>
      </c>
    </row>
    <row r="7698">
      <c r="G7698">
        <f>G7697+0.0001</f>
        <v/>
      </c>
    </row>
    <row r="7699">
      <c r="G7699">
        <f>G7698+0.0001</f>
        <v/>
      </c>
    </row>
    <row r="7700">
      <c r="G7700">
        <f>G7699+0.0001</f>
        <v/>
      </c>
    </row>
    <row r="7701">
      <c r="G7701">
        <f>G7700+0.0001</f>
        <v/>
      </c>
    </row>
    <row r="7702">
      <c r="G7702">
        <f>G7701+0.0001</f>
        <v/>
      </c>
    </row>
    <row r="7703">
      <c r="G7703">
        <f>G7702+0.0001</f>
        <v/>
      </c>
    </row>
    <row r="7704">
      <c r="G7704">
        <f>G7703+0.0001</f>
        <v/>
      </c>
    </row>
    <row r="7705">
      <c r="G7705">
        <f>G7704+0.0001</f>
        <v/>
      </c>
    </row>
    <row r="7706">
      <c r="G7706">
        <f>G7705+0.0001</f>
        <v/>
      </c>
    </row>
    <row r="7707">
      <c r="G7707">
        <f>G7706+0.0001</f>
        <v/>
      </c>
    </row>
    <row r="7708">
      <c r="G7708">
        <f>G7707+0.0001</f>
        <v/>
      </c>
    </row>
    <row r="7709">
      <c r="G7709">
        <f>G7708+0.0001</f>
        <v/>
      </c>
    </row>
    <row r="7710">
      <c r="G7710">
        <f>G7709+0.0001</f>
        <v/>
      </c>
    </row>
    <row r="7711">
      <c r="G7711">
        <f>G7710+0.0001</f>
        <v/>
      </c>
    </row>
    <row r="7712">
      <c r="G7712">
        <f>G7711+0.0001</f>
        <v/>
      </c>
    </row>
    <row r="7713">
      <c r="G7713">
        <f>G7712+0.0001</f>
        <v/>
      </c>
    </row>
    <row r="7714">
      <c r="G7714">
        <f>G7713+0.0001</f>
        <v/>
      </c>
    </row>
    <row r="7715">
      <c r="G7715">
        <f>G7714+0.0001</f>
        <v/>
      </c>
    </row>
    <row r="7716">
      <c r="G7716">
        <f>G7715+0.0001</f>
        <v/>
      </c>
    </row>
    <row r="7717">
      <c r="G7717">
        <f>G7716+0.0001</f>
        <v/>
      </c>
    </row>
    <row r="7718">
      <c r="G7718">
        <f>G7717+0.0001</f>
        <v/>
      </c>
    </row>
    <row r="7719">
      <c r="G7719">
        <f>G7718+0.0001</f>
        <v/>
      </c>
    </row>
    <row r="7720">
      <c r="G7720">
        <f>G7719+0.0001</f>
        <v/>
      </c>
    </row>
    <row r="7721">
      <c r="G7721">
        <f>G7720+0.0001</f>
        <v/>
      </c>
    </row>
    <row r="7722">
      <c r="G7722">
        <f>G7721+0.0001</f>
        <v/>
      </c>
    </row>
    <row r="7723">
      <c r="G7723">
        <f>G7722+0.0001</f>
        <v/>
      </c>
    </row>
    <row r="7724">
      <c r="G7724">
        <f>G7723+0.0001</f>
        <v/>
      </c>
    </row>
    <row r="7725">
      <c r="G7725">
        <f>G7724+0.0001</f>
        <v/>
      </c>
    </row>
    <row r="7726">
      <c r="G7726">
        <f>G7725+0.0001</f>
        <v/>
      </c>
    </row>
    <row r="7727">
      <c r="G7727">
        <f>G7726+0.0001</f>
        <v/>
      </c>
    </row>
    <row r="7728">
      <c r="G7728">
        <f>G7727+0.0001</f>
        <v/>
      </c>
    </row>
    <row r="7729">
      <c r="G7729">
        <f>G7728+0.0001</f>
        <v/>
      </c>
    </row>
    <row r="7730">
      <c r="G7730">
        <f>G7729+0.0001</f>
        <v/>
      </c>
    </row>
    <row r="7731">
      <c r="G7731">
        <f>G7730+0.0001</f>
        <v/>
      </c>
    </row>
    <row r="7732">
      <c r="G7732">
        <f>G7731+0.0001</f>
        <v/>
      </c>
    </row>
    <row r="7733">
      <c r="G7733">
        <f>G7732+0.0001</f>
        <v/>
      </c>
    </row>
    <row r="7734">
      <c r="G7734">
        <f>G7733+0.0001</f>
        <v/>
      </c>
    </row>
    <row r="7735">
      <c r="G7735">
        <f>G7734+0.0001</f>
        <v/>
      </c>
    </row>
    <row r="7736">
      <c r="G7736">
        <f>G7735+0.0001</f>
        <v/>
      </c>
    </row>
    <row r="7737">
      <c r="G7737">
        <f>G7736+0.0001</f>
        <v/>
      </c>
    </row>
    <row r="7738">
      <c r="G7738">
        <f>G7737+0.0001</f>
        <v/>
      </c>
    </row>
    <row r="7739">
      <c r="G7739">
        <f>G7738+0.0001</f>
        <v/>
      </c>
    </row>
    <row r="7740">
      <c r="G7740">
        <f>G7739+0.0001</f>
        <v/>
      </c>
    </row>
    <row r="7741">
      <c r="G7741">
        <f>G7740+0.0001</f>
        <v/>
      </c>
    </row>
    <row r="7742">
      <c r="G7742">
        <f>G7741+0.0001</f>
        <v/>
      </c>
    </row>
    <row r="7743">
      <c r="G7743">
        <f>G7742+0.0001</f>
        <v/>
      </c>
    </row>
    <row r="7744">
      <c r="G7744">
        <f>G7743+0.0001</f>
        <v/>
      </c>
    </row>
    <row r="7745">
      <c r="G7745">
        <f>G7744+0.0001</f>
        <v/>
      </c>
    </row>
    <row r="7746">
      <c r="G7746">
        <f>G7745+0.0001</f>
        <v/>
      </c>
    </row>
    <row r="7747">
      <c r="G7747">
        <f>G7746+0.0001</f>
        <v/>
      </c>
    </row>
    <row r="7748">
      <c r="G7748">
        <f>G7747+0.0001</f>
        <v/>
      </c>
    </row>
    <row r="7749">
      <c r="G7749">
        <f>G7748+0.0001</f>
        <v/>
      </c>
    </row>
    <row r="7750">
      <c r="G7750">
        <f>G7749+0.0001</f>
        <v/>
      </c>
    </row>
    <row r="7751">
      <c r="G7751">
        <f>G7750+0.0001</f>
        <v/>
      </c>
    </row>
    <row r="7752">
      <c r="G7752">
        <f>G7751+0.0001</f>
        <v/>
      </c>
    </row>
    <row r="7753">
      <c r="G7753">
        <f>G7752+0.0001</f>
        <v/>
      </c>
    </row>
    <row r="7754">
      <c r="G7754">
        <f>G7753+0.0001</f>
        <v/>
      </c>
    </row>
    <row r="7755">
      <c r="G7755">
        <f>G7754+0.0001</f>
        <v/>
      </c>
    </row>
    <row r="7756">
      <c r="G7756">
        <f>G7755+0.0001</f>
        <v/>
      </c>
    </row>
    <row r="7757">
      <c r="G7757">
        <f>G7756+0.0001</f>
        <v/>
      </c>
    </row>
    <row r="7758">
      <c r="G7758">
        <f>G7757+0.0001</f>
        <v/>
      </c>
    </row>
    <row r="7759">
      <c r="G7759">
        <f>G7758+0.0001</f>
        <v/>
      </c>
    </row>
    <row r="7760">
      <c r="G7760">
        <f>G7759+0.0001</f>
        <v/>
      </c>
    </row>
    <row r="7761">
      <c r="G7761">
        <f>G7760+0.0001</f>
        <v/>
      </c>
    </row>
    <row r="7762">
      <c r="G7762">
        <f>G7761+0.0001</f>
        <v/>
      </c>
    </row>
    <row r="7763">
      <c r="G7763">
        <f>G7762+0.0001</f>
        <v/>
      </c>
    </row>
    <row r="7764">
      <c r="G7764">
        <f>G7763+0.0001</f>
        <v/>
      </c>
    </row>
    <row r="7765">
      <c r="G7765">
        <f>G7764+0.0001</f>
        <v/>
      </c>
    </row>
    <row r="7766">
      <c r="G7766">
        <f>G7765+0.0001</f>
        <v/>
      </c>
    </row>
    <row r="7767">
      <c r="G7767">
        <f>G7766+0.0001</f>
        <v/>
      </c>
    </row>
    <row r="7768">
      <c r="G7768">
        <f>G7767+0.0001</f>
        <v/>
      </c>
    </row>
    <row r="7769">
      <c r="G7769">
        <f>G7768+0.0001</f>
        <v/>
      </c>
    </row>
    <row r="7770">
      <c r="G7770">
        <f>G7769+0.0001</f>
        <v/>
      </c>
    </row>
    <row r="7771">
      <c r="G7771">
        <f>G7770+0.0001</f>
        <v/>
      </c>
    </row>
    <row r="7772">
      <c r="G7772">
        <f>G7771+0.0001</f>
        <v/>
      </c>
    </row>
    <row r="7773">
      <c r="G7773">
        <f>G7772+0.0001</f>
        <v/>
      </c>
    </row>
    <row r="7774">
      <c r="G7774">
        <f>G7773+0.0001</f>
        <v/>
      </c>
    </row>
    <row r="7775">
      <c r="G7775">
        <f>G7774+0.0001</f>
        <v/>
      </c>
    </row>
    <row r="7776">
      <c r="G7776">
        <f>G7775+0.0001</f>
        <v/>
      </c>
    </row>
    <row r="7777">
      <c r="G7777">
        <f>G7776+0.0001</f>
        <v/>
      </c>
    </row>
    <row r="7778">
      <c r="G7778">
        <f>G7777+0.0001</f>
        <v/>
      </c>
    </row>
    <row r="7779">
      <c r="G7779">
        <f>G7778+0.0001</f>
        <v/>
      </c>
    </row>
    <row r="7780">
      <c r="G7780">
        <f>G7779+0.0001</f>
        <v/>
      </c>
    </row>
    <row r="7781">
      <c r="G7781">
        <f>G7780+0.0001</f>
        <v/>
      </c>
    </row>
    <row r="7782">
      <c r="G7782">
        <f>G7781+0.0001</f>
        <v/>
      </c>
    </row>
    <row r="7783">
      <c r="G7783">
        <f>G7782+0.0001</f>
        <v/>
      </c>
    </row>
    <row r="7784">
      <c r="G7784">
        <f>G7783+0.0001</f>
        <v/>
      </c>
    </row>
    <row r="7785">
      <c r="G7785">
        <f>G7784+0.0001</f>
        <v/>
      </c>
    </row>
    <row r="7786">
      <c r="G7786">
        <f>G7785+0.0001</f>
        <v/>
      </c>
    </row>
    <row r="7787">
      <c r="G7787">
        <f>G7786+0.0001</f>
        <v/>
      </c>
    </row>
    <row r="7788">
      <c r="G7788">
        <f>G7787+0.0001</f>
        <v/>
      </c>
    </row>
    <row r="7789">
      <c r="G7789">
        <f>G7788+0.0001</f>
        <v/>
      </c>
    </row>
    <row r="7790">
      <c r="G7790">
        <f>G7789+0.0001</f>
        <v/>
      </c>
    </row>
    <row r="7791">
      <c r="G7791">
        <f>G7790+0.0001</f>
        <v/>
      </c>
    </row>
    <row r="7792">
      <c r="G7792">
        <f>G7791+0.0001</f>
        <v/>
      </c>
    </row>
    <row r="7793">
      <c r="G7793">
        <f>G7792+0.0001</f>
        <v/>
      </c>
    </row>
    <row r="7794">
      <c r="G7794">
        <f>G7793+0.0001</f>
        <v/>
      </c>
    </row>
    <row r="7795">
      <c r="G7795">
        <f>G7794+0.0001</f>
        <v/>
      </c>
    </row>
    <row r="7796">
      <c r="G7796">
        <f>G7795+0.0001</f>
        <v/>
      </c>
    </row>
    <row r="7797">
      <c r="G7797">
        <f>G7796+0.0001</f>
        <v/>
      </c>
    </row>
    <row r="7798">
      <c r="G7798">
        <f>G7797+0.0001</f>
        <v/>
      </c>
    </row>
    <row r="7799">
      <c r="G7799">
        <f>G7798+0.0001</f>
        <v/>
      </c>
    </row>
    <row r="7800">
      <c r="G7800">
        <f>G7799+0.0001</f>
        <v/>
      </c>
    </row>
    <row r="7801">
      <c r="G7801">
        <f>G7800+0.0001</f>
        <v/>
      </c>
    </row>
    <row r="7802">
      <c r="G7802">
        <f>G7801+0.0001</f>
        <v/>
      </c>
    </row>
    <row r="7803">
      <c r="G7803">
        <f>G7802+0.0001</f>
        <v/>
      </c>
    </row>
    <row r="7804">
      <c r="G7804">
        <f>G7803+0.0001</f>
        <v/>
      </c>
    </row>
    <row r="7805">
      <c r="G7805">
        <f>G7804+0.0001</f>
        <v/>
      </c>
    </row>
    <row r="7806">
      <c r="G7806">
        <f>G7805+0.0001</f>
        <v/>
      </c>
    </row>
    <row r="7807">
      <c r="G7807">
        <f>G7806+0.0001</f>
        <v/>
      </c>
    </row>
    <row r="7808">
      <c r="G7808">
        <f>G7807+0.0001</f>
        <v/>
      </c>
    </row>
    <row r="7809">
      <c r="G7809">
        <f>G7808+0.0001</f>
        <v/>
      </c>
    </row>
    <row r="7810">
      <c r="G7810">
        <f>G7809+0.0001</f>
        <v/>
      </c>
    </row>
    <row r="7811">
      <c r="G7811">
        <f>G7810+0.0001</f>
        <v/>
      </c>
    </row>
    <row r="7812">
      <c r="G7812">
        <f>G7811+0.0001</f>
        <v/>
      </c>
    </row>
    <row r="7813">
      <c r="G7813">
        <f>G7812+0.0001</f>
        <v/>
      </c>
    </row>
    <row r="7814">
      <c r="G7814">
        <f>G7813+0.0001</f>
        <v/>
      </c>
    </row>
    <row r="7815">
      <c r="G7815">
        <f>G7814+0.0001</f>
        <v/>
      </c>
    </row>
    <row r="7816">
      <c r="G7816">
        <f>G7815+0.0001</f>
        <v/>
      </c>
    </row>
    <row r="7817">
      <c r="G7817">
        <f>G7816+0.0001</f>
        <v/>
      </c>
    </row>
    <row r="7818">
      <c r="G7818">
        <f>G7817+0.0001</f>
        <v/>
      </c>
    </row>
    <row r="7819">
      <c r="G7819">
        <f>G7818+0.0001</f>
        <v/>
      </c>
    </row>
    <row r="7820">
      <c r="G7820">
        <f>G7819+0.0001</f>
        <v/>
      </c>
    </row>
    <row r="7821">
      <c r="G7821">
        <f>G7820+0.0001</f>
        <v/>
      </c>
    </row>
    <row r="7822">
      <c r="G7822">
        <f>G7821+0.0001</f>
        <v/>
      </c>
    </row>
    <row r="7823">
      <c r="G7823">
        <f>G7822+0.0001</f>
        <v/>
      </c>
    </row>
    <row r="7824">
      <c r="G7824">
        <f>G7823+0.0001</f>
        <v/>
      </c>
    </row>
    <row r="7825">
      <c r="G7825">
        <f>G7824+0.0001</f>
        <v/>
      </c>
    </row>
    <row r="7826">
      <c r="G7826">
        <f>G7825+0.0001</f>
        <v/>
      </c>
    </row>
    <row r="7827">
      <c r="G7827">
        <f>G7826+0.0001</f>
        <v/>
      </c>
    </row>
    <row r="7828">
      <c r="G7828">
        <f>G7827+0.0001</f>
        <v/>
      </c>
    </row>
    <row r="7829">
      <c r="G7829">
        <f>G7828+0.0001</f>
        <v/>
      </c>
    </row>
    <row r="7830">
      <c r="G7830">
        <f>G7829+0.0001</f>
        <v/>
      </c>
    </row>
    <row r="7831">
      <c r="G7831">
        <f>G7830+0.0001</f>
        <v/>
      </c>
    </row>
    <row r="7832">
      <c r="G7832">
        <f>G7831+0.0001</f>
        <v/>
      </c>
    </row>
    <row r="7833">
      <c r="G7833">
        <f>G7832+0.0001</f>
        <v/>
      </c>
    </row>
    <row r="7834">
      <c r="G7834">
        <f>G7833+0.0001</f>
        <v/>
      </c>
    </row>
    <row r="7835">
      <c r="G7835">
        <f>G7834+0.0001</f>
        <v/>
      </c>
    </row>
    <row r="7836">
      <c r="G7836">
        <f>G7835+0.0001</f>
        <v/>
      </c>
    </row>
    <row r="7837">
      <c r="G7837">
        <f>G7836+0.0001</f>
        <v/>
      </c>
    </row>
    <row r="7838">
      <c r="G7838">
        <f>G7837+0.0001</f>
        <v/>
      </c>
    </row>
    <row r="7839">
      <c r="G7839">
        <f>G7838+0.0001</f>
        <v/>
      </c>
    </row>
    <row r="7840">
      <c r="G7840">
        <f>G7839+0.0001</f>
        <v/>
      </c>
    </row>
    <row r="7841">
      <c r="G7841">
        <f>G7840+0.0001</f>
        <v/>
      </c>
    </row>
    <row r="7842">
      <c r="G7842">
        <f>G7841+0.0001</f>
        <v/>
      </c>
    </row>
    <row r="7843">
      <c r="G7843">
        <f>G7842+0.0001</f>
        <v/>
      </c>
    </row>
    <row r="7844">
      <c r="G7844">
        <f>G7843+0.0001</f>
        <v/>
      </c>
    </row>
    <row r="7845">
      <c r="G7845">
        <f>G7844+0.0001</f>
        <v/>
      </c>
    </row>
    <row r="7846">
      <c r="G7846">
        <f>G7845+0.0001</f>
        <v/>
      </c>
    </row>
    <row r="7847">
      <c r="G7847">
        <f>G7846+0.0001</f>
        <v/>
      </c>
    </row>
    <row r="7848">
      <c r="G7848">
        <f>G7847+0.0001</f>
        <v/>
      </c>
    </row>
    <row r="7849">
      <c r="G7849">
        <f>G7848+0.0001</f>
        <v/>
      </c>
    </row>
    <row r="7850">
      <c r="G7850">
        <f>G7849+0.0001</f>
        <v/>
      </c>
    </row>
    <row r="7851">
      <c r="G7851">
        <f>G7850+0.0001</f>
        <v/>
      </c>
    </row>
    <row r="7852">
      <c r="G7852">
        <f>G7851+0.0001</f>
        <v/>
      </c>
    </row>
    <row r="7853">
      <c r="G7853">
        <f>G7852+0.0001</f>
        <v/>
      </c>
    </row>
    <row r="7854">
      <c r="G7854">
        <f>G7853+0.0001</f>
        <v/>
      </c>
    </row>
    <row r="7855">
      <c r="G7855">
        <f>G7854+0.0001</f>
        <v/>
      </c>
    </row>
    <row r="7856">
      <c r="G7856">
        <f>G7855+0.0001</f>
        <v/>
      </c>
    </row>
    <row r="7857">
      <c r="G7857">
        <f>G7856+0.0001</f>
        <v/>
      </c>
    </row>
    <row r="7858">
      <c r="G7858">
        <f>G7857+0.0001</f>
        <v/>
      </c>
    </row>
    <row r="7859">
      <c r="G7859">
        <f>G7858+0.0001</f>
        <v/>
      </c>
    </row>
    <row r="7860">
      <c r="G7860">
        <f>G7859+0.0001</f>
        <v/>
      </c>
    </row>
    <row r="7861">
      <c r="G7861">
        <f>G7860+0.0001</f>
        <v/>
      </c>
    </row>
    <row r="7862">
      <c r="G7862">
        <f>G7861+0.0001</f>
        <v/>
      </c>
    </row>
    <row r="7863">
      <c r="G7863">
        <f>G7862+0.0001</f>
        <v/>
      </c>
    </row>
    <row r="7864">
      <c r="G7864">
        <f>G7863+0.0001</f>
        <v/>
      </c>
    </row>
    <row r="7865">
      <c r="G7865">
        <f>G7864+0.0001</f>
        <v/>
      </c>
    </row>
    <row r="7866">
      <c r="G7866">
        <f>G7865+0.0001</f>
        <v/>
      </c>
    </row>
    <row r="7867">
      <c r="G7867">
        <f>G7866+0.0001</f>
        <v/>
      </c>
    </row>
    <row r="7868">
      <c r="G7868">
        <f>G7867+0.0001</f>
        <v/>
      </c>
    </row>
    <row r="7869">
      <c r="G7869">
        <f>G7868+0.0001</f>
        <v/>
      </c>
    </row>
    <row r="7870">
      <c r="G7870">
        <f>G7869+0.0001</f>
        <v/>
      </c>
    </row>
    <row r="7871">
      <c r="G7871">
        <f>G7870+0.0001</f>
        <v/>
      </c>
    </row>
    <row r="7872">
      <c r="G7872">
        <f>G7871+0.0001</f>
        <v/>
      </c>
    </row>
    <row r="7873">
      <c r="G7873">
        <f>G7872+0.0001</f>
        <v/>
      </c>
    </row>
    <row r="7874">
      <c r="G7874">
        <f>G7873+0.0001</f>
        <v/>
      </c>
    </row>
    <row r="7875">
      <c r="G7875">
        <f>G7874+0.0001</f>
        <v/>
      </c>
    </row>
    <row r="7876">
      <c r="G7876">
        <f>G7875+0.0001</f>
        <v/>
      </c>
    </row>
    <row r="7877">
      <c r="G7877">
        <f>G7876+0.0001</f>
        <v/>
      </c>
    </row>
    <row r="7878">
      <c r="G7878">
        <f>G7877+0.0001</f>
        <v/>
      </c>
    </row>
    <row r="7879">
      <c r="G7879">
        <f>G7878+0.0001</f>
        <v/>
      </c>
    </row>
    <row r="7880">
      <c r="G7880">
        <f>G7879+0.0001</f>
        <v/>
      </c>
    </row>
    <row r="7881">
      <c r="G7881">
        <f>G7880+0.0001</f>
        <v/>
      </c>
    </row>
    <row r="7882">
      <c r="G7882">
        <f>G7881+0.0001</f>
        <v/>
      </c>
    </row>
    <row r="7883">
      <c r="G7883">
        <f>G7882+0.0001</f>
        <v/>
      </c>
    </row>
    <row r="7884">
      <c r="G7884">
        <f>G7883+0.0001</f>
        <v/>
      </c>
    </row>
    <row r="7885">
      <c r="G7885">
        <f>G7884+0.0001</f>
        <v/>
      </c>
    </row>
    <row r="7886">
      <c r="G7886">
        <f>G7885+0.0001</f>
        <v/>
      </c>
    </row>
    <row r="7887">
      <c r="G7887">
        <f>G7886+0.0001</f>
        <v/>
      </c>
    </row>
    <row r="7888">
      <c r="G7888">
        <f>G7887+0.0001</f>
        <v/>
      </c>
    </row>
    <row r="7889">
      <c r="G7889">
        <f>G7888+0.0001</f>
        <v/>
      </c>
    </row>
    <row r="7890">
      <c r="G7890">
        <f>G7889+0.0001</f>
        <v/>
      </c>
    </row>
    <row r="7891">
      <c r="G7891">
        <f>G7890+0.0001</f>
        <v/>
      </c>
    </row>
    <row r="7892">
      <c r="G7892">
        <f>G7891+0.0001</f>
        <v/>
      </c>
    </row>
    <row r="7893">
      <c r="G7893">
        <f>G7892+0.0001</f>
        <v/>
      </c>
    </row>
    <row r="7894">
      <c r="G7894">
        <f>G7893+0.0001</f>
        <v/>
      </c>
    </row>
    <row r="7895">
      <c r="G7895">
        <f>G7894+0.0001</f>
        <v/>
      </c>
    </row>
    <row r="7896">
      <c r="G7896">
        <f>G7895+0.0001</f>
        <v/>
      </c>
    </row>
    <row r="7897">
      <c r="G7897">
        <f>G7896+0.0001</f>
        <v/>
      </c>
    </row>
    <row r="7898">
      <c r="G7898">
        <f>G7897+0.0001</f>
        <v/>
      </c>
    </row>
    <row r="7899">
      <c r="G7899">
        <f>G7898+0.0001</f>
        <v/>
      </c>
    </row>
    <row r="7900">
      <c r="G7900">
        <f>G7899+0.0001</f>
        <v/>
      </c>
    </row>
    <row r="7901">
      <c r="G7901">
        <f>G7900+0.0001</f>
        <v/>
      </c>
    </row>
    <row r="7902">
      <c r="G7902">
        <f>G7901+0.0001</f>
        <v/>
      </c>
    </row>
    <row r="7903">
      <c r="G7903">
        <f>G7902+0.0001</f>
        <v/>
      </c>
    </row>
    <row r="7904">
      <c r="G7904">
        <f>G7903+0.0001</f>
        <v/>
      </c>
    </row>
    <row r="7905">
      <c r="G7905">
        <f>G7904+0.0001</f>
        <v/>
      </c>
    </row>
    <row r="7906">
      <c r="G7906">
        <f>G7905+0.0001</f>
        <v/>
      </c>
    </row>
    <row r="7907">
      <c r="G7907">
        <f>G7906+0.0001</f>
        <v/>
      </c>
    </row>
    <row r="7908">
      <c r="G7908">
        <f>G7907+0.0001</f>
        <v/>
      </c>
    </row>
    <row r="7909">
      <c r="G7909">
        <f>G7908+0.0001</f>
        <v/>
      </c>
    </row>
    <row r="7910">
      <c r="G7910">
        <f>G7909+0.0001</f>
        <v/>
      </c>
    </row>
    <row r="7911">
      <c r="G7911">
        <f>G7910+0.0001</f>
        <v/>
      </c>
    </row>
    <row r="7912">
      <c r="G7912">
        <f>G7911+0.0001</f>
        <v/>
      </c>
    </row>
    <row r="7913">
      <c r="G7913">
        <f>G7912+0.0001</f>
        <v/>
      </c>
    </row>
    <row r="7914">
      <c r="G7914">
        <f>G7913+0.0001</f>
        <v/>
      </c>
    </row>
    <row r="7915">
      <c r="G7915">
        <f>G7914+0.0001</f>
        <v/>
      </c>
    </row>
    <row r="7916">
      <c r="G7916">
        <f>G7915+0.0001</f>
        <v/>
      </c>
    </row>
    <row r="7917">
      <c r="G7917">
        <f>G7916+0.0001</f>
        <v/>
      </c>
    </row>
    <row r="7918">
      <c r="G7918">
        <f>G7917+0.0001</f>
        <v/>
      </c>
    </row>
    <row r="7919">
      <c r="G7919">
        <f>G7918+0.0001</f>
        <v/>
      </c>
    </row>
    <row r="7920">
      <c r="G7920">
        <f>G7919+0.0001</f>
        <v/>
      </c>
    </row>
    <row r="7921">
      <c r="G7921">
        <f>G7920+0.0001</f>
        <v/>
      </c>
    </row>
    <row r="7922">
      <c r="G7922">
        <f>G7921+0.0001</f>
        <v/>
      </c>
    </row>
    <row r="7923">
      <c r="G7923">
        <f>G7922+0.0001</f>
        <v/>
      </c>
    </row>
    <row r="7924">
      <c r="G7924">
        <f>G7923+0.0001</f>
        <v/>
      </c>
    </row>
    <row r="7925">
      <c r="G7925">
        <f>G7924+0.0001</f>
        <v/>
      </c>
    </row>
    <row r="7926">
      <c r="G7926">
        <f>G7925+0.0001</f>
        <v/>
      </c>
    </row>
    <row r="7927">
      <c r="G7927">
        <f>G7926+0.0001</f>
        <v/>
      </c>
    </row>
    <row r="7928">
      <c r="G7928">
        <f>G7927+0.0001</f>
        <v/>
      </c>
    </row>
    <row r="7929">
      <c r="G7929">
        <f>G7928+0.0001</f>
        <v/>
      </c>
    </row>
    <row r="7930">
      <c r="G7930">
        <f>G7929+0.0001</f>
        <v/>
      </c>
    </row>
    <row r="7931">
      <c r="G7931">
        <f>G7930+0.0001</f>
        <v/>
      </c>
    </row>
    <row r="7932">
      <c r="G7932">
        <f>G7931+0.0001</f>
        <v/>
      </c>
    </row>
    <row r="7933">
      <c r="G7933">
        <f>G7932+0.0001</f>
        <v/>
      </c>
    </row>
    <row r="7934">
      <c r="G7934">
        <f>G7933+0.0001</f>
        <v/>
      </c>
    </row>
    <row r="7935">
      <c r="G7935">
        <f>G7934+0.0001</f>
        <v/>
      </c>
    </row>
    <row r="7936">
      <c r="G7936">
        <f>G7935+0.0001</f>
        <v/>
      </c>
    </row>
    <row r="7937">
      <c r="G7937">
        <f>G7936+0.0001</f>
        <v/>
      </c>
    </row>
    <row r="7938">
      <c r="G7938">
        <f>G7937+0.0001</f>
        <v/>
      </c>
    </row>
    <row r="7939">
      <c r="G7939">
        <f>G7938+0.0001</f>
        <v/>
      </c>
    </row>
    <row r="7940">
      <c r="G7940">
        <f>G7939+0.0001</f>
        <v/>
      </c>
    </row>
    <row r="7941">
      <c r="G7941">
        <f>G7940+0.0001</f>
        <v/>
      </c>
    </row>
    <row r="7942">
      <c r="G7942">
        <f>G7941+0.0001</f>
        <v/>
      </c>
    </row>
    <row r="7943">
      <c r="G7943">
        <f>G7942+0.0001</f>
        <v/>
      </c>
    </row>
    <row r="7944">
      <c r="G7944">
        <f>G7943+0.0001</f>
        <v/>
      </c>
    </row>
    <row r="7945">
      <c r="G7945">
        <f>G7944+0.0001</f>
        <v/>
      </c>
    </row>
    <row r="7946">
      <c r="G7946">
        <f>G7945+0.0001</f>
        <v/>
      </c>
    </row>
    <row r="7947">
      <c r="G7947">
        <f>G7946+0.0001</f>
        <v/>
      </c>
    </row>
    <row r="7948">
      <c r="G7948">
        <f>G7947+0.0001</f>
        <v/>
      </c>
    </row>
    <row r="7949">
      <c r="G7949">
        <f>G7948+0.0001</f>
        <v/>
      </c>
    </row>
    <row r="7950">
      <c r="G7950">
        <f>G7949+0.0001</f>
        <v/>
      </c>
    </row>
    <row r="7951">
      <c r="G7951">
        <f>G7950+0.0001</f>
        <v/>
      </c>
    </row>
    <row r="7952">
      <c r="G7952">
        <f>G7951+0.0001</f>
        <v/>
      </c>
    </row>
    <row r="7953">
      <c r="G7953">
        <f>G7952+0.0001</f>
        <v/>
      </c>
    </row>
    <row r="7954">
      <c r="G7954">
        <f>G7953+0.0001</f>
        <v/>
      </c>
    </row>
    <row r="7955">
      <c r="G7955">
        <f>G7954+0.0001</f>
        <v/>
      </c>
    </row>
    <row r="7956">
      <c r="G7956">
        <f>G7955+0.0001</f>
        <v/>
      </c>
    </row>
    <row r="7957">
      <c r="G7957">
        <f>G7956+0.0001</f>
        <v/>
      </c>
    </row>
    <row r="7958">
      <c r="G7958">
        <f>G7957+0.0001</f>
        <v/>
      </c>
    </row>
    <row r="7959">
      <c r="G7959">
        <f>G7958+0.0001</f>
        <v/>
      </c>
    </row>
    <row r="7960">
      <c r="G7960">
        <f>G7959+0.0001</f>
        <v/>
      </c>
    </row>
    <row r="7961">
      <c r="G7961">
        <f>G7960+0.0001</f>
        <v/>
      </c>
    </row>
    <row r="7962">
      <c r="G7962">
        <f>G7961+0.0001</f>
        <v/>
      </c>
    </row>
    <row r="7963">
      <c r="G7963">
        <f>G7962+0.0001</f>
        <v/>
      </c>
    </row>
    <row r="7964">
      <c r="G7964">
        <f>G7963+0.0001</f>
        <v/>
      </c>
    </row>
    <row r="7965">
      <c r="G7965">
        <f>G7964+0.0001</f>
        <v/>
      </c>
    </row>
    <row r="7966">
      <c r="G7966">
        <f>G7965+0.0001</f>
        <v/>
      </c>
    </row>
    <row r="7967">
      <c r="G7967">
        <f>G7966+0.0001</f>
        <v/>
      </c>
    </row>
    <row r="7968">
      <c r="G7968">
        <f>G7967+0.0001</f>
        <v/>
      </c>
    </row>
    <row r="7969">
      <c r="G7969">
        <f>G7968+0.0001</f>
        <v/>
      </c>
    </row>
    <row r="7970">
      <c r="G7970">
        <f>G7969+0.0001</f>
        <v/>
      </c>
    </row>
    <row r="7971">
      <c r="G7971">
        <f>G7970+0.0001</f>
        <v/>
      </c>
    </row>
    <row r="7972">
      <c r="G7972">
        <f>G7971+0.0001</f>
        <v/>
      </c>
    </row>
    <row r="7973">
      <c r="G7973">
        <f>G7972+0.0001</f>
        <v/>
      </c>
    </row>
    <row r="7974">
      <c r="G7974">
        <f>G7973+0.0001</f>
        <v/>
      </c>
    </row>
    <row r="7975">
      <c r="G7975">
        <f>G7974+0.0001</f>
        <v/>
      </c>
    </row>
    <row r="7976">
      <c r="G7976">
        <f>G7975+0.0001</f>
        <v/>
      </c>
    </row>
    <row r="7977">
      <c r="G7977">
        <f>G7976+0.0001</f>
        <v/>
      </c>
    </row>
    <row r="7978">
      <c r="G7978">
        <f>G7977+0.0001</f>
        <v/>
      </c>
    </row>
    <row r="7979">
      <c r="G7979">
        <f>G7978+0.0001</f>
        <v/>
      </c>
    </row>
    <row r="7980">
      <c r="G7980">
        <f>G7979+0.0001</f>
        <v/>
      </c>
    </row>
    <row r="7981">
      <c r="G7981">
        <f>G7980+0.0001</f>
        <v/>
      </c>
    </row>
    <row r="7982">
      <c r="G7982">
        <f>G7981+0.0001</f>
        <v/>
      </c>
    </row>
    <row r="7983">
      <c r="G7983">
        <f>G7982+0.0001</f>
        <v/>
      </c>
    </row>
    <row r="7984">
      <c r="G7984">
        <f>G7983+0.0001</f>
        <v/>
      </c>
    </row>
    <row r="7985">
      <c r="G7985">
        <f>G7984+0.0001</f>
        <v/>
      </c>
    </row>
    <row r="7986">
      <c r="G7986">
        <f>G7985+0.0001</f>
        <v/>
      </c>
    </row>
    <row r="7987">
      <c r="G7987">
        <f>G7986+0.0001</f>
        <v/>
      </c>
    </row>
    <row r="7988">
      <c r="G7988">
        <f>G7987+0.0001</f>
        <v/>
      </c>
    </row>
    <row r="7989">
      <c r="G7989">
        <f>G7988+0.0001</f>
        <v/>
      </c>
    </row>
    <row r="7990">
      <c r="G7990">
        <f>G7989+0.0001</f>
        <v/>
      </c>
    </row>
    <row r="7991">
      <c r="G7991">
        <f>G7990+0.0001</f>
        <v/>
      </c>
    </row>
    <row r="7992">
      <c r="G7992">
        <f>G7991+0.0001</f>
        <v/>
      </c>
    </row>
    <row r="7993">
      <c r="G7993">
        <f>G7992+0.0001</f>
        <v/>
      </c>
    </row>
    <row r="7994">
      <c r="G7994">
        <f>G7993+0.0001</f>
        <v/>
      </c>
    </row>
    <row r="7995">
      <c r="G7995">
        <f>G7994+0.0001</f>
        <v/>
      </c>
    </row>
    <row r="7996">
      <c r="G7996">
        <f>G7995+0.0001</f>
        <v/>
      </c>
    </row>
    <row r="7997">
      <c r="G7997">
        <f>G7996+0.0001</f>
        <v/>
      </c>
    </row>
    <row r="7998">
      <c r="G7998">
        <f>G7997+0.0001</f>
        <v/>
      </c>
    </row>
    <row r="7999">
      <c r="G7999">
        <f>G7998+0.0001</f>
        <v/>
      </c>
    </row>
    <row r="8000">
      <c r="G8000">
        <f>G7999+0.0001</f>
        <v/>
      </c>
    </row>
    <row r="8001">
      <c r="G8001">
        <f>G8000+0.0001</f>
        <v/>
      </c>
    </row>
    <row r="8002">
      <c r="G8002">
        <f>G8001+0.0001</f>
        <v/>
      </c>
    </row>
    <row r="8003">
      <c r="G8003">
        <f>G8002+0.0001</f>
        <v/>
      </c>
    </row>
    <row r="8004">
      <c r="G8004">
        <f>G8003+0.0001</f>
        <v/>
      </c>
    </row>
    <row r="8005">
      <c r="G8005">
        <f>G8004+0.0001</f>
        <v/>
      </c>
    </row>
    <row r="8006">
      <c r="G8006">
        <f>G8005+0.0001</f>
        <v/>
      </c>
    </row>
    <row r="8007">
      <c r="G8007">
        <f>G8006+0.0001</f>
        <v/>
      </c>
    </row>
    <row r="8008">
      <c r="G8008">
        <f>G8007+0.0001</f>
        <v/>
      </c>
    </row>
    <row r="8009">
      <c r="G8009">
        <f>G8008+0.0001</f>
        <v/>
      </c>
    </row>
    <row r="8010">
      <c r="G8010">
        <f>G8009+0.0001</f>
        <v/>
      </c>
    </row>
    <row r="8011">
      <c r="G8011">
        <f>G8010+0.0001</f>
        <v/>
      </c>
    </row>
    <row r="8012">
      <c r="G8012">
        <f>G8011+0.0001</f>
        <v/>
      </c>
    </row>
    <row r="8013">
      <c r="G8013">
        <f>G8012+0.0001</f>
        <v/>
      </c>
    </row>
    <row r="8014">
      <c r="G8014">
        <f>G8013+0.0001</f>
        <v/>
      </c>
    </row>
    <row r="8015">
      <c r="G8015">
        <f>G8014+0.0001</f>
        <v/>
      </c>
    </row>
    <row r="8016">
      <c r="G8016">
        <f>G8015+0.0001</f>
        <v/>
      </c>
    </row>
    <row r="8017">
      <c r="G8017">
        <f>G8016+0.0001</f>
        <v/>
      </c>
    </row>
    <row r="8018">
      <c r="G8018">
        <f>G8017+0.0001</f>
        <v/>
      </c>
    </row>
    <row r="8019">
      <c r="G8019">
        <f>G8018+0.0001</f>
        <v/>
      </c>
    </row>
    <row r="8020">
      <c r="G8020">
        <f>G8019+0.0001</f>
        <v/>
      </c>
    </row>
    <row r="8021">
      <c r="G8021">
        <f>G8020+0.0001</f>
        <v/>
      </c>
    </row>
    <row r="8022">
      <c r="G8022">
        <f>G8021+0.0001</f>
        <v/>
      </c>
    </row>
    <row r="8023">
      <c r="G8023">
        <f>G8022+0.0001</f>
        <v/>
      </c>
    </row>
    <row r="8024">
      <c r="G8024">
        <f>G8023+0.0001</f>
        <v/>
      </c>
    </row>
    <row r="8025">
      <c r="G8025">
        <f>G8024+0.0001</f>
        <v/>
      </c>
    </row>
    <row r="8026">
      <c r="G8026">
        <f>G8025+0.0001</f>
        <v/>
      </c>
    </row>
    <row r="8027">
      <c r="G8027">
        <f>G8026+0.0001</f>
        <v/>
      </c>
    </row>
    <row r="8028">
      <c r="G8028">
        <f>G8027+0.0001</f>
        <v/>
      </c>
    </row>
    <row r="8029">
      <c r="G8029">
        <f>G8028+0.0001</f>
        <v/>
      </c>
    </row>
    <row r="8030">
      <c r="G8030">
        <f>G8029+0.0001</f>
        <v/>
      </c>
    </row>
    <row r="8031">
      <c r="G8031">
        <f>G8030+0.0001</f>
        <v/>
      </c>
    </row>
    <row r="8032">
      <c r="G8032">
        <f>G8031+0.0001</f>
        <v/>
      </c>
    </row>
    <row r="8033">
      <c r="G8033">
        <f>G8032+0.0001</f>
        <v/>
      </c>
    </row>
    <row r="8034">
      <c r="G8034">
        <f>G8033+0.0001</f>
        <v/>
      </c>
    </row>
    <row r="8035">
      <c r="G8035">
        <f>G8034+0.0001</f>
        <v/>
      </c>
    </row>
    <row r="8036">
      <c r="G8036">
        <f>G8035+0.0001</f>
        <v/>
      </c>
    </row>
    <row r="8037">
      <c r="G8037">
        <f>G8036+0.0001</f>
        <v/>
      </c>
    </row>
    <row r="8038">
      <c r="G8038">
        <f>G8037+0.0001</f>
        <v/>
      </c>
    </row>
    <row r="8039">
      <c r="G8039">
        <f>G8038+0.0001</f>
        <v/>
      </c>
    </row>
    <row r="8040">
      <c r="G8040">
        <f>G8039+0.0001</f>
        <v/>
      </c>
    </row>
    <row r="8041">
      <c r="G8041">
        <f>G8040+0.0001</f>
        <v/>
      </c>
    </row>
    <row r="8042">
      <c r="G8042">
        <f>G8041+0.0001</f>
        <v/>
      </c>
    </row>
    <row r="8043">
      <c r="G8043">
        <f>G8042+0.0001</f>
        <v/>
      </c>
    </row>
    <row r="8044">
      <c r="G8044">
        <f>G8043+0.0001</f>
        <v/>
      </c>
    </row>
    <row r="8045">
      <c r="G8045">
        <f>G8044+0.0001</f>
        <v/>
      </c>
    </row>
    <row r="8046">
      <c r="G8046">
        <f>G8045+0.0001</f>
        <v/>
      </c>
    </row>
    <row r="8047">
      <c r="G8047">
        <f>G8046+0.0001</f>
        <v/>
      </c>
    </row>
    <row r="8048">
      <c r="G8048">
        <f>G8047+0.0001</f>
        <v/>
      </c>
    </row>
    <row r="8049">
      <c r="G8049">
        <f>G8048+0.0001</f>
        <v/>
      </c>
    </row>
    <row r="8050">
      <c r="G8050">
        <f>G8049+0.0001</f>
        <v/>
      </c>
    </row>
    <row r="8051">
      <c r="G8051">
        <f>G8050+0.0001</f>
        <v/>
      </c>
    </row>
    <row r="8052">
      <c r="G8052">
        <f>G8051+0.0001</f>
        <v/>
      </c>
    </row>
    <row r="8053">
      <c r="G8053">
        <f>G8052+0.0001</f>
        <v/>
      </c>
    </row>
    <row r="8054">
      <c r="G8054">
        <f>G8053+0.0001</f>
        <v/>
      </c>
    </row>
    <row r="8055">
      <c r="G8055">
        <f>G8054+0.0001</f>
        <v/>
      </c>
    </row>
    <row r="8056">
      <c r="G8056">
        <f>G8055+0.0001</f>
        <v/>
      </c>
    </row>
    <row r="8057">
      <c r="G8057">
        <f>G8056+0.0001</f>
        <v/>
      </c>
    </row>
    <row r="8058">
      <c r="G8058">
        <f>G8057+0.0001</f>
        <v/>
      </c>
    </row>
    <row r="8059">
      <c r="G8059">
        <f>G8058+0.0001</f>
        <v/>
      </c>
    </row>
    <row r="8060">
      <c r="G8060">
        <f>G8059+0.0001</f>
        <v/>
      </c>
    </row>
    <row r="8061">
      <c r="G8061">
        <f>G8060+0.0001</f>
        <v/>
      </c>
    </row>
    <row r="8062">
      <c r="G8062">
        <f>G8061+0.0001</f>
        <v/>
      </c>
    </row>
    <row r="8063">
      <c r="G8063">
        <f>G8062+0.0001</f>
        <v/>
      </c>
    </row>
    <row r="8064">
      <c r="G8064">
        <f>G8063+0.0001</f>
        <v/>
      </c>
    </row>
    <row r="8065">
      <c r="G8065">
        <f>G8064+0.0001</f>
        <v/>
      </c>
    </row>
    <row r="8066">
      <c r="G8066">
        <f>G8065+0.0001</f>
        <v/>
      </c>
    </row>
    <row r="8067">
      <c r="G8067">
        <f>G8066+0.0001</f>
        <v/>
      </c>
    </row>
    <row r="8068">
      <c r="G8068">
        <f>G8067+0.0001</f>
        <v/>
      </c>
    </row>
    <row r="8069">
      <c r="G8069">
        <f>G8068+0.0001</f>
        <v/>
      </c>
    </row>
    <row r="8070">
      <c r="G8070">
        <f>G8069+0.0001</f>
        <v/>
      </c>
    </row>
    <row r="8071">
      <c r="G8071">
        <f>G8070+0.0001</f>
        <v/>
      </c>
    </row>
    <row r="8072">
      <c r="G8072">
        <f>G8071+0.0001</f>
        <v/>
      </c>
    </row>
    <row r="8073">
      <c r="G8073">
        <f>G8072+0.0001</f>
        <v/>
      </c>
    </row>
    <row r="8074">
      <c r="G8074">
        <f>G8073+0.0001</f>
        <v/>
      </c>
    </row>
    <row r="8075">
      <c r="G8075">
        <f>G8074+0.0001</f>
        <v/>
      </c>
    </row>
    <row r="8076">
      <c r="G8076">
        <f>G8075+0.0001</f>
        <v/>
      </c>
    </row>
    <row r="8077">
      <c r="G8077">
        <f>G8076+0.0001</f>
        <v/>
      </c>
    </row>
    <row r="8078">
      <c r="G8078">
        <f>G8077+0.0001</f>
        <v/>
      </c>
    </row>
    <row r="8079">
      <c r="G8079">
        <f>G8078+0.0001</f>
        <v/>
      </c>
    </row>
    <row r="8080">
      <c r="G8080">
        <f>G8079+0.0001</f>
        <v/>
      </c>
    </row>
    <row r="8081">
      <c r="G8081">
        <f>G8080+0.0001</f>
        <v/>
      </c>
    </row>
    <row r="8082">
      <c r="G8082">
        <f>G8081+0.0001</f>
        <v/>
      </c>
    </row>
    <row r="8083">
      <c r="G8083">
        <f>G8082+0.0001</f>
        <v/>
      </c>
    </row>
    <row r="8084">
      <c r="G8084">
        <f>G8083+0.0001</f>
        <v/>
      </c>
    </row>
    <row r="8085">
      <c r="G8085">
        <f>G8084+0.0001</f>
        <v/>
      </c>
    </row>
    <row r="8086">
      <c r="G8086">
        <f>G8085+0.0001</f>
        <v/>
      </c>
    </row>
    <row r="8087">
      <c r="G8087">
        <f>G8086+0.0001</f>
        <v/>
      </c>
    </row>
    <row r="8088">
      <c r="G8088">
        <f>G8087+0.0001</f>
        <v/>
      </c>
    </row>
    <row r="8089">
      <c r="G8089">
        <f>G8088+0.0001</f>
        <v/>
      </c>
    </row>
    <row r="8090">
      <c r="G8090">
        <f>G8089+0.0001</f>
        <v/>
      </c>
    </row>
    <row r="8091">
      <c r="G8091">
        <f>G8090+0.0001</f>
        <v/>
      </c>
    </row>
    <row r="8092">
      <c r="G8092">
        <f>G8091+0.0001</f>
        <v/>
      </c>
    </row>
    <row r="8093">
      <c r="G8093">
        <f>G8092+0.0001</f>
        <v/>
      </c>
    </row>
    <row r="8094">
      <c r="G8094">
        <f>G8093+0.0001</f>
        <v/>
      </c>
    </row>
    <row r="8095">
      <c r="G8095">
        <f>G8094+0.0001</f>
        <v/>
      </c>
    </row>
    <row r="8096">
      <c r="G8096">
        <f>G8095+0.0001</f>
        <v/>
      </c>
    </row>
    <row r="8097">
      <c r="G8097">
        <f>G8096+0.0001</f>
        <v/>
      </c>
    </row>
    <row r="8098">
      <c r="G8098">
        <f>G8097+0.0001</f>
        <v/>
      </c>
    </row>
    <row r="8099">
      <c r="G8099">
        <f>G8098+0.0001</f>
        <v/>
      </c>
    </row>
    <row r="8100">
      <c r="G8100">
        <f>G8099+0.0001</f>
        <v/>
      </c>
    </row>
    <row r="8101">
      <c r="G8101">
        <f>G8100+0.0001</f>
        <v/>
      </c>
    </row>
    <row r="8102">
      <c r="G8102">
        <f>G8101+0.0001</f>
        <v/>
      </c>
    </row>
    <row r="8103">
      <c r="G8103">
        <f>G8102+0.0001</f>
        <v/>
      </c>
    </row>
    <row r="8104">
      <c r="G8104">
        <f>G8103+0.0001</f>
        <v/>
      </c>
    </row>
    <row r="8105">
      <c r="G8105">
        <f>G8104+0.0001</f>
        <v/>
      </c>
    </row>
    <row r="8106">
      <c r="G8106">
        <f>G8105+0.0001</f>
        <v/>
      </c>
    </row>
    <row r="8107">
      <c r="G8107">
        <f>G8106+0.0001</f>
        <v/>
      </c>
    </row>
    <row r="8108">
      <c r="G8108">
        <f>G8107+0.0001</f>
        <v/>
      </c>
    </row>
    <row r="8109">
      <c r="G8109">
        <f>G8108+0.0001</f>
        <v/>
      </c>
    </row>
    <row r="8110">
      <c r="G8110">
        <f>G8109+0.0001</f>
        <v/>
      </c>
    </row>
    <row r="8111">
      <c r="G8111">
        <f>G8110+0.0001</f>
        <v/>
      </c>
    </row>
    <row r="8112">
      <c r="G8112">
        <f>G8111+0.0001</f>
        <v/>
      </c>
    </row>
    <row r="8113">
      <c r="G8113">
        <f>G8112+0.0001</f>
        <v/>
      </c>
    </row>
    <row r="8114">
      <c r="G8114">
        <f>G8113+0.0001</f>
        <v/>
      </c>
    </row>
    <row r="8115">
      <c r="G8115">
        <f>G8114+0.0001</f>
        <v/>
      </c>
    </row>
    <row r="8116">
      <c r="G8116">
        <f>G8115+0.0001</f>
        <v/>
      </c>
    </row>
    <row r="8117">
      <c r="G8117">
        <f>G8116+0.0001</f>
        <v/>
      </c>
    </row>
    <row r="8118">
      <c r="G8118">
        <f>G8117+0.0001</f>
        <v/>
      </c>
    </row>
    <row r="8119">
      <c r="G8119">
        <f>G8118+0.0001</f>
        <v/>
      </c>
    </row>
    <row r="8120">
      <c r="G8120">
        <f>G8119+0.0001</f>
        <v/>
      </c>
    </row>
    <row r="8121">
      <c r="G8121">
        <f>G8120+0.0001</f>
        <v/>
      </c>
    </row>
    <row r="8122">
      <c r="G8122">
        <f>G8121+0.0001</f>
        <v/>
      </c>
    </row>
    <row r="8123">
      <c r="G8123">
        <f>G8122+0.0001</f>
        <v/>
      </c>
    </row>
    <row r="8124">
      <c r="G8124">
        <f>G8123+0.0001</f>
        <v/>
      </c>
    </row>
    <row r="8125">
      <c r="G8125">
        <f>G8124+0.0001</f>
        <v/>
      </c>
    </row>
    <row r="8126">
      <c r="G8126">
        <f>G8125+0.0001</f>
        <v/>
      </c>
    </row>
    <row r="8127">
      <c r="G8127">
        <f>G8126+0.0001</f>
        <v/>
      </c>
    </row>
    <row r="8128">
      <c r="G8128">
        <f>G8127+0.0001</f>
        <v/>
      </c>
    </row>
    <row r="8129">
      <c r="G8129">
        <f>G8128+0.0001</f>
        <v/>
      </c>
    </row>
    <row r="8130">
      <c r="G8130">
        <f>G8129+0.0001</f>
        <v/>
      </c>
    </row>
    <row r="8131">
      <c r="G8131">
        <f>G8130+0.0001</f>
        <v/>
      </c>
    </row>
    <row r="8132">
      <c r="G8132">
        <f>G8131+0.0001</f>
        <v/>
      </c>
    </row>
    <row r="8133">
      <c r="G8133">
        <f>G8132+0.0001</f>
        <v/>
      </c>
    </row>
    <row r="8134">
      <c r="G8134">
        <f>G8133+0.0001</f>
        <v/>
      </c>
    </row>
    <row r="8135">
      <c r="G8135">
        <f>G8134+0.0001</f>
        <v/>
      </c>
    </row>
    <row r="8136">
      <c r="G8136">
        <f>G8135+0.0001</f>
        <v/>
      </c>
    </row>
    <row r="8137">
      <c r="G8137">
        <f>G8136+0.0001</f>
        <v/>
      </c>
    </row>
    <row r="8138">
      <c r="G8138">
        <f>G8137+0.0001</f>
        <v/>
      </c>
    </row>
    <row r="8139">
      <c r="G8139">
        <f>G8138+0.0001</f>
        <v/>
      </c>
    </row>
    <row r="8140">
      <c r="G8140">
        <f>G8139+0.0001</f>
        <v/>
      </c>
    </row>
    <row r="8141">
      <c r="G8141">
        <f>G8140+0.0001</f>
        <v/>
      </c>
    </row>
    <row r="8142">
      <c r="G8142">
        <f>G8141+0.0001</f>
        <v/>
      </c>
    </row>
    <row r="8143">
      <c r="G8143">
        <f>G8142+0.0001</f>
        <v/>
      </c>
    </row>
    <row r="8144">
      <c r="G8144">
        <f>G8143+0.0001</f>
        <v/>
      </c>
    </row>
    <row r="8145">
      <c r="G8145">
        <f>G8144+0.0001</f>
        <v/>
      </c>
    </row>
    <row r="8146">
      <c r="G8146">
        <f>G8145+0.0001</f>
        <v/>
      </c>
    </row>
    <row r="8147">
      <c r="G8147">
        <f>G8146+0.0001</f>
        <v/>
      </c>
    </row>
    <row r="8148">
      <c r="G8148">
        <f>G8147+0.0001</f>
        <v/>
      </c>
    </row>
    <row r="8149">
      <c r="G8149">
        <f>G8148+0.0001</f>
        <v/>
      </c>
    </row>
    <row r="8150">
      <c r="G8150">
        <f>G8149+0.0001</f>
        <v/>
      </c>
    </row>
    <row r="8151">
      <c r="G8151">
        <f>G8150+0.0001</f>
        <v/>
      </c>
    </row>
    <row r="8152">
      <c r="G8152">
        <f>G8151+0.0001</f>
        <v/>
      </c>
    </row>
    <row r="8153">
      <c r="G8153">
        <f>G8152+0.0001</f>
        <v/>
      </c>
    </row>
    <row r="8154">
      <c r="G8154">
        <f>G8153+0.0001</f>
        <v/>
      </c>
    </row>
    <row r="8155">
      <c r="G8155">
        <f>G8154+0.0001</f>
        <v/>
      </c>
    </row>
    <row r="8156">
      <c r="G8156">
        <f>G8155+0.0001</f>
        <v/>
      </c>
    </row>
    <row r="8157">
      <c r="G8157">
        <f>G8156+0.0001</f>
        <v/>
      </c>
    </row>
    <row r="8158">
      <c r="G8158">
        <f>G8157+0.0001</f>
        <v/>
      </c>
    </row>
    <row r="8159">
      <c r="G8159">
        <f>G8158+0.0001</f>
        <v/>
      </c>
    </row>
    <row r="8160">
      <c r="G8160">
        <f>G8159+0.0001</f>
        <v/>
      </c>
    </row>
    <row r="8161">
      <c r="G8161">
        <f>G8160+0.0001</f>
        <v/>
      </c>
    </row>
    <row r="8162">
      <c r="G8162">
        <f>G8161+0.0001</f>
        <v/>
      </c>
    </row>
    <row r="8163">
      <c r="G8163">
        <f>G8162+0.0001</f>
        <v/>
      </c>
    </row>
    <row r="8164">
      <c r="G8164">
        <f>G8163+0.0001</f>
        <v/>
      </c>
    </row>
    <row r="8165">
      <c r="G8165">
        <f>G8164+0.0001</f>
        <v/>
      </c>
    </row>
    <row r="8166">
      <c r="G8166">
        <f>G8165+0.0001</f>
        <v/>
      </c>
    </row>
    <row r="8167">
      <c r="G8167">
        <f>G8166+0.0001</f>
        <v/>
      </c>
    </row>
    <row r="8168">
      <c r="G8168">
        <f>G8167+0.0001</f>
        <v/>
      </c>
    </row>
    <row r="8169">
      <c r="G8169">
        <f>G8168+0.0001</f>
        <v/>
      </c>
    </row>
    <row r="8170">
      <c r="G8170">
        <f>G8169+0.0001</f>
        <v/>
      </c>
    </row>
    <row r="8171">
      <c r="G8171">
        <f>G8170+0.0001</f>
        <v/>
      </c>
    </row>
    <row r="8172">
      <c r="G8172">
        <f>G8171+0.0001</f>
        <v/>
      </c>
    </row>
    <row r="8173">
      <c r="G8173">
        <f>G8172+0.0001</f>
        <v/>
      </c>
    </row>
    <row r="8174">
      <c r="G8174">
        <f>G8173+0.0001</f>
        <v/>
      </c>
    </row>
    <row r="8175">
      <c r="G8175">
        <f>G8174+0.0001</f>
        <v/>
      </c>
    </row>
    <row r="8176">
      <c r="G8176">
        <f>G8175+0.0001</f>
        <v/>
      </c>
    </row>
    <row r="8177">
      <c r="G8177">
        <f>G8176+0.0001</f>
        <v/>
      </c>
    </row>
    <row r="8178">
      <c r="G8178">
        <f>G8177+0.0001</f>
        <v/>
      </c>
    </row>
    <row r="8179">
      <c r="G8179">
        <f>G8178+0.0001</f>
        <v/>
      </c>
    </row>
    <row r="8180">
      <c r="G8180">
        <f>G8179+0.0001</f>
        <v/>
      </c>
    </row>
    <row r="8181">
      <c r="G8181">
        <f>G8180+0.0001</f>
        <v/>
      </c>
    </row>
    <row r="8182">
      <c r="G8182">
        <f>G8181+0.0001</f>
        <v/>
      </c>
    </row>
    <row r="8183">
      <c r="G8183">
        <f>G8182+0.0001</f>
        <v/>
      </c>
    </row>
    <row r="8184">
      <c r="G8184">
        <f>G8183+0.0001</f>
        <v/>
      </c>
    </row>
    <row r="8185">
      <c r="G8185">
        <f>G8184+0.0001</f>
        <v/>
      </c>
    </row>
    <row r="8186">
      <c r="G8186">
        <f>G8185+0.0001</f>
        <v/>
      </c>
    </row>
    <row r="8187">
      <c r="G8187">
        <f>G8186+0.0001</f>
        <v/>
      </c>
    </row>
    <row r="8188">
      <c r="G8188">
        <f>G8187+0.0001</f>
        <v/>
      </c>
    </row>
    <row r="8189">
      <c r="G8189">
        <f>G8188+0.0001</f>
        <v/>
      </c>
    </row>
    <row r="8190">
      <c r="G8190">
        <f>G8189+0.0001</f>
        <v/>
      </c>
    </row>
    <row r="8191">
      <c r="G8191">
        <f>G8190+0.0001</f>
        <v/>
      </c>
    </row>
    <row r="8192">
      <c r="G8192">
        <f>G8191+0.0001</f>
        <v/>
      </c>
    </row>
    <row r="8193">
      <c r="G8193">
        <f>G8192+0.0001</f>
        <v/>
      </c>
    </row>
    <row r="8194">
      <c r="G8194">
        <f>G8193+0.0001</f>
        <v/>
      </c>
    </row>
    <row r="8195">
      <c r="G8195">
        <f>G8194+0.0001</f>
        <v/>
      </c>
    </row>
    <row r="8196">
      <c r="G8196">
        <f>G8195+0.0001</f>
        <v/>
      </c>
    </row>
    <row r="8197">
      <c r="G8197">
        <f>G8196+0.0001</f>
        <v/>
      </c>
    </row>
    <row r="8198">
      <c r="G8198">
        <f>G8197+0.0001</f>
        <v/>
      </c>
    </row>
    <row r="8199">
      <c r="G8199">
        <f>G8198+0.0001</f>
        <v/>
      </c>
    </row>
    <row r="8200">
      <c r="G8200">
        <f>G8199+0.0001</f>
        <v/>
      </c>
    </row>
    <row r="8201">
      <c r="G8201">
        <f>G8200+0.0001</f>
        <v/>
      </c>
    </row>
    <row r="8202">
      <c r="G8202">
        <f>G8201+0.0001</f>
        <v/>
      </c>
    </row>
    <row r="8203">
      <c r="G8203">
        <f>G8202+0.0001</f>
        <v/>
      </c>
    </row>
    <row r="8204">
      <c r="G8204">
        <f>G8203+0.0001</f>
        <v/>
      </c>
    </row>
    <row r="8205">
      <c r="G8205">
        <f>G8204+0.0001</f>
        <v/>
      </c>
    </row>
    <row r="8206">
      <c r="G8206">
        <f>G8205+0.0001</f>
        <v/>
      </c>
    </row>
    <row r="8207">
      <c r="G8207">
        <f>G8206+0.0001</f>
        <v/>
      </c>
    </row>
    <row r="8208">
      <c r="G8208">
        <f>G8207+0.0001</f>
        <v/>
      </c>
    </row>
    <row r="8209">
      <c r="G8209">
        <f>G8208+0.0001</f>
        <v/>
      </c>
    </row>
    <row r="8210">
      <c r="G8210">
        <f>G8209+0.0001</f>
        <v/>
      </c>
    </row>
    <row r="8211">
      <c r="G8211">
        <f>G8210+0.0001</f>
        <v/>
      </c>
    </row>
    <row r="8212">
      <c r="G8212">
        <f>G8211+0.0001</f>
        <v/>
      </c>
    </row>
    <row r="8213">
      <c r="G8213">
        <f>G8212+0.0001</f>
        <v/>
      </c>
    </row>
    <row r="8214">
      <c r="G8214">
        <f>G8213+0.0001</f>
        <v/>
      </c>
    </row>
    <row r="8215">
      <c r="G8215">
        <f>G8214+0.0001</f>
        <v/>
      </c>
    </row>
    <row r="8216">
      <c r="G8216">
        <f>G8215+0.0001</f>
        <v/>
      </c>
    </row>
    <row r="8217">
      <c r="G8217">
        <f>G8216+0.0001</f>
        <v/>
      </c>
    </row>
    <row r="8218">
      <c r="G8218">
        <f>G8217+0.0001</f>
        <v/>
      </c>
    </row>
    <row r="8219">
      <c r="G8219">
        <f>G8218+0.0001</f>
        <v/>
      </c>
    </row>
    <row r="8220">
      <c r="G8220">
        <f>G8219+0.0001</f>
        <v/>
      </c>
    </row>
    <row r="8221">
      <c r="G8221">
        <f>G8220+0.0001</f>
        <v/>
      </c>
    </row>
    <row r="8222">
      <c r="G8222">
        <f>G8221+0.0001</f>
        <v/>
      </c>
    </row>
    <row r="8223">
      <c r="G8223">
        <f>G8222+0.0001</f>
        <v/>
      </c>
    </row>
    <row r="8224">
      <c r="G8224">
        <f>G8223+0.0001</f>
        <v/>
      </c>
    </row>
    <row r="8225">
      <c r="G8225">
        <f>G8224+0.0001</f>
        <v/>
      </c>
    </row>
    <row r="8226">
      <c r="G8226">
        <f>G8225+0.0001</f>
        <v/>
      </c>
    </row>
    <row r="8227">
      <c r="G8227">
        <f>G8226+0.0001</f>
        <v/>
      </c>
    </row>
    <row r="8228">
      <c r="G8228">
        <f>G8227+0.0001</f>
        <v/>
      </c>
    </row>
    <row r="8229">
      <c r="G8229">
        <f>G8228+0.0001</f>
        <v/>
      </c>
    </row>
    <row r="8230">
      <c r="G8230">
        <f>G8229+0.0001</f>
        <v/>
      </c>
    </row>
    <row r="8231">
      <c r="G8231">
        <f>G8230+0.0001</f>
        <v/>
      </c>
    </row>
    <row r="8232">
      <c r="G8232">
        <f>G8231+0.0001</f>
        <v/>
      </c>
    </row>
    <row r="8233">
      <c r="G8233">
        <f>G8232+0.0001</f>
        <v/>
      </c>
    </row>
    <row r="8234">
      <c r="G8234">
        <f>G8233+0.0001</f>
        <v/>
      </c>
    </row>
    <row r="8235">
      <c r="G8235">
        <f>G8234+0.0001</f>
        <v/>
      </c>
    </row>
    <row r="8236">
      <c r="G8236">
        <f>G8235+0.0001</f>
        <v/>
      </c>
    </row>
    <row r="8237">
      <c r="G8237">
        <f>G8236+0.0001</f>
        <v/>
      </c>
    </row>
    <row r="8238">
      <c r="G8238">
        <f>G8237+0.0001</f>
        <v/>
      </c>
    </row>
    <row r="8239">
      <c r="G8239">
        <f>G8238+0.0001</f>
        <v/>
      </c>
    </row>
    <row r="8240">
      <c r="G8240">
        <f>G8239+0.0001</f>
        <v/>
      </c>
    </row>
    <row r="8241">
      <c r="G8241">
        <f>G8240+0.0001</f>
        <v/>
      </c>
    </row>
    <row r="8242">
      <c r="G8242">
        <f>G8241+0.0001</f>
        <v/>
      </c>
    </row>
    <row r="8243">
      <c r="G8243">
        <f>G8242+0.0001</f>
        <v/>
      </c>
    </row>
    <row r="8244">
      <c r="G8244">
        <f>G8243+0.0001</f>
        <v/>
      </c>
    </row>
    <row r="8245">
      <c r="G8245">
        <f>G8244+0.0001</f>
        <v/>
      </c>
    </row>
    <row r="8246">
      <c r="G8246">
        <f>G8245+0.0001</f>
        <v/>
      </c>
    </row>
    <row r="8247">
      <c r="G8247">
        <f>G8246+0.0001</f>
        <v/>
      </c>
    </row>
    <row r="8248">
      <c r="G8248">
        <f>G8247+0.0001</f>
        <v/>
      </c>
    </row>
    <row r="8249">
      <c r="G8249">
        <f>G8248+0.0001</f>
        <v/>
      </c>
    </row>
    <row r="8250">
      <c r="G8250">
        <f>G8249+0.0001</f>
        <v/>
      </c>
    </row>
    <row r="8251">
      <c r="G8251">
        <f>G8250+0.0001</f>
        <v/>
      </c>
    </row>
    <row r="8252">
      <c r="G8252">
        <f>G8251+0.0001</f>
        <v/>
      </c>
    </row>
    <row r="8253">
      <c r="G8253">
        <f>G8252+0.0001</f>
        <v/>
      </c>
    </row>
    <row r="8254">
      <c r="G8254">
        <f>G8253+0.0001</f>
        <v/>
      </c>
    </row>
    <row r="8255">
      <c r="G8255">
        <f>G8254+0.0001</f>
        <v/>
      </c>
    </row>
    <row r="8256">
      <c r="G8256">
        <f>G8255+0.0001</f>
        <v/>
      </c>
    </row>
    <row r="8257">
      <c r="G8257">
        <f>G8256+0.0001</f>
        <v/>
      </c>
    </row>
    <row r="8258">
      <c r="G8258">
        <f>G8257+0.0001</f>
        <v/>
      </c>
    </row>
    <row r="8259">
      <c r="G8259">
        <f>G8258+0.0001</f>
        <v/>
      </c>
    </row>
    <row r="8260">
      <c r="G8260">
        <f>G8259+0.0001</f>
        <v/>
      </c>
    </row>
    <row r="8261">
      <c r="G8261">
        <f>G8260+0.0001</f>
        <v/>
      </c>
    </row>
    <row r="8262">
      <c r="G8262">
        <f>G8261+0.0001</f>
        <v/>
      </c>
    </row>
    <row r="8263">
      <c r="G8263">
        <f>G8262+0.0001</f>
        <v/>
      </c>
    </row>
    <row r="8264">
      <c r="G8264">
        <f>G8263+0.0001</f>
        <v/>
      </c>
    </row>
    <row r="8265">
      <c r="G8265">
        <f>G8264+0.0001</f>
        <v/>
      </c>
    </row>
    <row r="8266">
      <c r="G8266">
        <f>G8265+0.0001</f>
        <v/>
      </c>
    </row>
    <row r="8267">
      <c r="G8267">
        <f>G8266+0.0001</f>
        <v/>
      </c>
    </row>
    <row r="8268">
      <c r="G8268">
        <f>G8267+0.0001</f>
        <v/>
      </c>
    </row>
    <row r="8269">
      <c r="G8269">
        <f>G8268+0.0001</f>
        <v/>
      </c>
    </row>
    <row r="8270">
      <c r="G8270">
        <f>G8269+0.0001</f>
        <v/>
      </c>
    </row>
    <row r="8271">
      <c r="G8271">
        <f>G8270+0.0001</f>
        <v/>
      </c>
    </row>
    <row r="8272">
      <c r="G8272">
        <f>G8271+0.0001</f>
        <v/>
      </c>
    </row>
    <row r="8273">
      <c r="G8273">
        <f>G8272+0.0001</f>
        <v/>
      </c>
    </row>
    <row r="8274">
      <c r="G8274">
        <f>G8273+0.0001</f>
        <v/>
      </c>
    </row>
    <row r="8275">
      <c r="G8275">
        <f>G8274+0.0001</f>
        <v/>
      </c>
    </row>
    <row r="8276">
      <c r="G8276">
        <f>G8275+0.0001</f>
        <v/>
      </c>
    </row>
    <row r="8277">
      <c r="G8277">
        <f>G8276+0.0001</f>
        <v/>
      </c>
    </row>
    <row r="8278">
      <c r="G8278">
        <f>G8277+0.0001</f>
        <v/>
      </c>
    </row>
    <row r="8279">
      <c r="G8279">
        <f>G8278+0.0001</f>
        <v/>
      </c>
    </row>
    <row r="8280">
      <c r="G8280">
        <f>G8279+0.0001</f>
        <v/>
      </c>
    </row>
    <row r="8281">
      <c r="G8281">
        <f>G8280+0.0001</f>
        <v/>
      </c>
    </row>
    <row r="8282">
      <c r="G8282">
        <f>G8281+0.0001</f>
        <v/>
      </c>
    </row>
    <row r="8283">
      <c r="G8283">
        <f>G8282+0.0001</f>
        <v/>
      </c>
    </row>
    <row r="8284">
      <c r="G8284">
        <f>G8283+0.0001</f>
        <v/>
      </c>
    </row>
    <row r="8285">
      <c r="G8285">
        <f>G8284+0.0001</f>
        <v/>
      </c>
    </row>
    <row r="8286">
      <c r="G8286">
        <f>G8285+0.0001</f>
        <v/>
      </c>
    </row>
    <row r="8287">
      <c r="G8287">
        <f>G8286+0.0001</f>
        <v/>
      </c>
    </row>
    <row r="8288">
      <c r="G8288">
        <f>G8287+0.0001</f>
        <v/>
      </c>
    </row>
    <row r="8289">
      <c r="G8289">
        <f>G8288+0.0001</f>
        <v/>
      </c>
    </row>
    <row r="8290">
      <c r="G8290">
        <f>G8289+0.0001</f>
        <v/>
      </c>
    </row>
    <row r="8291">
      <c r="G8291">
        <f>G8290+0.0001</f>
        <v/>
      </c>
    </row>
    <row r="8292">
      <c r="G8292">
        <f>G8291+0.0001</f>
        <v/>
      </c>
    </row>
    <row r="8293">
      <c r="G8293">
        <f>G8292+0.0001</f>
        <v/>
      </c>
    </row>
    <row r="8294">
      <c r="G8294">
        <f>G8293+0.0001</f>
        <v/>
      </c>
    </row>
    <row r="8295">
      <c r="G8295">
        <f>G8294+0.0001</f>
        <v/>
      </c>
    </row>
    <row r="8296">
      <c r="G8296">
        <f>G8295+0.0001</f>
        <v/>
      </c>
    </row>
    <row r="8297">
      <c r="G8297">
        <f>G8296+0.0001</f>
        <v/>
      </c>
    </row>
    <row r="8298">
      <c r="G8298">
        <f>G8297+0.0001</f>
        <v/>
      </c>
    </row>
    <row r="8299">
      <c r="G8299">
        <f>G8298+0.0001</f>
        <v/>
      </c>
    </row>
    <row r="8300">
      <c r="G8300">
        <f>G8299+0.0001</f>
        <v/>
      </c>
    </row>
    <row r="8301">
      <c r="G8301">
        <f>G8300+0.0001</f>
        <v/>
      </c>
    </row>
    <row r="8302">
      <c r="G8302">
        <f>G8301+0.0001</f>
        <v/>
      </c>
    </row>
    <row r="8303">
      <c r="G8303">
        <f>G8302+0.0001</f>
        <v/>
      </c>
    </row>
    <row r="8304">
      <c r="G8304">
        <f>G8303+0.0001</f>
        <v/>
      </c>
    </row>
    <row r="8305">
      <c r="G8305">
        <f>G8304+0.0001</f>
        <v/>
      </c>
    </row>
    <row r="8306">
      <c r="G8306">
        <f>G8305+0.0001</f>
        <v/>
      </c>
    </row>
    <row r="8307">
      <c r="G8307">
        <f>G8306+0.0001</f>
        <v/>
      </c>
    </row>
    <row r="8308">
      <c r="G8308">
        <f>G8307+0.0001</f>
        <v/>
      </c>
    </row>
    <row r="8309">
      <c r="G8309">
        <f>G8308+0.0001</f>
        <v/>
      </c>
    </row>
    <row r="8310">
      <c r="G8310">
        <f>G8309+0.0001</f>
        <v/>
      </c>
    </row>
    <row r="8311">
      <c r="G8311">
        <f>G8310+0.0001</f>
        <v/>
      </c>
    </row>
    <row r="8312">
      <c r="G8312">
        <f>G8311+0.0001</f>
        <v/>
      </c>
    </row>
    <row r="8313">
      <c r="G8313">
        <f>G8312+0.0001</f>
        <v/>
      </c>
    </row>
    <row r="8314">
      <c r="G8314">
        <f>G8313+0.0001</f>
        <v/>
      </c>
    </row>
    <row r="8315">
      <c r="G8315">
        <f>G8314+0.0001</f>
        <v/>
      </c>
    </row>
    <row r="8316">
      <c r="G8316">
        <f>G8315+0.0001</f>
        <v/>
      </c>
    </row>
    <row r="8317">
      <c r="G8317">
        <f>G8316+0.0001</f>
        <v/>
      </c>
    </row>
    <row r="8318">
      <c r="G8318">
        <f>G8317+0.0001</f>
        <v/>
      </c>
    </row>
    <row r="8319">
      <c r="G8319">
        <f>G8318+0.0001</f>
        <v/>
      </c>
    </row>
    <row r="8320">
      <c r="G8320">
        <f>G8319+0.0001</f>
        <v/>
      </c>
    </row>
    <row r="8321">
      <c r="G8321">
        <f>G8320+0.0001</f>
        <v/>
      </c>
    </row>
    <row r="8322">
      <c r="G8322">
        <f>G8321+0.0001</f>
        <v/>
      </c>
    </row>
    <row r="8323">
      <c r="G8323">
        <f>G8322+0.0001</f>
        <v/>
      </c>
    </row>
    <row r="8324">
      <c r="G8324">
        <f>G8323+0.0001</f>
        <v/>
      </c>
    </row>
    <row r="8325">
      <c r="G8325">
        <f>G8324+0.0001</f>
        <v/>
      </c>
    </row>
    <row r="8326">
      <c r="G8326">
        <f>G8325+0.0001</f>
        <v/>
      </c>
    </row>
    <row r="8327">
      <c r="G8327">
        <f>G8326+0.0001</f>
        <v/>
      </c>
    </row>
    <row r="8328">
      <c r="G8328">
        <f>G8327+0.0001</f>
        <v/>
      </c>
    </row>
    <row r="8329">
      <c r="G8329">
        <f>G8328+0.0001</f>
        <v/>
      </c>
    </row>
    <row r="8330">
      <c r="G8330">
        <f>G8329+0.0001</f>
        <v/>
      </c>
    </row>
    <row r="8331">
      <c r="G8331">
        <f>G8330+0.0001</f>
        <v/>
      </c>
    </row>
    <row r="8332">
      <c r="G8332">
        <f>G8331+0.0001</f>
        <v/>
      </c>
    </row>
    <row r="8333">
      <c r="G8333">
        <f>G8332+0.0001</f>
        <v/>
      </c>
    </row>
    <row r="8334">
      <c r="G8334">
        <f>G8333+0.0001</f>
        <v/>
      </c>
    </row>
    <row r="8335">
      <c r="G8335">
        <f>G8334+0.0001</f>
        <v/>
      </c>
    </row>
    <row r="8336">
      <c r="G8336">
        <f>G8335+0.0001</f>
        <v/>
      </c>
    </row>
    <row r="8337">
      <c r="G8337">
        <f>G8336+0.0001</f>
        <v/>
      </c>
    </row>
    <row r="8338">
      <c r="G8338">
        <f>G8337+0.0001</f>
        <v/>
      </c>
    </row>
    <row r="8339">
      <c r="G8339">
        <f>G8338+0.0001</f>
        <v/>
      </c>
    </row>
    <row r="8340">
      <c r="G8340">
        <f>G8339+0.0001</f>
        <v/>
      </c>
    </row>
    <row r="8341">
      <c r="G8341">
        <f>G8340+0.0001</f>
        <v/>
      </c>
    </row>
    <row r="8342">
      <c r="G8342">
        <f>G8341+0.0001</f>
        <v/>
      </c>
    </row>
    <row r="8343">
      <c r="G8343">
        <f>G8342+0.0001</f>
        <v/>
      </c>
    </row>
    <row r="8344">
      <c r="G8344">
        <f>G8343+0.0001</f>
        <v/>
      </c>
    </row>
    <row r="8345">
      <c r="G8345">
        <f>G8344+0.0001</f>
        <v/>
      </c>
    </row>
    <row r="8346">
      <c r="G8346">
        <f>G8345+0.0001</f>
        <v/>
      </c>
    </row>
    <row r="8347">
      <c r="G8347">
        <f>G8346+0.0001</f>
        <v/>
      </c>
    </row>
    <row r="8348">
      <c r="G8348">
        <f>G8347+0.0001</f>
        <v/>
      </c>
    </row>
    <row r="8349">
      <c r="G8349">
        <f>G8348+0.0001</f>
        <v/>
      </c>
    </row>
    <row r="8350">
      <c r="G8350">
        <f>G8349+0.0001</f>
        <v/>
      </c>
    </row>
    <row r="8351">
      <c r="G8351">
        <f>G8350+0.0001</f>
        <v/>
      </c>
    </row>
    <row r="8352">
      <c r="G8352">
        <f>G8351+0.0001</f>
        <v/>
      </c>
    </row>
    <row r="8353">
      <c r="G8353">
        <f>G8352+0.0001</f>
        <v/>
      </c>
    </row>
    <row r="8354">
      <c r="G8354">
        <f>G8353+0.0001</f>
        <v/>
      </c>
    </row>
    <row r="8355">
      <c r="G8355">
        <f>G8354+0.0001</f>
        <v/>
      </c>
    </row>
    <row r="8356">
      <c r="G8356">
        <f>G8355+0.0001</f>
        <v/>
      </c>
    </row>
    <row r="8357">
      <c r="G8357">
        <f>G8356+0.0001</f>
        <v/>
      </c>
    </row>
    <row r="8358">
      <c r="G8358">
        <f>G8357+0.0001</f>
        <v/>
      </c>
    </row>
    <row r="8359">
      <c r="G8359">
        <f>G8358+0.0001</f>
        <v/>
      </c>
    </row>
    <row r="8360">
      <c r="G8360">
        <f>G8359+0.0001</f>
        <v/>
      </c>
    </row>
    <row r="8361">
      <c r="G8361">
        <f>G8360+0.0001</f>
        <v/>
      </c>
    </row>
    <row r="8362">
      <c r="G8362">
        <f>G8361+0.0001</f>
        <v/>
      </c>
    </row>
    <row r="8363">
      <c r="G8363">
        <f>G8362+0.0001</f>
        <v/>
      </c>
    </row>
    <row r="8364">
      <c r="G8364">
        <f>G8363+0.0001</f>
        <v/>
      </c>
    </row>
    <row r="8365">
      <c r="G8365">
        <f>G8364+0.0001</f>
        <v/>
      </c>
    </row>
    <row r="8366">
      <c r="G8366">
        <f>G8365+0.0001</f>
        <v/>
      </c>
    </row>
    <row r="8367">
      <c r="G8367">
        <f>G8366+0.0001</f>
        <v/>
      </c>
    </row>
    <row r="8368">
      <c r="G8368">
        <f>G8367+0.0001</f>
        <v/>
      </c>
    </row>
    <row r="8369">
      <c r="G8369">
        <f>G8368+0.0001</f>
        <v/>
      </c>
    </row>
    <row r="8370">
      <c r="G8370">
        <f>G8369+0.0001</f>
        <v/>
      </c>
    </row>
    <row r="8371">
      <c r="G8371">
        <f>G8370+0.0001</f>
        <v/>
      </c>
    </row>
    <row r="8372">
      <c r="G8372">
        <f>G8371+0.0001</f>
        <v/>
      </c>
    </row>
    <row r="8373">
      <c r="G8373">
        <f>G8372+0.0001</f>
        <v/>
      </c>
    </row>
    <row r="8374">
      <c r="G8374">
        <f>G8373+0.0001</f>
        <v/>
      </c>
    </row>
    <row r="8375">
      <c r="G8375">
        <f>G8374+0.0001</f>
        <v/>
      </c>
    </row>
    <row r="8376">
      <c r="G8376">
        <f>G8375+0.0001</f>
        <v/>
      </c>
    </row>
    <row r="8377">
      <c r="G8377">
        <f>G8376+0.0001</f>
        <v/>
      </c>
    </row>
    <row r="8378">
      <c r="G8378">
        <f>G8377+0.0001</f>
        <v/>
      </c>
    </row>
    <row r="8379">
      <c r="G8379">
        <f>G8378+0.0001</f>
        <v/>
      </c>
    </row>
    <row r="8380">
      <c r="G8380">
        <f>G8379+0.0001</f>
        <v/>
      </c>
    </row>
    <row r="8381">
      <c r="G8381">
        <f>G8380+0.0001</f>
        <v/>
      </c>
    </row>
    <row r="8382">
      <c r="G8382">
        <f>G8381+0.0001</f>
        <v/>
      </c>
    </row>
    <row r="8383">
      <c r="G8383">
        <f>G8382+0.0001</f>
        <v/>
      </c>
    </row>
    <row r="8384">
      <c r="G8384">
        <f>G8383+0.0001</f>
        <v/>
      </c>
    </row>
    <row r="8385">
      <c r="G8385">
        <f>G8384+0.0001</f>
        <v/>
      </c>
    </row>
    <row r="8386">
      <c r="G8386">
        <f>G8385+0.0001</f>
        <v/>
      </c>
    </row>
    <row r="8387">
      <c r="G8387">
        <f>G8386+0.0001</f>
        <v/>
      </c>
    </row>
    <row r="8388">
      <c r="G8388">
        <f>G8387+0.0001</f>
        <v/>
      </c>
    </row>
    <row r="8389">
      <c r="G8389">
        <f>G8388+0.0001</f>
        <v/>
      </c>
    </row>
    <row r="8390">
      <c r="G8390">
        <f>G8389+0.0001</f>
        <v/>
      </c>
    </row>
    <row r="8391">
      <c r="G8391">
        <f>G8390+0.0001</f>
        <v/>
      </c>
    </row>
    <row r="8392">
      <c r="G8392">
        <f>G8391+0.0001</f>
        <v/>
      </c>
    </row>
    <row r="8393">
      <c r="G8393">
        <f>G8392+0.0001</f>
        <v/>
      </c>
    </row>
    <row r="8394">
      <c r="G8394">
        <f>G8393+0.0001</f>
        <v/>
      </c>
    </row>
    <row r="8395">
      <c r="G8395">
        <f>G8394+0.0001</f>
        <v/>
      </c>
    </row>
    <row r="8396">
      <c r="G8396">
        <f>G8395+0.0001</f>
        <v/>
      </c>
    </row>
    <row r="8397">
      <c r="G8397">
        <f>G8396+0.0001</f>
        <v/>
      </c>
    </row>
    <row r="8398">
      <c r="G8398">
        <f>G8397+0.0001</f>
        <v/>
      </c>
    </row>
    <row r="8399">
      <c r="G8399">
        <f>G8398+0.0001</f>
        <v/>
      </c>
    </row>
    <row r="8400">
      <c r="G8400">
        <f>G8399+0.0001</f>
        <v/>
      </c>
    </row>
    <row r="8401">
      <c r="G8401">
        <f>G8400+0.0001</f>
        <v/>
      </c>
    </row>
    <row r="8402">
      <c r="G8402">
        <f>G8401+0.0001</f>
        <v/>
      </c>
    </row>
    <row r="8403">
      <c r="G8403">
        <f>G8402+0.0001</f>
        <v/>
      </c>
    </row>
    <row r="8404">
      <c r="G8404">
        <f>G8403+0.0001</f>
        <v/>
      </c>
    </row>
    <row r="8405">
      <c r="G8405">
        <f>G8404+0.0001</f>
        <v/>
      </c>
    </row>
    <row r="8406">
      <c r="G8406">
        <f>G8405+0.0001</f>
        <v/>
      </c>
    </row>
    <row r="8407">
      <c r="G8407">
        <f>G8406+0.0001</f>
        <v/>
      </c>
    </row>
    <row r="8408">
      <c r="G8408">
        <f>G8407+0.0001</f>
        <v/>
      </c>
    </row>
    <row r="8409">
      <c r="G8409">
        <f>G8408+0.0001</f>
        <v/>
      </c>
    </row>
    <row r="8410">
      <c r="G8410">
        <f>G8409+0.0001</f>
        <v/>
      </c>
    </row>
    <row r="8411">
      <c r="G8411">
        <f>G8410+0.0001</f>
        <v/>
      </c>
    </row>
    <row r="8412">
      <c r="G8412">
        <f>G8411+0.0001</f>
        <v/>
      </c>
    </row>
    <row r="8413">
      <c r="G8413">
        <f>G8412+0.0001</f>
        <v/>
      </c>
    </row>
    <row r="8414">
      <c r="G8414">
        <f>G8413+0.0001</f>
        <v/>
      </c>
    </row>
    <row r="8415">
      <c r="G8415">
        <f>G8414+0.0001</f>
        <v/>
      </c>
    </row>
    <row r="8416">
      <c r="G8416">
        <f>G8415+0.0001</f>
        <v/>
      </c>
    </row>
    <row r="8417">
      <c r="G8417">
        <f>G8416+0.0001</f>
        <v/>
      </c>
    </row>
    <row r="8418">
      <c r="G8418">
        <f>G8417+0.0001</f>
        <v/>
      </c>
    </row>
    <row r="8419">
      <c r="G8419">
        <f>G8418+0.0001</f>
        <v/>
      </c>
    </row>
    <row r="8420">
      <c r="G8420">
        <f>G8419+0.0001</f>
        <v/>
      </c>
    </row>
    <row r="8421">
      <c r="G8421">
        <f>G8420+0.0001</f>
        <v/>
      </c>
    </row>
    <row r="8422">
      <c r="G8422">
        <f>G8421+0.0001</f>
        <v/>
      </c>
    </row>
    <row r="8423">
      <c r="G8423">
        <f>G8422+0.0001</f>
        <v/>
      </c>
    </row>
    <row r="8424">
      <c r="G8424">
        <f>G8423+0.0001</f>
        <v/>
      </c>
    </row>
    <row r="8425">
      <c r="G8425">
        <f>G8424+0.0001</f>
        <v/>
      </c>
    </row>
    <row r="8426">
      <c r="G8426">
        <f>G8425+0.0001</f>
        <v/>
      </c>
    </row>
    <row r="8427">
      <c r="G8427">
        <f>G8426+0.0001</f>
        <v/>
      </c>
    </row>
    <row r="8428">
      <c r="G8428">
        <f>G8427+0.0001</f>
        <v/>
      </c>
    </row>
    <row r="8429">
      <c r="G8429">
        <f>G8428+0.0001</f>
        <v/>
      </c>
    </row>
    <row r="8430">
      <c r="G8430">
        <f>G8429+0.0001</f>
        <v/>
      </c>
    </row>
    <row r="8431">
      <c r="G8431">
        <f>G8430+0.0001</f>
        <v/>
      </c>
    </row>
    <row r="8432">
      <c r="G8432">
        <f>G8431+0.0001</f>
        <v/>
      </c>
    </row>
    <row r="8433">
      <c r="G8433">
        <f>G8432+0.0001</f>
        <v/>
      </c>
    </row>
    <row r="8434">
      <c r="G8434">
        <f>G8433+0.0001</f>
        <v/>
      </c>
    </row>
    <row r="8435">
      <c r="G8435">
        <f>G8434+0.0001</f>
        <v/>
      </c>
    </row>
    <row r="8436">
      <c r="G8436">
        <f>G8435+0.0001</f>
        <v/>
      </c>
    </row>
    <row r="8437">
      <c r="G8437">
        <f>G8436+0.0001</f>
        <v/>
      </c>
    </row>
    <row r="8438">
      <c r="G8438">
        <f>G8437+0.0001</f>
        <v/>
      </c>
    </row>
    <row r="8439">
      <c r="G8439">
        <f>G8438+0.0001</f>
        <v/>
      </c>
    </row>
    <row r="8440">
      <c r="G8440">
        <f>G8439+0.0001</f>
        <v/>
      </c>
    </row>
    <row r="8441">
      <c r="G8441">
        <f>G8440+0.0001</f>
        <v/>
      </c>
    </row>
    <row r="8442">
      <c r="G8442">
        <f>G8441+0.0001</f>
        <v/>
      </c>
    </row>
    <row r="8443">
      <c r="G8443">
        <f>G8442+0.0001</f>
        <v/>
      </c>
    </row>
    <row r="8444">
      <c r="G8444">
        <f>G8443+0.0001</f>
        <v/>
      </c>
    </row>
    <row r="8445">
      <c r="G8445">
        <f>G8444+0.0001</f>
        <v/>
      </c>
    </row>
    <row r="8446">
      <c r="G8446">
        <f>G8445+0.0001</f>
        <v/>
      </c>
    </row>
    <row r="8447">
      <c r="G8447">
        <f>G8446+0.0001</f>
        <v/>
      </c>
    </row>
    <row r="8448">
      <c r="G8448">
        <f>G8447+0.0001</f>
        <v/>
      </c>
    </row>
    <row r="8449">
      <c r="G8449">
        <f>G8448+0.0001</f>
        <v/>
      </c>
    </row>
    <row r="8450">
      <c r="G8450">
        <f>G8449+0.0001</f>
        <v/>
      </c>
    </row>
    <row r="8451">
      <c r="G8451">
        <f>G8450+0.0001</f>
        <v/>
      </c>
    </row>
    <row r="8452">
      <c r="G8452">
        <f>G8451+0.0001</f>
        <v/>
      </c>
    </row>
    <row r="8453">
      <c r="G8453">
        <f>G8452+0.0001</f>
        <v/>
      </c>
    </row>
    <row r="8454">
      <c r="G8454">
        <f>G8453+0.0001</f>
        <v/>
      </c>
    </row>
    <row r="8455">
      <c r="G8455">
        <f>G8454+0.0001</f>
        <v/>
      </c>
    </row>
    <row r="8456">
      <c r="G8456">
        <f>G8455+0.0001</f>
        <v/>
      </c>
    </row>
    <row r="8457">
      <c r="G8457">
        <f>G8456+0.0001</f>
        <v/>
      </c>
    </row>
    <row r="8458">
      <c r="G8458">
        <f>G8457+0.0001</f>
        <v/>
      </c>
    </row>
    <row r="8459">
      <c r="G8459">
        <f>G8458+0.0001</f>
        <v/>
      </c>
    </row>
    <row r="8460">
      <c r="G8460">
        <f>G8459+0.0001</f>
        <v/>
      </c>
    </row>
    <row r="8461">
      <c r="G8461">
        <f>G8460+0.0001</f>
        <v/>
      </c>
    </row>
    <row r="8462">
      <c r="G8462">
        <f>G8461+0.0001</f>
        <v/>
      </c>
    </row>
    <row r="8463">
      <c r="G8463">
        <f>G8462+0.0001</f>
        <v/>
      </c>
    </row>
    <row r="8464">
      <c r="G8464">
        <f>G8463+0.0001</f>
        <v/>
      </c>
    </row>
    <row r="8465">
      <c r="G8465">
        <f>G8464+0.0001</f>
        <v/>
      </c>
    </row>
    <row r="8466">
      <c r="G8466">
        <f>G8465+0.0001</f>
        <v/>
      </c>
    </row>
    <row r="8467">
      <c r="G8467">
        <f>G8466+0.0001</f>
        <v/>
      </c>
    </row>
    <row r="8468">
      <c r="G8468">
        <f>G8467+0.0001</f>
        <v/>
      </c>
    </row>
    <row r="8469">
      <c r="G8469">
        <f>G8468+0.0001</f>
        <v/>
      </c>
    </row>
    <row r="8470">
      <c r="G8470">
        <f>G8469+0.0001</f>
        <v/>
      </c>
    </row>
    <row r="8471">
      <c r="G8471">
        <f>G8470+0.0001</f>
        <v/>
      </c>
    </row>
    <row r="8472">
      <c r="G8472">
        <f>G8471+0.0001</f>
        <v/>
      </c>
    </row>
    <row r="8473">
      <c r="G8473">
        <f>G8472+0.0001</f>
        <v/>
      </c>
    </row>
    <row r="8474">
      <c r="G8474">
        <f>G8473+0.0001</f>
        <v/>
      </c>
    </row>
    <row r="8475">
      <c r="G8475">
        <f>G8474+0.0001</f>
        <v/>
      </c>
    </row>
    <row r="8476">
      <c r="G8476">
        <f>G8475+0.0001</f>
        <v/>
      </c>
    </row>
    <row r="8477">
      <c r="G8477">
        <f>G8476+0.0001</f>
        <v/>
      </c>
    </row>
    <row r="8478">
      <c r="G8478">
        <f>G8477+0.0001</f>
        <v/>
      </c>
    </row>
    <row r="8479">
      <c r="G8479">
        <f>G8478+0.0001</f>
        <v/>
      </c>
    </row>
    <row r="8480">
      <c r="G8480">
        <f>G8479+0.0001</f>
        <v/>
      </c>
    </row>
    <row r="8481">
      <c r="G8481">
        <f>G8480+0.0001</f>
        <v/>
      </c>
    </row>
    <row r="8482">
      <c r="G8482">
        <f>G8481+0.0001</f>
        <v/>
      </c>
    </row>
    <row r="8483">
      <c r="G8483">
        <f>G8482+0.0001</f>
        <v/>
      </c>
    </row>
    <row r="8484">
      <c r="G8484">
        <f>G8483+0.0001</f>
        <v/>
      </c>
    </row>
    <row r="8485">
      <c r="G8485">
        <f>G8484+0.0001</f>
        <v/>
      </c>
    </row>
    <row r="8486">
      <c r="G8486">
        <f>G8485+0.0001</f>
        <v/>
      </c>
    </row>
    <row r="8487">
      <c r="G8487">
        <f>G8486+0.0001</f>
        <v/>
      </c>
    </row>
    <row r="8488">
      <c r="G8488">
        <f>G8487+0.0001</f>
        <v/>
      </c>
    </row>
    <row r="8489">
      <c r="G8489">
        <f>G8488+0.0001</f>
        <v/>
      </c>
    </row>
    <row r="8490">
      <c r="G8490">
        <f>G8489+0.0001</f>
        <v/>
      </c>
    </row>
    <row r="8491">
      <c r="G8491">
        <f>G8490+0.0001</f>
        <v/>
      </c>
    </row>
    <row r="8492">
      <c r="G8492">
        <f>G8491+0.0001</f>
        <v/>
      </c>
    </row>
    <row r="8493">
      <c r="G8493">
        <f>G8492+0.0001</f>
        <v/>
      </c>
    </row>
    <row r="8494">
      <c r="G8494">
        <f>G8493+0.0001</f>
        <v/>
      </c>
    </row>
    <row r="8495">
      <c r="G8495">
        <f>G8494+0.0001</f>
        <v/>
      </c>
    </row>
    <row r="8496">
      <c r="G8496">
        <f>G8495+0.0001</f>
        <v/>
      </c>
    </row>
    <row r="8497">
      <c r="G8497">
        <f>G8496+0.0001</f>
        <v/>
      </c>
    </row>
    <row r="8498">
      <c r="G8498">
        <f>G8497+0.0001</f>
        <v/>
      </c>
    </row>
    <row r="8499">
      <c r="G8499">
        <f>G8498+0.0001</f>
        <v/>
      </c>
    </row>
    <row r="8500">
      <c r="G8500">
        <f>G8499+0.0001</f>
        <v/>
      </c>
    </row>
    <row r="8501">
      <c r="G8501">
        <f>G8500+0.0001</f>
        <v/>
      </c>
    </row>
    <row r="8502">
      <c r="G8502">
        <f>G8501+0.0001</f>
        <v/>
      </c>
    </row>
    <row r="8503">
      <c r="G8503">
        <f>G8502+0.0001</f>
        <v/>
      </c>
    </row>
    <row r="8504">
      <c r="G8504">
        <f>G8503+0.0001</f>
        <v/>
      </c>
    </row>
    <row r="8505">
      <c r="G8505">
        <f>G8504+0.0001</f>
        <v/>
      </c>
    </row>
    <row r="8506">
      <c r="G8506">
        <f>G8505+0.0001</f>
        <v/>
      </c>
    </row>
    <row r="8507">
      <c r="G8507">
        <f>G8506+0.0001</f>
        <v/>
      </c>
    </row>
    <row r="8508">
      <c r="G8508">
        <f>G8507+0.0001</f>
        <v/>
      </c>
    </row>
    <row r="8509">
      <c r="G8509">
        <f>G8508+0.0001</f>
        <v/>
      </c>
    </row>
    <row r="8510">
      <c r="G8510">
        <f>G8509+0.0001</f>
        <v/>
      </c>
    </row>
    <row r="8511">
      <c r="G8511">
        <f>G8510+0.0001</f>
        <v/>
      </c>
    </row>
    <row r="8512">
      <c r="G8512">
        <f>G8511+0.0001</f>
        <v/>
      </c>
    </row>
    <row r="8513">
      <c r="G8513">
        <f>G8512+0.0001</f>
        <v/>
      </c>
    </row>
    <row r="8514">
      <c r="G8514">
        <f>G8513+0.0001</f>
        <v/>
      </c>
    </row>
    <row r="8515">
      <c r="G8515">
        <f>G8514+0.0001</f>
        <v/>
      </c>
    </row>
    <row r="8516">
      <c r="G8516">
        <f>G8515+0.0001</f>
        <v/>
      </c>
    </row>
    <row r="8517">
      <c r="G8517">
        <f>G8516+0.0001</f>
        <v/>
      </c>
    </row>
    <row r="8518">
      <c r="G8518">
        <f>G8517+0.0001</f>
        <v/>
      </c>
    </row>
    <row r="8519">
      <c r="G8519">
        <f>G8518+0.0001</f>
        <v/>
      </c>
    </row>
    <row r="8520">
      <c r="G8520">
        <f>G8519+0.0001</f>
        <v/>
      </c>
    </row>
    <row r="8521">
      <c r="G8521">
        <f>G8520+0.0001</f>
        <v/>
      </c>
    </row>
    <row r="8522">
      <c r="G8522">
        <f>G8521+0.0001</f>
        <v/>
      </c>
    </row>
    <row r="8523">
      <c r="G8523">
        <f>G8522+0.0001</f>
        <v/>
      </c>
    </row>
    <row r="8524">
      <c r="G8524">
        <f>G8523+0.0001</f>
        <v/>
      </c>
    </row>
    <row r="8525">
      <c r="G8525">
        <f>G8524+0.0001</f>
        <v/>
      </c>
    </row>
    <row r="8526">
      <c r="G8526">
        <f>G8525+0.0001</f>
        <v/>
      </c>
    </row>
    <row r="8527">
      <c r="G8527">
        <f>G8526+0.0001</f>
        <v/>
      </c>
    </row>
    <row r="8528">
      <c r="G8528">
        <f>G8527+0.0001</f>
        <v/>
      </c>
    </row>
    <row r="8529">
      <c r="G8529">
        <f>G8528+0.0001</f>
        <v/>
      </c>
    </row>
    <row r="8530">
      <c r="G8530">
        <f>G8529+0.0001</f>
        <v/>
      </c>
    </row>
    <row r="8531">
      <c r="G8531">
        <f>G8530+0.0001</f>
        <v/>
      </c>
    </row>
    <row r="8532">
      <c r="G8532">
        <f>G8531+0.0001</f>
        <v/>
      </c>
    </row>
    <row r="8533">
      <c r="G8533">
        <f>G8532+0.0001</f>
        <v/>
      </c>
    </row>
    <row r="8534">
      <c r="G8534">
        <f>G8533+0.0001</f>
        <v/>
      </c>
    </row>
    <row r="8535">
      <c r="G8535">
        <f>G8534+0.0001</f>
        <v/>
      </c>
    </row>
    <row r="8536">
      <c r="G8536">
        <f>G8535+0.0001</f>
        <v/>
      </c>
    </row>
    <row r="8537">
      <c r="G8537">
        <f>G8536+0.0001</f>
        <v/>
      </c>
    </row>
    <row r="8538">
      <c r="G8538">
        <f>G8537+0.0001</f>
        <v/>
      </c>
    </row>
    <row r="8539">
      <c r="G8539">
        <f>G8538+0.0001</f>
        <v/>
      </c>
    </row>
    <row r="8540">
      <c r="G8540">
        <f>G8539+0.0001</f>
        <v/>
      </c>
    </row>
    <row r="8541">
      <c r="G8541">
        <f>G8540+0.0001</f>
        <v/>
      </c>
    </row>
    <row r="8542">
      <c r="G8542">
        <f>G8541+0.0001</f>
        <v/>
      </c>
    </row>
    <row r="8543">
      <c r="G8543">
        <f>G8542+0.0001</f>
        <v/>
      </c>
    </row>
    <row r="8544">
      <c r="G8544">
        <f>G8543+0.0001</f>
        <v/>
      </c>
    </row>
    <row r="8545">
      <c r="G8545">
        <f>G8544+0.0001</f>
        <v/>
      </c>
    </row>
    <row r="8546">
      <c r="G8546">
        <f>G8545+0.0001</f>
        <v/>
      </c>
    </row>
    <row r="8547">
      <c r="G8547">
        <f>G8546+0.0001</f>
        <v/>
      </c>
    </row>
    <row r="8548">
      <c r="G8548">
        <f>G8547+0.0001</f>
        <v/>
      </c>
    </row>
    <row r="8549">
      <c r="G8549">
        <f>G8548+0.0001</f>
        <v/>
      </c>
    </row>
    <row r="8550">
      <c r="G8550">
        <f>G8549+0.0001</f>
        <v/>
      </c>
    </row>
    <row r="8551">
      <c r="G8551">
        <f>G8550+0.0001</f>
        <v/>
      </c>
    </row>
    <row r="8552">
      <c r="G8552">
        <f>G8551+0.0001</f>
        <v/>
      </c>
    </row>
    <row r="8553">
      <c r="G8553">
        <f>G8552+0.0001</f>
        <v/>
      </c>
    </row>
    <row r="8554">
      <c r="G8554">
        <f>G8553+0.0001</f>
        <v/>
      </c>
    </row>
    <row r="8555">
      <c r="G8555">
        <f>G8554+0.0001</f>
        <v/>
      </c>
    </row>
    <row r="8556">
      <c r="G8556">
        <f>G8555+0.0001</f>
        <v/>
      </c>
    </row>
    <row r="8557">
      <c r="G8557">
        <f>G8556+0.0001</f>
        <v/>
      </c>
    </row>
    <row r="8558">
      <c r="G8558">
        <f>G8557+0.0001</f>
        <v/>
      </c>
    </row>
    <row r="8559">
      <c r="G8559">
        <f>G8558+0.0001</f>
        <v/>
      </c>
    </row>
    <row r="8560">
      <c r="G8560">
        <f>G8559+0.0001</f>
        <v/>
      </c>
    </row>
    <row r="8561">
      <c r="G8561">
        <f>G8560+0.0001</f>
        <v/>
      </c>
    </row>
    <row r="8562">
      <c r="G8562">
        <f>G8561+0.0001</f>
        <v/>
      </c>
    </row>
    <row r="8563">
      <c r="G8563">
        <f>G8562+0.0001</f>
        <v/>
      </c>
    </row>
    <row r="8564">
      <c r="G8564">
        <f>G8563+0.0001</f>
        <v/>
      </c>
    </row>
    <row r="8565">
      <c r="G8565">
        <f>G8564+0.0001</f>
        <v/>
      </c>
    </row>
    <row r="8566">
      <c r="G8566">
        <f>G8565+0.0001</f>
        <v/>
      </c>
    </row>
    <row r="8567">
      <c r="G8567">
        <f>G8566+0.0001</f>
        <v/>
      </c>
    </row>
    <row r="8568">
      <c r="G8568">
        <f>G8567+0.0001</f>
        <v/>
      </c>
    </row>
    <row r="8569">
      <c r="G8569">
        <f>G8568+0.0001</f>
        <v/>
      </c>
    </row>
    <row r="8570">
      <c r="G8570">
        <f>G8569+0.0001</f>
        <v/>
      </c>
    </row>
    <row r="8571">
      <c r="G8571">
        <f>G8570+0.0001</f>
        <v/>
      </c>
    </row>
    <row r="8572">
      <c r="G8572">
        <f>G8571+0.0001</f>
        <v/>
      </c>
    </row>
    <row r="8573">
      <c r="G8573">
        <f>G8572+0.0001</f>
        <v/>
      </c>
    </row>
    <row r="8574">
      <c r="G8574">
        <f>G8573+0.0001</f>
        <v/>
      </c>
    </row>
    <row r="8575">
      <c r="G8575">
        <f>G8574+0.0001</f>
        <v/>
      </c>
    </row>
    <row r="8576">
      <c r="G8576">
        <f>G8575+0.0001</f>
        <v/>
      </c>
    </row>
    <row r="8577">
      <c r="G8577">
        <f>G8576+0.0001</f>
        <v/>
      </c>
    </row>
    <row r="8578">
      <c r="G8578">
        <f>G8577+0.0001</f>
        <v/>
      </c>
    </row>
    <row r="8579">
      <c r="G8579">
        <f>G8578+0.0001</f>
        <v/>
      </c>
    </row>
    <row r="8580">
      <c r="G8580">
        <f>G8579+0.0001</f>
        <v/>
      </c>
    </row>
    <row r="8581">
      <c r="G8581">
        <f>G8580+0.0001</f>
        <v/>
      </c>
    </row>
    <row r="8582">
      <c r="G8582">
        <f>G8581+0.0001</f>
        <v/>
      </c>
    </row>
    <row r="8583">
      <c r="G8583">
        <f>G8582+0.0001</f>
        <v/>
      </c>
    </row>
    <row r="8584">
      <c r="G8584">
        <f>G8583+0.0001</f>
        <v/>
      </c>
    </row>
    <row r="8585">
      <c r="G8585">
        <f>G8584+0.0001</f>
        <v/>
      </c>
    </row>
    <row r="8586">
      <c r="G8586">
        <f>G8585+0.0001</f>
        <v/>
      </c>
    </row>
    <row r="8587">
      <c r="G8587">
        <f>G8586+0.0001</f>
        <v/>
      </c>
    </row>
    <row r="8588">
      <c r="G8588">
        <f>G8587+0.0001</f>
        <v/>
      </c>
    </row>
    <row r="8589">
      <c r="G8589">
        <f>G8588+0.0001</f>
        <v/>
      </c>
    </row>
    <row r="8590">
      <c r="G8590">
        <f>G8589+0.0001</f>
        <v/>
      </c>
    </row>
    <row r="8591">
      <c r="G8591">
        <f>G8590+0.0001</f>
        <v/>
      </c>
    </row>
    <row r="8592">
      <c r="G8592">
        <f>G8591+0.0001</f>
        <v/>
      </c>
    </row>
    <row r="8593">
      <c r="G8593">
        <f>G8592+0.0001</f>
        <v/>
      </c>
    </row>
    <row r="8594">
      <c r="G8594">
        <f>G8593+0.0001</f>
        <v/>
      </c>
    </row>
    <row r="8595">
      <c r="G8595">
        <f>G8594+0.0001</f>
        <v/>
      </c>
    </row>
    <row r="8596">
      <c r="G8596">
        <f>G8595+0.0001</f>
        <v/>
      </c>
    </row>
    <row r="8597">
      <c r="G8597">
        <f>G8596+0.0001</f>
        <v/>
      </c>
    </row>
    <row r="8598">
      <c r="G8598">
        <f>G8597+0.0001</f>
        <v/>
      </c>
    </row>
    <row r="8599">
      <c r="G8599">
        <f>G8598+0.0001</f>
        <v/>
      </c>
    </row>
    <row r="8600">
      <c r="G8600">
        <f>G8599+0.0001</f>
        <v/>
      </c>
    </row>
    <row r="8601">
      <c r="G8601">
        <f>G8600+0.0001</f>
        <v/>
      </c>
    </row>
    <row r="8602">
      <c r="G8602">
        <f>G8601+0.0001</f>
        <v/>
      </c>
    </row>
    <row r="8603">
      <c r="G8603">
        <f>G8602+0.0001</f>
        <v/>
      </c>
    </row>
    <row r="8604">
      <c r="G8604">
        <f>G8603+0.0001</f>
        <v/>
      </c>
    </row>
    <row r="8605">
      <c r="G8605">
        <f>G8604+0.0001</f>
        <v/>
      </c>
    </row>
    <row r="8606">
      <c r="G8606">
        <f>G8605+0.0001</f>
        <v/>
      </c>
    </row>
    <row r="8607">
      <c r="G8607">
        <f>G8606+0.0001</f>
        <v/>
      </c>
    </row>
    <row r="8608">
      <c r="G8608">
        <f>G8607+0.0001</f>
        <v/>
      </c>
    </row>
    <row r="8609">
      <c r="G8609">
        <f>G8608+0.0001</f>
        <v/>
      </c>
    </row>
    <row r="8610">
      <c r="G8610">
        <f>G8609+0.0001</f>
        <v/>
      </c>
    </row>
    <row r="8611">
      <c r="G8611">
        <f>G8610+0.0001</f>
        <v/>
      </c>
    </row>
    <row r="8612">
      <c r="G8612">
        <f>G8611+0.0001</f>
        <v/>
      </c>
    </row>
    <row r="8613">
      <c r="G8613">
        <f>G8612+0.0001</f>
        <v/>
      </c>
    </row>
    <row r="8614">
      <c r="G8614">
        <f>G8613+0.0001</f>
        <v/>
      </c>
    </row>
    <row r="8615">
      <c r="G8615">
        <f>G8614+0.0001</f>
        <v/>
      </c>
    </row>
    <row r="8616">
      <c r="G8616">
        <f>G8615+0.0001</f>
        <v/>
      </c>
    </row>
    <row r="8617">
      <c r="G8617">
        <f>G8616+0.0001</f>
        <v/>
      </c>
    </row>
    <row r="8618">
      <c r="G8618">
        <f>G8617+0.0001</f>
        <v/>
      </c>
    </row>
    <row r="8619">
      <c r="G8619">
        <f>G8618+0.0001</f>
        <v/>
      </c>
    </row>
    <row r="8620">
      <c r="G8620">
        <f>G8619+0.0001</f>
        <v/>
      </c>
    </row>
    <row r="8621">
      <c r="G8621">
        <f>G8620+0.0001</f>
        <v/>
      </c>
    </row>
    <row r="8622">
      <c r="G8622">
        <f>G8621+0.0001</f>
        <v/>
      </c>
    </row>
    <row r="8623">
      <c r="G8623">
        <f>G8622+0.0001</f>
        <v/>
      </c>
    </row>
    <row r="8624">
      <c r="G8624">
        <f>G8623+0.0001</f>
        <v/>
      </c>
    </row>
    <row r="8625">
      <c r="G8625">
        <f>G8624+0.0001</f>
        <v/>
      </c>
    </row>
    <row r="8626">
      <c r="G8626">
        <f>G8625+0.0001</f>
        <v/>
      </c>
    </row>
    <row r="8627">
      <c r="G8627">
        <f>G8626+0.0001</f>
        <v/>
      </c>
    </row>
    <row r="8628">
      <c r="G8628">
        <f>G8627+0.0001</f>
        <v/>
      </c>
    </row>
    <row r="8629">
      <c r="G8629">
        <f>G8628+0.0001</f>
        <v/>
      </c>
    </row>
    <row r="8630">
      <c r="G8630">
        <f>G8629+0.0001</f>
        <v/>
      </c>
    </row>
    <row r="8631">
      <c r="G8631">
        <f>G8630+0.0001</f>
        <v/>
      </c>
    </row>
    <row r="8632">
      <c r="G8632">
        <f>G8631+0.0001</f>
        <v/>
      </c>
    </row>
    <row r="8633">
      <c r="G8633">
        <f>G8632+0.0001</f>
        <v/>
      </c>
    </row>
    <row r="8634">
      <c r="G8634">
        <f>G8633+0.0001</f>
        <v/>
      </c>
    </row>
    <row r="8635">
      <c r="G8635">
        <f>G8634+0.0001</f>
        <v/>
      </c>
    </row>
    <row r="8636">
      <c r="G8636">
        <f>G8635+0.0001</f>
        <v/>
      </c>
    </row>
    <row r="8637">
      <c r="G8637">
        <f>G8636+0.0001</f>
        <v/>
      </c>
    </row>
    <row r="8638">
      <c r="G8638">
        <f>G8637+0.0001</f>
        <v/>
      </c>
    </row>
    <row r="8639">
      <c r="G8639">
        <f>G8638+0.0001</f>
        <v/>
      </c>
    </row>
    <row r="8640">
      <c r="G8640">
        <f>G8639+0.0001</f>
        <v/>
      </c>
    </row>
    <row r="8641">
      <c r="G8641">
        <f>G8640+0.0001</f>
        <v/>
      </c>
    </row>
    <row r="8642">
      <c r="G8642">
        <f>G8641+0.0001</f>
        <v/>
      </c>
    </row>
    <row r="8643">
      <c r="G8643">
        <f>G8642+0.0001</f>
        <v/>
      </c>
    </row>
    <row r="8644">
      <c r="G8644">
        <f>G8643+0.0001</f>
        <v/>
      </c>
    </row>
    <row r="8645">
      <c r="G8645">
        <f>G8644+0.0001</f>
        <v/>
      </c>
    </row>
    <row r="8646">
      <c r="G8646">
        <f>G8645+0.0001</f>
        <v/>
      </c>
    </row>
    <row r="8647">
      <c r="G8647">
        <f>G8646+0.0001</f>
        <v/>
      </c>
    </row>
    <row r="8648">
      <c r="G8648">
        <f>G8647+0.0001</f>
        <v/>
      </c>
    </row>
    <row r="8649">
      <c r="G8649">
        <f>G8648+0.0001</f>
        <v/>
      </c>
    </row>
    <row r="8650">
      <c r="G8650">
        <f>G8649+0.0001</f>
        <v/>
      </c>
    </row>
    <row r="8651">
      <c r="G8651">
        <f>G8650+0.0001</f>
        <v/>
      </c>
    </row>
    <row r="8652">
      <c r="G8652">
        <f>G8651+0.0001</f>
        <v/>
      </c>
    </row>
    <row r="8653">
      <c r="G8653">
        <f>G8652+0.0001</f>
        <v/>
      </c>
    </row>
    <row r="8654">
      <c r="G8654">
        <f>G8653+0.0001</f>
        <v/>
      </c>
    </row>
    <row r="8655">
      <c r="G8655">
        <f>G8654+0.0001</f>
        <v/>
      </c>
    </row>
    <row r="8656">
      <c r="G8656">
        <f>G8655+0.0001</f>
        <v/>
      </c>
    </row>
    <row r="8657">
      <c r="G8657">
        <f>G8656+0.0001</f>
        <v/>
      </c>
    </row>
    <row r="8658">
      <c r="G8658">
        <f>G8657+0.0001</f>
        <v/>
      </c>
    </row>
    <row r="8659">
      <c r="G8659">
        <f>G8658+0.0001</f>
        <v/>
      </c>
    </row>
    <row r="8660">
      <c r="G8660">
        <f>G8659+0.0001</f>
        <v/>
      </c>
    </row>
    <row r="8661">
      <c r="G8661">
        <f>G8660+0.0001</f>
        <v/>
      </c>
    </row>
    <row r="8662">
      <c r="G8662">
        <f>G8661+0.0001</f>
        <v/>
      </c>
    </row>
    <row r="8663">
      <c r="G8663">
        <f>G8662+0.0001</f>
        <v/>
      </c>
    </row>
    <row r="8664">
      <c r="G8664">
        <f>G8663+0.0001</f>
        <v/>
      </c>
    </row>
    <row r="8665">
      <c r="G8665">
        <f>G8664+0.0001</f>
        <v/>
      </c>
    </row>
    <row r="8666">
      <c r="G8666">
        <f>G8665+0.0001</f>
        <v/>
      </c>
    </row>
    <row r="8667">
      <c r="G8667">
        <f>G8666+0.0001</f>
        <v/>
      </c>
    </row>
    <row r="8668">
      <c r="G8668">
        <f>G8667+0.0001</f>
        <v/>
      </c>
    </row>
    <row r="8669">
      <c r="G8669">
        <f>G8668+0.0001</f>
        <v/>
      </c>
    </row>
    <row r="8670">
      <c r="G8670">
        <f>G8669+0.0001</f>
        <v/>
      </c>
    </row>
    <row r="8671">
      <c r="G8671">
        <f>G8670+0.0001</f>
        <v/>
      </c>
    </row>
    <row r="8672">
      <c r="G8672">
        <f>G8671+0.0001</f>
        <v/>
      </c>
    </row>
    <row r="8673">
      <c r="G8673">
        <f>G8672+0.0001</f>
        <v/>
      </c>
    </row>
    <row r="8674">
      <c r="G8674">
        <f>G8673+0.0001</f>
        <v/>
      </c>
    </row>
    <row r="8675">
      <c r="G8675">
        <f>G8674+0.0001</f>
        <v/>
      </c>
    </row>
    <row r="8676">
      <c r="G8676">
        <f>G8675+0.0001</f>
        <v/>
      </c>
    </row>
    <row r="8677">
      <c r="G8677">
        <f>G8676+0.0001</f>
        <v/>
      </c>
    </row>
    <row r="8678">
      <c r="G8678">
        <f>G8677+0.0001</f>
        <v/>
      </c>
    </row>
    <row r="8679">
      <c r="G8679">
        <f>G8678+0.0001</f>
        <v/>
      </c>
    </row>
    <row r="8680">
      <c r="G8680">
        <f>G8679+0.0001</f>
        <v/>
      </c>
    </row>
    <row r="8681">
      <c r="G8681">
        <f>G8680+0.0001</f>
        <v/>
      </c>
    </row>
    <row r="8682">
      <c r="G8682">
        <f>G8681+0.0001</f>
        <v/>
      </c>
    </row>
    <row r="8683">
      <c r="G8683">
        <f>G8682+0.0001</f>
        <v/>
      </c>
    </row>
    <row r="8684">
      <c r="G8684">
        <f>G8683+0.0001</f>
        <v/>
      </c>
    </row>
    <row r="8685">
      <c r="G8685">
        <f>G8684+0.0001</f>
        <v/>
      </c>
    </row>
    <row r="8686">
      <c r="G8686">
        <f>G8685+0.0001</f>
        <v/>
      </c>
    </row>
    <row r="8687">
      <c r="G8687">
        <f>G8686+0.0001</f>
        <v/>
      </c>
    </row>
    <row r="8688">
      <c r="G8688">
        <f>G8687+0.0001</f>
        <v/>
      </c>
    </row>
    <row r="8689">
      <c r="G8689">
        <f>G8688+0.0001</f>
        <v/>
      </c>
    </row>
    <row r="8690">
      <c r="G8690">
        <f>G8689+0.0001</f>
        <v/>
      </c>
    </row>
    <row r="8691">
      <c r="G8691">
        <f>G8690+0.0001</f>
        <v/>
      </c>
    </row>
    <row r="8692">
      <c r="G8692">
        <f>G8691+0.0001</f>
        <v/>
      </c>
    </row>
    <row r="8693">
      <c r="G8693">
        <f>G8692+0.0001</f>
        <v/>
      </c>
    </row>
    <row r="8694">
      <c r="G8694">
        <f>G8693+0.0001</f>
        <v/>
      </c>
    </row>
    <row r="8695">
      <c r="G8695">
        <f>G8694+0.0001</f>
        <v/>
      </c>
    </row>
    <row r="8696">
      <c r="G8696">
        <f>G8695+0.0001</f>
        <v/>
      </c>
    </row>
    <row r="8697">
      <c r="G8697">
        <f>G8696+0.0001</f>
        <v/>
      </c>
    </row>
    <row r="8698">
      <c r="G8698">
        <f>G8697+0.0001</f>
        <v/>
      </c>
    </row>
    <row r="8699">
      <c r="G8699">
        <f>G8698+0.0001</f>
        <v/>
      </c>
    </row>
    <row r="8700">
      <c r="G8700">
        <f>G8699+0.0001</f>
        <v/>
      </c>
    </row>
    <row r="8701">
      <c r="G8701">
        <f>G8700+0.0001</f>
        <v/>
      </c>
    </row>
    <row r="8702">
      <c r="G8702">
        <f>G8701+0.0001</f>
        <v/>
      </c>
    </row>
    <row r="8703">
      <c r="G8703">
        <f>G8702+0.0001</f>
        <v/>
      </c>
    </row>
    <row r="8704">
      <c r="G8704">
        <f>G8703+0.0001</f>
        <v/>
      </c>
    </row>
    <row r="8705">
      <c r="G8705">
        <f>G8704+0.0001</f>
        <v/>
      </c>
    </row>
    <row r="8706">
      <c r="G8706">
        <f>G8705+0.0001</f>
        <v/>
      </c>
    </row>
    <row r="8707">
      <c r="G8707">
        <f>G8706+0.0001</f>
        <v/>
      </c>
    </row>
    <row r="8708">
      <c r="G8708">
        <f>G8707+0.0001</f>
        <v/>
      </c>
    </row>
    <row r="8709">
      <c r="G8709">
        <f>G8708+0.0001</f>
        <v/>
      </c>
    </row>
    <row r="8710">
      <c r="G8710">
        <f>G8709+0.0001</f>
        <v/>
      </c>
    </row>
    <row r="8711">
      <c r="G8711">
        <f>G8710+0.0001</f>
        <v/>
      </c>
    </row>
    <row r="8712">
      <c r="G8712">
        <f>G8711+0.0001</f>
        <v/>
      </c>
    </row>
    <row r="8713">
      <c r="G8713">
        <f>G8712+0.0001</f>
        <v/>
      </c>
    </row>
    <row r="8714">
      <c r="G8714">
        <f>G8713+0.0001</f>
        <v/>
      </c>
    </row>
    <row r="8715">
      <c r="G8715">
        <f>G8714+0.0001</f>
        <v/>
      </c>
    </row>
    <row r="8716">
      <c r="G8716">
        <f>G8715+0.0001</f>
        <v/>
      </c>
    </row>
    <row r="8717">
      <c r="G8717">
        <f>G8716+0.0001</f>
        <v/>
      </c>
    </row>
    <row r="8718">
      <c r="G8718">
        <f>G8717+0.0001</f>
        <v/>
      </c>
    </row>
    <row r="8719">
      <c r="G8719">
        <f>G8718+0.0001</f>
        <v/>
      </c>
    </row>
    <row r="8720">
      <c r="G8720">
        <f>G8719+0.0001</f>
        <v/>
      </c>
    </row>
    <row r="8721">
      <c r="G8721">
        <f>G8720+0.0001</f>
        <v/>
      </c>
    </row>
    <row r="8722">
      <c r="G8722">
        <f>G8721+0.0001</f>
        <v/>
      </c>
    </row>
    <row r="8723">
      <c r="G8723">
        <f>G8722+0.0001</f>
        <v/>
      </c>
    </row>
    <row r="8724">
      <c r="G8724">
        <f>G8723+0.0001</f>
        <v/>
      </c>
    </row>
    <row r="8725">
      <c r="G8725">
        <f>G8724+0.0001</f>
        <v/>
      </c>
    </row>
    <row r="8726">
      <c r="G8726">
        <f>G8725+0.0001</f>
        <v/>
      </c>
    </row>
    <row r="8727">
      <c r="G8727">
        <f>G8726+0.0001</f>
        <v/>
      </c>
    </row>
    <row r="8728">
      <c r="G8728">
        <f>G8727+0.0001</f>
        <v/>
      </c>
    </row>
    <row r="8729">
      <c r="G8729">
        <f>G8728+0.0001</f>
        <v/>
      </c>
    </row>
    <row r="8730">
      <c r="G8730">
        <f>G8729+0.0001</f>
        <v/>
      </c>
    </row>
    <row r="8731">
      <c r="G8731">
        <f>G8730+0.0001</f>
        <v/>
      </c>
    </row>
    <row r="8732">
      <c r="G8732">
        <f>G8731+0.0001</f>
        <v/>
      </c>
    </row>
    <row r="8733">
      <c r="G8733">
        <f>G8732+0.0001</f>
        <v/>
      </c>
    </row>
    <row r="8734">
      <c r="G8734">
        <f>G8733+0.0001</f>
        <v/>
      </c>
    </row>
    <row r="8735">
      <c r="G8735">
        <f>G8734+0.0001</f>
        <v/>
      </c>
    </row>
    <row r="8736">
      <c r="G8736">
        <f>G8735+0.0001</f>
        <v/>
      </c>
    </row>
    <row r="8737">
      <c r="G8737">
        <f>G8736+0.0001</f>
        <v/>
      </c>
    </row>
    <row r="8738">
      <c r="G8738">
        <f>G8737+0.0001</f>
        <v/>
      </c>
    </row>
    <row r="8739">
      <c r="G8739">
        <f>G8738+0.0001</f>
        <v/>
      </c>
    </row>
    <row r="8740">
      <c r="G8740">
        <f>G8739+0.0001</f>
        <v/>
      </c>
    </row>
    <row r="8741">
      <c r="G8741">
        <f>G8740+0.0001</f>
        <v/>
      </c>
    </row>
    <row r="8742">
      <c r="G8742">
        <f>G8741+0.0001</f>
        <v/>
      </c>
    </row>
    <row r="8743">
      <c r="G8743">
        <f>G8742+0.0001</f>
        <v/>
      </c>
    </row>
    <row r="8744">
      <c r="G8744">
        <f>G8743+0.0001</f>
        <v/>
      </c>
    </row>
    <row r="8745">
      <c r="G8745">
        <f>G8744+0.0001</f>
        <v/>
      </c>
    </row>
    <row r="8746">
      <c r="G8746">
        <f>G8745+0.0001</f>
        <v/>
      </c>
    </row>
    <row r="8747">
      <c r="G8747">
        <f>G8746+0.0001</f>
        <v/>
      </c>
    </row>
    <row r="8748">
      <c r="G8748">
        <f>G8747+0.0001</f>
        <v/>
      </c>
    </row>
    <row r="8749">
      <c r="G8749">
        <f>G8748+0.0001</f>
        <v/>
      </c>
    </row>
    <row r="8750">
      <c r="G8750">
        <f>G8749+0.0001</f>
        <v/>
      </c>
    </row>
    <row r="8751">
      <c r="G8751">
        <f>G8750+0.0001</f>
        <v/>
      </c>
    </row>
    <row r="8752">
      <c r="G8752">
        <f>G8751+0.0001</f>
        <v/>
      </c>
    </row>
    <row r="8753">
      <c r="G8753">
        <f>G8752+0.0001</f>
        <v/>
      </c>
    </row>
    <row r="8754">
      <c r="G8754">
        <f>G8753+0.0001</f>
        <v/>
      </c>
    </row>
    <row r="8755">
      <c r="G8755">
        <f>G8754+0.0001</f>
        <v/>
      </c>
    </row>
    <row r="8756">
      <c r="G8756">
        <f>G8755+0.0001</f>
        <v/>
      </c>
    </row>
    <row r="8757">
      <c r="G8757">
        <f>G8756+0.0001</f>
        <v/>
      </c>
    </row>
    <row r="8758">
      <c r="G8758">
        <f>G8757+0.0001</f>
        <v/>
      </c>
    </row>
    <row r="8759">
      <c r="G8759">
        <f>G8758+0.0001</f>
        <v/>
      </c>
    </row>
    <row r="8760">
      <c r="G8760">
        <f>G8759+0.0001</f>
        <v/>
      </c>
    </row>
    <row r="8761">
      <c r="G8761">
        <f>G8760+0.0001</f>
        <v/>
      </c>
    </row>
    <row r="8762">
      <c r="G8762">
        <f>G8761+0.0001</f>
        <v/>
      </c>
    </row>
    <row r="8763">
      <c r="G8763">
        <f>G8762+0.0001</f>
        <v/>
      </c>
    </row>
    <row r="8764">
      <c r="G8764">
        <f>G8763+0.0001</f>
        <v/>
      </c>
    </row>
    <row r="8765">
      <c r="G8765">
        <f>G8764+0.0001</f>
        <v/>
      </c>
    </row>
    <row r="8766">
      <c r="G8766">
        <f>G8765+0.0001</f>
        <v/>
      </c>
    </row>
    <row r="8767">
      <c r="G8767">
        <f>G8766+0.0001</f>
        <v/>
      </c>
    </row>
    <row r="8768">
      <c r="G8768">
        <f>G8767+0.0001</f>
        <v/>
      </c>
    </row>
    <row r="8769">
      <c r="G8769">
        <f>G8768+0.0001</f>
        <v/>
      </c>
    </row>
    <row r="8770">
      <c r="G8770">
        <f>G8769+0.0001</f>
        <v/>
      </c>
    </row>
    <row r="8771">
      <c r="G8771">
        <f>G8770+0.0001</f>
        <v/>
      </c>
    </row>
    <row r="8772">
      <c r="G8772">
        <f>G8771+0.0001</f>
        <v/>
      </c>
    </row>
    <row r="8773">
      <c r="G8773">
        <f>G8772+0.0001</f>
        <v/>
      </c>
    </row>
    <row r="8774">
      <c r="G8774">
        <f>G8773+0.0001</f>
        <v/>
      </c>
    </row>
    <row r="8775">
      <c r="G8775">
        <f>G8774+0.0001</f>
        <v/>
      </c>
    </row>
    <row r="8776">
      <c r="G8776">
        <f>G8775+0.0001</f>
        <v/>
      </c>
    </row>
    <row r="8777">
      <c r="G8777">
        <f>G8776+0.0001</f>
        <v/>
      </c>
    </row>
    <row r="8778">
      <c r="G8778">
        <f>G8777+0.0001</f>
        <v/>
      </c>
    </row>
    <row r="8779">
      <c r="G8779">
        <f>G8778+0.0001</f>
        <v/>
      </c>
    </row>
    <row r="8780">
      <c r="G8780">
        <f>G8779+0.0001</f>
        <v/>
      </c>
    </row>
    <row r="8781">
      <c r="G8781">
        <f>G8780+0.0001</f>
        <v/>
      </c>
    </row>
    <row r="8782">
      <c r="G8782">
        <f>G8781+0.0001</f>
        <v/>
      </c>
    </row>
    <row r="8783">
      <c r="G8783">
        <f>G8782+0.0001</f>
        <v/>
      </c>
    </row>
    <row r="8784">
      <c r="G8784">
        <f>G8783+0.0001</f>
        <v/>
      </c>
    </row>
    <row r="8785">
      <c r="G8785">
        <f>G8784+0.0001</f>
        <v/>
      </c>
    </row>
    <row r="8786">
      <c r="G8786">
        <f>G8785+0.0001</f>
        <v/>
      </c>
    </row>
    <row r="8787">
      <c r="G8787">
        <f>G8786+0.0001</f>
        <v/>
      </c>
    </row>
    <row r="8788">
      <c r="G8788">
        <f>G8787+0.0001</f>
        <v/>
      </c>
    </row>
    <row r="8789">
      <c r="G8789">
        <f>G8788+0.0001</f>
        <v/>
      </c>
    </row>
    <row r="8790">
      <c r="G8790">
        <f>G8789+0.0001</f>
        <v/>
      </c>
    </row>
    <row r="8791">
      <c r="G8791">
        <f>G8790+0.0001</f>
        <v/>
      </c>
    </row>
    <row r="8792">
      <c r="G8792">
        <f>G8791+0.0001</f>
        <v/>
      </c>
    </row>
    <row r="8793">
      <c r="G8793">
        <f>G8792+0.0001</f>
        <v/>
      </c>
    </row>
    <row r="8794">
      <c r="G8794">
        <f>G8793+0.0001</f>
        <v/>
      </c>
    </row>
    <row r="8795">
      <c r="G8795">
        <f>G8794+0.0001</f>
        <v/>
      </c>
    </row>
    <row r="8796">
      <c r="G8796">
        <f>G8795+0.0001</f>
        <v/>
      </c>
    </row>
    <row r="8797">
      <c r="G8797">
        <f>G8796+0.0001</f>
        <v/>
      </c>
    </row>
    <row r="8798">
      <c r="G8798">
        <f>G8797+0.0001</f>
        <v/>
      </c>
    </row>
    <row r="8799">
      <c r="G8799">
        <f>G8798+0.0001</f>
        <v/>
      </c>
    </row>
    <row r="8800">
      <c r="G8800">
        <f>G8799+0.0001</f>
        <v/>
      </c>
    </row>
    <row r="8801">
      <c r="G8801">
        <f>G8800+0.0001</f>
        <v/>
      </c>
    </row>
    <row r="8802">
      <c r="G8802">
        <f>G8801+0.0001</f>
        <v/>
      </c>
    </row>
    <row r="8803">
      <c r="G8803">
        <f>G8802+0.0001</f>
        <v/>
      </c>
    </row>
    <row r="8804">
      <c r="G8804">
        <f>G8803+0.0001</f>
        <v/>
      </c>
    </row>
    <row r="8805">
      <c r="G8805">
        <f>G8804+0.0001</f>
        <v/>
      </c>
    </row>
    <row r="8806">
      <c r="G8806">
        <f>G8805+0.0001</f>
        <v/>
      </c>
    </row>
    <row r="8807">
      <c r="G8807">
        <f>G8806+0.0001</f>
        <v/>
      </c>
    </row>
    <row r="8808">
      <c r="G8808">
        <f>G8807+0.0001</f>
        <v/>
      </c>
    </row>
    <row r="8809">
      <c r="G8809">
        <f>G8808+0.0001</f>
        <v/>
      </c>
    </row>
    <row r="8810">
      <c r="G8810">
        <f>G8809+0.0001</f>
        <v/>
      </c>
    </row>
    <row r="8811">
      <c r="G8811">
        <f>G8810+0.0001</f>
        <v/>
      </c>
    </row>
    <row r="8812">
      <c r="G8812">
        <f>G8811+0.0001</f>
        <v/>
      </c>
    </row>
    <row r="8813">
      <c r="G8813">
        <f>G8812+0.0001</f>
        <v/>
      </c>
    </row>
    <row r="8814">
      <c r="G8814">
        <f>G8813+0.0001</f>
        <v/>
      </c>
    </row>
    <row r="8815">
      <c r="G8815">
        <f>G8814+0.0001</f>
        <v/>
      </c>
    </row>
    <row r="8816">
      <c r="G8816">
        <f>G8815+0.0001</f>
        <v/>
      </c>
    </row>
    <row r="8817">
      <c r="G8817">
        <f>G8816+0.0001</f>
        <v/>
      </c>
    </row>
    <row r="8818">
      <c r="G8818">
        <f>G8817+0.0001</f>
        <v/>
      </c>
    </row>
    <row r="8819">
      <c r="G8819">
        <f>G8818+0.0001</f>
        <v/>
      </c>
    </row>
    <row r="8820">
      <c r="G8820">
        <f>G8819+0.0001</f>
        <v/>
      </c>
    </row>
    <row r="8821">
      <c r="G8821">
        <f>G8820+0.0001</f>
        <v/>
      </c>
    </row>
    <row r="8822">
      <c r="G8822">
        <f>G8821+0.0001</f>
        <v/>
      </c>
    </row>
    <row r="8823">
      <c r="G8823">
        <f>G8822+0.0001</f>
        <v/>
      </c>
    </row>
    <row r="8824">
      <c r="G8824">
        <f>G8823+0.0001</f>
        <v/>
      </c>
    </row>
    <row r="8825">
      <c r="G8825">
        <f>G8824+0.0001</f>
        <v/>
      </c>
    </row>
    <row r="8826">
      <c r="G8826">
        <f>G8825+0.0001</f>
        <v/>
      </c>
    </row>
    <row r="8827">
      <c r="G8827">
        <f>G8826+0.0001</f>
        <v/>
      </c>
    </row>
    <row r="8828">
      <c r="G8828">
        <f>G8827+0.0001</f>
        <v/>
      </c>
    </row>
    <row r="8829">
      <c r="G8829">
        <f>G8828+0.0001</f>
        <v/>
      </c>
    </row>
    <row r="8830">
      <c r="G8830">
        <f>G8829+0.0001</f>
        <v/>
      </c>
    </row>
    <row r="8831">
      <c r="G8831">
        <f>G8830+0.0001</f>
        <v/>
      </c>
    </row>
    <row r="8832">
      <c r="G8832">
        <f>G8831+0.0001</f>
        <v/>
      </c>
    </row>
    <row r="8833">
      <c r="G8833">
        <f>G8832+0.0001</f>
        <v/>
      </c>
    </row>
    <row r="8834">
      <c r="G8834">
        <f>G8833+0.0001</f>
        <v/>
      </c>
    </row>
    <row r="8835">
      <c r="G8835">
        <f>G8834+0.0001</f>
        <v/>
      </c>
    </row>
    <row r="8836">
      <c r="G8836">
        <f>G8835+0.0001</f>
        <v/>
      </c>
    </row>
    <row r="8837">
      <c r="G8837">
        <f>G8836+0.0001</f>
        <v/>
      </c>
    </row>
    <row r="8838">
      <c r="G8838">
        <f>G8837+0.0001</f>
        <v/>
      </c>
    </row>
    <row r="8839">
      <c r="G8839">
        <f>G8838+0.0001</f>
        <v/>
      </c>
    </row>
    <row r="8840">
      <c r="G8840">
        <f>G8839+0.0001</f>
        <v/>
      </c>
    </row>
    <row r="8841">
      <c r="G8841">
        <f>G8840+0.0001</f>
        <v/>
      </c>
    </row>
    <row r="8842">
      <c r="G8842">
        <f>G8841+0.0001</f>
        <v/>
      </c>
    </row>
    <row r="8843">
      <c r="G8843">
        <f>G8842+0.0001</f>
        <v/>
      </c>
    </row>
    <row r="8844">
      <c r="G8844">
        <f>G8843+0.0001</f>
        <v/>
      </c>
    </row>
    <row r="8845">
      <c r="G8845">
        <f>G8844+0.0001</f>
        <v/>
      </c>
    </row>
    <row r="8846">
      <c r="G8846">
        <f>G8845+0.0001</f>
        <v/>
      </c>
    </row>
    <row r="8847">
      <c r="G8847">
        <f>G8846+0.0001</f>
        <v/>
      </c>
    </row>
    <row r="8848">
      <c r="G8848">
        <f>G8847+0.0001</f>
        <v/>
      </c>
    </row>
    <row r="8849">
      <c r="G8849">
        <f>G8848+0.0001</f>
        <v/>
      </c>
    </row>
    <row r="8850">
      <c r="G8850">
        <f>G8849+0.0001</f>
        <v/>
      </c>
    </row>
    <row r="8851">
      <c r="G8851">
        <f>G8850+0.0001</f>
        <v/>
      </c>
    </row>
    <row r="8852">
      <c r="G8852">
        <f>G8851+0.0001</f>
        <v/>
      </c>
    </row>
    <row r="8853">
      <c r="G8853">
        <f>G8852+0.0001</f>
        <v/>
      </c>
    </row>
    <row r="8854">
      <c r="G8854">
        <f>G8853+0.0001</f>
        <v/>
      </c>
    </row>
    <row r="8855">
      <c r="G8855">
        <f>G8854+0.0001</f>
        <v/>
      </c>
    </row>
    <row r="8856">
      <c r="G8856">
        <f>G8855+0.0001</f>
        <v/>
      </c>
    </row>
    <row r="8857">
      <c r="G8857">
        <f>G8856+0.0001</f>
        <v/>
      </c>
    </row>
    <row r="8858">
      <c r="G8858">
        <f>G8857+0.0001</f>
        <v/>
      </c>
    </row>
    <row r="8859">
      <c r="G8859">
        <f>G8858+0.0001</f>
        <v/>
      </c>
    </row>
    <row r="8860">
      <c r="G8860">
        <f>G8859+0.0001</f>
        <v/>
      </c>
    </row>
    <row r="8861">
      <c r="G8861">
        <f>G8860+0.0001</f>
        <v/>
      </c>
    </row>
    <row r="8862">
      <c r="G8862">
        <f>G8861+0.0001</f>
        <v/>
      </c>
    </row>
    <row r="8863">
      <c r="G8863">
        <f>G8862+0.0001</f>
        <v/>
      </c>
    </row>
    <row r="8864">
      <c r="G8864">
        <f>G8863+0.0001</f>
        <v/>
      </c>
    </row>
    <row r="8865">
      <c r="G8865">
        <f>G8864+0.0001</f>
        <v/>
      </c>
    </row>
    <row r="8866">
      <c r="G8866">
        <f>G8865+0.0001</f>
        <v/>
      </c>
    </row>
    <row r="8867">
      <c r="G8867">
        <f>G8866+0.0001</f>
        <v/>
      </c>
    </row>
    <row r="8868">
      <c r="G8868">
        <f>G8867+0.0001</f>
        <v/>
      </c>
    </row>
    <row r="8869">
      <c r="G8869">
        <f>G8868+0.0001</f>
        <v/>
      </c>
    </row>
    <row r="8870">
      <c r="G8870">
        <f>G8869+0.0001</f>
        <v/>
      </c>
    </row>
    <row r="8871">
      <c r="G8871">
        <f>G8870+0.0001</f>
        <v/>
      </c>
    </row>
    <row r="8872">
      <c r="G8872">
        <f>G8871+0.0001</f>
        <v/>
      </c>
    </row>
    <row r="8873">
      <c r="G8873">
        <f>G8872+0.0001</f>
        <v/>
      </c>
    </row>
    <row r="8874">
      <c r="G8874">
        <f>G8873+0.0001</f>
        <v/>
      </c>
    </row>
    <row r="8875">
      <c r="G8875">
        <f>G8874+0.0001</f>
        <v/>
      </c>
    </row>
    <row r="8876">
      <c r="G8876">
        <f>G8875+0.0001</f>
        <v/>
      </c>
    </row>
    <row r="8877">
      <c r="G8877">
        <f>G8876+0.0001</f>
        <v/>
      </c>
    </row>
    <row r="8878">
      <c r="G8878">
        <f>G8877+0.0001</f>
        <v/>
      </c>
    </row>
    <row r="8879">
      <c r="G8879">
        <f>G8878+0.0001</f>
        <v/>
      </c>
    </row>
    <row r="8880">
      <c r="G8880">
        <f>G8879+0.0001</f>
        <v/>
      </c>
    </row>
    <row r="8881">
      <c r="G8881">
        <f>G8880+0.0001</f>
        <v/>
      </c>
    </row>
    <row r="8882">
      <c r="G8882">
        <f>G8881+0.0001</f>
        <v/>
      </c>
    </row>
    <row r="8883">
      <c r="G8883">
        <f>G8882+0.0001</f>
        <v/>
      </c>
    </row>
    <row r="8884">
      <c r="G8884">
        <f>G8883+0.0001</f>
        <v/>
      </c>
    </row>
    <row r="8885">
      <c r="G8885">
        <f>G8884+0.0001</f>
        <v/>
      </c>
    </row>
    <row r="8886">
      <c r="G8886">
        <f>G8885+0.0001</f>
        <v/>
      </c>
    </row>
    <row r="8887">
      <c r="G8887">
        <f>G8886+0.0001</f>
        <v/>
      </c>
    </row>
    <row r="8888">
      <c r="G8888">
        <f>G8887+0.0001</f>
        <v/>
      </c>
    </row>
    <row r="8889">
      <c r="G8889">
        <f>G8888+0.0001</f>
        <v/>
      </c>
    </row>
    <row r="8890">
      <c r="G8890">
        <f>G8889+0.0001</f>
        <v/>
      </c>
    </row>
    <row r="8891">
      <c r="G8891">
        <f>G8890+0.0001</f>
        <v/>
      </c>
    </row>
    <row r="8892">
      <c r="G8892">
        <f>G8891+0.0001</f>
        <v/>
      </c>
    </row>
    <row r="8893">
      <c r="G8893">
        <f>G8892+0.0001</f>
        <v/>
      </c>
    </row>
    <row r="8894">
      <c r="G8894">
        <f>G8893+0.0001</f>
        <v/>
      </c>
    </row>
    <row r="8895">
      <c r="G8895">
        <f>G8894+0.0001</f>
        <v/>
      </c>
    </row>
    <row r="8896">
      <c r="G8896">
        <f>G8895+0.0001</f>
        <v/>
      </c>
    </row>
    <row r="8897">
      <c r="G8897">
        <f>G8896+0.0001</f>
        <v/>
      </c>
    </row>
    <row r="8898">
      <c r="G8898">
        <f>G8897+0.0001</f>
        <v/>
      </c>
    </row>
    <row r="8899">
      <c r="G8899">
        <f>G8898+0.0001</f>
        <v/>
      </c>
    </row>
    <row r="8900">
      <c r="G8900">
        <f>G8899+0.0001</f>
        <v/>
      </c>
    </row>
    <row r="8901">
      <c r="G8901">
        <f>G8900+0.0001</f>
        <v/>
      </c>
    </row>
    <row r="8902">
      <c r="G8902">
        <f>G8901+0.0001</f>
        <v/>
      </c>
    </row>
    <row r="8903">
      <c r="G8903">
        <f>G8902+0.0001</f>
        <v/>
      </c>
    </row>
    <row r="8904">
      <c r="G8904">
        <f>G8903+0.0001</f>
        <v/>
      </c>
    </row>
    <row r="8905">
      <c r="G8905">
        <f>G8904+0.0001</f>
        <v/>
      </c>
    </row>
    <row r="8906">
      <c r="G8906">
        <f>G8905+0.0001</f>
        <v/>
      </c>
    </row>
    <row r="8907">
      <c r="G8907">
        <f>G8906+0.0001</f>
        <v/>
      </c>
    </row>
    <row r="8908">
      <c r="G8908">
        <f>G8907+0.0001</f>
        <v/>
      </c>
    </row>
    <row r="8909">
      <c r="G8909">
        <f>G8908+0.0001</f>
        <v/>
      </c>
    </row>
    <row r="8910">
      <c r="G8910">
        <f>G8909+0.0001</f>
        <v/>
      </c>
    </row>
    <row r="8911">
      <c r="G8911">
        <f>G8910+0.0001</f>
        <v/>
      </c>
    </row>
    <row r="8912">
      <c r="G8912">
        <f>G8911+0.0001</f>
        <v/>
      </c>
    </row>
    <row r="8913">
      <c r="G8913">
        <f>G8912+0.0001</f>
        <v/>
      </c>
    </row>
    <row r="8914">
      <c r="G8914">
        <f>G8913+0.0001</f>
        <v/>
      </c>
    </row>
    <row r="8915">
      <c r="G8915">
        <f>G8914+0.0001</f>
        <v/>
      </c>
    </row>
    <row r="8916">
      <c r="G8916">
        <f>G8915+0.0001</f>
        <v/>
      </c>
    </row>
    <row r="8917">
      <c r="G8917">
        <f>G8916+0.0001</f>
        <v/>
      </c>
    </row>
    <row r="8918">
      <c r="G8918">
        <f>G8917+0.0001</f>
        <v/>
      </c>
    </row>
    <row r="8919">
      <c r="G8919">
        <f>G8918+0.0001</f>
        <v/>
      </c>
    </row>
    <row r="8920">
      <c r="G8920">
        <f>G8919+0.0001</f>
        <v/>
      </c>
    </row>
    <row r="8921">
      <c r="G8921">
        <f>G8920+0.0001</f>
        <v/>
      </c>
    </row>
    <row r="8922">
      <c r="G8922">
        <f>G8921+0.0001</f>
        <v/>
      </c>
    </row>
    <row r="8923">
      <c r="G8923">
        <f>G8922+0.0001</f>
        <v/>
      </c>
    </row>
    <row r="8924">
      <c r="G8924">
        <f>G8923+0.0001</f>
        <v/>
      </c>
    </row>
    <row r="8925">
      <c r="G8925">
        <f>G8924+0.0001</f>
        <v/>
      </c>
    </row>
    <row r="8926">
      <c r="G8926">
        <f>G8925+0.0001</f>
        <v/>
      </c>
    </row>
    <row r="8927">
      <c r="G8927">
        <f>G8926+0.0001</f>
        <v/>
      </c>
    </row>
    <row r="8928">
      <c r="G8928">
        <f>G8927+0.0001</f>
        <v/>
      </c>
    </row>
    <row r="8929">
      <c r="G8929">
        <f>G8928+0.0001</f>
        <v/>
      </c>
    </row>
    <row r="8930">
      <c r="G8930">
        <f>G8929+0.0001</f>
        <v/>
      </c>
    </row>
    <row r="8931">
      <c r="G8931">
        <f>G8930+0.0001</f>
        <v/>
      </c>
    </row>
    <row r="8932">
      <c r="G8932">
        <f>G8931+0.0001</f>
        <v/>
      </c>
    </row>
    <row r="8933">
      <c r="G8933">
        <f>G8932+0.0001</f>
        <v/>
      </c>
    </row>
    <row r="8934">
      <c r="G8934">
        <f>G8933+0.0001</f>
        <v/>
      </c>
    </row>
    <row r="8935">
      <c r="G8935">
        <f>G8934+0.0001</f>
        <v/>
      </c>
    </row>
    <row r="8936">
      <c r="G8936">
        <f>G8935+0.0001</f>
        <v/>
      </c>
    </row>
    <row r="8937">
      <c r="G8937">
        <f>G8936+0.0001</f>
        <v/>
      </c>
    </row>
    <row r="8938">
      <c r="G8938">
        <f>G8937+0.0001</f>
        <v/>
      </c>
    </row>
    <row r="8939">
      <c r="G8939">
        <f>G8938+0.0001</f>
        <v/>
      </c>
    </row>
    <row r="8940">
      <c r="G8940">
        <f>G8939+0.0001</f>
        <v/>
      </c>
    </row>
    <row r="8941">
      <c r="G8941">
        <f>G8940+0.0001</f>
        <v/>
      </c>
    </row>
    <row r="8942">
      <c r="G8942">
        <f>G8941+0.0001</f>
        <v/>
      </c>
    </row>
    <row r="8943">
      <c r="G8943">
        <f>G8942+0.0001</f>
        <v/>
      </c>
    </row>
    <row r="8944">
      <c r="G8944">
        <f>G8943+0.0001</f>
        <v/>
      </c>
    </row>
    <row r="8945">
      <c r="G8945">
        <f>G8944+0.0001</f>
        <v/>
      </c>
    </row>
    <row r="8946">
      <c r="G8946">
        <f>G8945+0.0001</f>
        <v/>
      </c>
    </row>
    <row r="8947">
      <c r="G8947">
        <f>G8946+0.0001</f>
        <v/>
      </c>
    </row>
    <row r="8948">
      <c r="G8948">
        <f>G8947+0.0001</f>
        <v/>
      </c>
    </row>
    <row r="8949">
      <c r="G8949">
        <f>G8948+0.0001</f>
        <v/>
      </c>
    </row>
    <row r="8950">
      <c r="G8950">
        <f>G8949+0.0001</f>
        <v/>
      </c>
    </row>
    <row r="8951">
      <c r="G8951">
        <f>G8950+0.0001</f>
        <v/>
      </c>
    </row>
    <row r="8952">
      <c r="G8952">
        <f>G8951+0.0001</f>
        <v/>
      </c>
    </row>
    <row r="8953">
      <c r="G8953">
        <f>G8952+0.0001</f>
        <v/>
      </c>
    </row>
    <row r="8954">
      <c r="G8954">
        <f>G8953+0.0001</f>
        <v/>
      </c>
    </row>
    <row r="8955">
      <c r="G8955">
        <f>G8954+0.0001</f>
        <v/>
      </c>
    </row>
    <row r="8956">
      <c r="G8956">
        <f>G8955+0.0001</f>
        <v/>
      </c>
    </row>
    <row r="8957">
      <c r="G8957">
        <f>G8956+0.0001</f>
        <v/>
      </c>
    </row>
    <row r="8958">
      <c r="G8958">
        <f>G8957+0.0001</f>
        <v/>
      </c>
    </row>
    <row r="8959">
      <c r="G8959">
        <f>G8958+0.0001</f>
        <v/>
      </c>
    </row>
    <row r="8960">
      <c r="G8960">
        <f>G8959+0.0001</f>
        <v/>
      </c>
    </row>
    <row r="8961">
      <c r="G8961">
        <f>G8960+0.0001</f>
        <v/>
      </c>
    </row>
    <row r="8962">
      <c r="G8962">
        <f>G8961+0.0001</f>
        <v/>
      </c>
    </row>
    <row r="8963">
      <c r="G8963">
        <f>G8962+0.0001</f>
        <v/>
      </c>
    </row>
    <row r="8964">
      <c r="G8964">
        <f>G8963+0.0001</f>
        <v/>
      </c>
    </row>
    <row r="8965">
      <c r="G8965">
        <f>G8964+0.0001</f>
        <v/>
      </c>
    </row>
    <row r="8966">
      <c r="G8966">
        <f>G8965+0.0001</f>
        <v/>
      </c>
    </row>
    <row r="8967">
      <c r="G8967">
        <f>G8966+0.0001</f>
        <v/>
      </c>
    </row>
    <row r="8968">
      <c r="G8968">
        <f>G8967+0.0001</f>
        <v/>
      </c>
    </row>
    <row r="8969">
      <c r="G8969">
        <f>G8968+0.0001</f>
        <v/>
      </c>
    </row>
    <row r="8970">
      <c r="G8970">
        <f>G8969+0.0001</f>
        <v/>
      </c>
    </row>
    <row r="8971">
      <c r="G8971">
        <f>G8970+0.0001</f>
        <v/>
      </c>
    </row>
    <row r="8972">
      <c r="G8972">
        <f>G8971+0.0001</f>
        <v/>
      </c>
    </row>
    <row r="8973">
      <c r="G8973">
        <f>G8972+0.0001</f>
        <v/>
      </c>
    </row>
    <row r="8974">
      <c r="G8974">
        <f>G8973+0.0001</f>
        <v/>
      </c>
    </row>
    <row r="8975">
      <c r="G8975">
        <f>G8974+0.0001</f>
        <v/>
      </c>
    </row>
    <row r="8976">
      <c r="G8976">
        <f>G8975+0.0001</f>
        <v/>
      </c>
    </row>
    <row r="8977">
      <c r="G8977">
        <f>G8976+0.0001</f>
        <v/>
      </c>
    </row>
    <row r="8978">
      <c r="G8978">
        <f>G8977+0.0001</f>
        <v/>
      </c>
    </row>
    <row r="8979">
      <c r="G8979">
        <f>G8978+0.0001</f>
        <v/>
      </c>
    </row>
    <row r="8980">
      <c r="G8980">
        <f>G8979+0.0001</f>
        <v/>
      </c>
    </row>
    <row r="8981">
      <c r="G8981">
        <f>G8980+0.0001</f>
        <v/>
      </c>
    </row>
    <row r="8982">
      <c r="G8982">
        <f>G8981+0.0001</f>
        <v/>
      </c>
    </row>
    <row r="8983">
      <c r="G8983">
        <f>G8982+0.0001</f>
        <v/>
      </c>
    </row>
    <row r="8984">
      <c r="G8984">
        <f>G8983+0.0001</f>
        <v/>
      </c>
    </row>
    <row r="8985">
      <c r="G8985">
        <f>G8984+0.0001</f>
        <v/>
      </c>
    </row>
    <row r="8986">
      <c r="G8986">
        <f>G8985+0.0001</f>
        <v/>
      </c>
    </row>
    <row r="8987">
      <c r="G8987">
        <f>G8986+0.0001</f>
        <v/>
      </c>
    </row>
    <row r="8988">
      <c r="G8988">
        <f>G8987+0.0001</f>
        <v/>
      </c>
    </row>
    <row r="8989">
      <c r="G8989">
        <f>G8988+0.0001</f>
        <v/>
      </c>
    </row>
    <row r="8990">
      <c r="G8990">
        <f>G8989+0.0001</f>
        <v/>
      </c>
    </row>
    <row r="8991">
      <c r="G8991">
        <f>G8990+0.0001</f>
        <v/>
      </c>
    </row>
    <row r="8992">
      <c r="G8992">
        <f>G8991+0.0001</f>
        <v/>
      </c>
    </row>
    <row r="8993">
      <c r="G8993">
        <f>G8992+0.0001</f>
        <v/>
      </c>
    </row>
    <row r="8994">
      <c r="G8994">
        <f>G8993+0.0001</f>
        <v/>
      </c>
    </row>
    <row r="8995">
      <c r="G8995">
        <f>G8994+0.0001</f>
        <v/>
      </c>
    </row>
    <row r="8996">
      <c r="G8996">
        <f>G8995+0.0001</f>
        <v/>
      </c>
    </row>
    <row r="8997">
      <c r="G8997">
        <f>G8996+0.0001</f>
        <v/>
      </c>
    </row>
    <row r="8998">
      <c r="G8998">
        <f>G8997+0.0001</f>
        <v/>
      </c>
    </row>
    <row r="8999">
      <c r="G8999">
        <f>G8998+0.0001</f>
        <v/>
      </c>
    </row>
    <row r="9000">
      <c r="G9000">
        <f>G8999+0.0001</f>
        <v/>
      </c>
    </row>
    <row r="9001">
      <c r="G9001">
        <f>G9000+0.0001</f>
        <v/>
      </c>
    </row>
    <row r="9002">
      <c r="G9002">
        <f>G9001+0.0001</f>
        <v/>
      </c>
    </row>
    <row r="9003">
      <c r="G9003">
        <f>G9002+0.0001</f>
        <v/>
      </c>
    </row>
    <row r="9004">
      <c r="G9004">
        <f>G9003+0.0001</f>
        <v/>
      </c>
    </row>
    <row r="9005">
      <c r="G9005">
        <f>G9004+0.0001</f>
        <v/>
      </c>
    </row>
    <row r="9006">
      <c r="G9006">
        <f>G9005+0.0001</f>
        <v/>
      </c>
    </row>
    <row r="9007">
      <c r="G9007">
        <f>G9006+0.0001</f>
        <v/>
      </c>
    </row>
    <row r="9008">
      <c r="G9008">
        <f>G9007+0.0001</f>
        <v/>
      </c>
    </row>
    <row r="9009">
      <c r="G9009">
        <f>G9008+0.0001</f>
        <v/>
      </c>
    </row>
    <row r="9010">
      <c r="G9010">
        <f>G9009+0.0001</f>
        <v/>
      </c>
    </row>
    <row r="9011">
      <c r="G9011">
        <f>G9010+0.0001</f>
        <v/>
      </c>
    </row>
    <row r="9012">
      <c r="G9012">
        <f>G9011+0.0001</f>
        <v/>
      </c>
    </row>
    <row r="9013">
      <c r="G9013">
        <f>G9012+0.0001</f>
        <v/>
      </c>
    </row>
    <row r="9014">
      <c r="G9014">
        <f>G9013+0.0001</f>
        <v/>
      </c>
    </row>
    <row r="9015">
      <c r="G9015">
        <f>G9014+0.0001</f>
        <v/>
      </c>
    </row>
    <row r="9016">
      <c r="G9016">
        <f>G9015+0.0001</f>
        <v/>
      </c>
    </row>
    <row r="9017">
      <c r="G9017">
        <f>G9016+0.0001</f>
        <v/>
      </c>
    </row>
    <row r="9018">
      <c r="G9018">
        <f>G9017+0.0001</f>
        <v/>
      </c>
    </row>
    <row r="9019">
      <c r="G9019">
        <f>G9018+0.0001</f>
        <v/>
      </c>
    </row>
    <row r="9020">
      <c r="G9020">
        <f>G9019+0.0001</f>
        <v/>
      </c>
    </row>
    <row r="9021">
      <c r="G9021">
        <f>G9020+0.0001</f>
        <v/>
      </c>
    </row>
    <row r="9022">
      <c r="G9022">
        <f>G9021+0.0001</f>
        <v/>
      </c>
    </row>
    <row r="9023">
      <c r="G9023">
        <f>G9022+0.0001</f>
        <v/>
      </c>
    </row>
    <row r="9024">
      <c r="G9024">
        <f>G9023+0.0001</f>
        <v/>
      </c>
    </row>
    <row r="9025">
      <c r="G9025">
        <f>G9024+0.0001</f>
        <v/>
      </c>
    </row>
    <row r="9026">
      <c r="G9026">
        <f>G9025+0.0001</f>
        <v/>
      </c>
    </row>
    <row r="9027">
      <c r="G9027">
        <f>G9026+0.0001</f>
        <v/>
      </c>
    </row>
    <row r="9028">
      <c r="G9028">
        <f>G9027+0.0001</f>
        <v/>
      </c>
    </row>
    <row r="9029">
      <c r="G9029">
        <f>G9028+0.0001</f>
        <v/>
      </c>
    </row>
    <row r="9030">
      <c r="G9030">
        <f>G9029+0.0001</f>
        <v/>
      </c>
    </row>
    <row r="9031">
      <c r="G9031">
        <f>G9030+0.0001</f>
        <v/>
      </c>
    </row>
    <row r="9032">
      <c r="G9032">
        <f>G9031+0.0001</f>
        <v/>
      </c>
    </row>
    <row r="9033">
      <c r="G9033">
        <f>G9032+0.0001</f>
        <v/>
      </c>
    </row>
    <row r="9034">
      <c r="G9034">
        <f>G9033+0.0001</f>
        <v/>
      </c>
    </row>
    <row r="9035">
      <c r="G9035">
        <f>G9034+0.0001</f>
        <v/>
      </c>
    </row>
    <row r="9036">
      <c r="G9036">
        <f>G9035+0.0001</f>
        <v/>
      </c>
    </row>
    <row r="9037">
      <c r="G9037">
        <f>G9036+0.0001</f>
        <v/>
      </c>
    </row>
    <row r="9038">
      <c r="G9038">
        <f>G9037+0.0001</f>
        <v/>
      </c>
    </row>
    <row r="9039">
      <c r="G9039">
        <f>G9038+0.0001</f>
        <v/>
      </c>
    </row>
    <row r="9040">
      <c r="G9040">
        <f>G9039+0.0001</f>
        <v/>
      </c>
    </row>
    <row r="9041">
      <c r="G9041">
        <f>G9040+0.0001</f>
        <v/>
      </c>
    </row>
    <row r="9042">
      <c r="G9042">
        <f>G9041+0.0001</f>
        <v/>
      </c>
    </row>
    <row r="9043">
      <c r="G9043">
        <f>G9042+0.0001</f>
        <v/>
      </c>
    </row>
    <row r="9044">
      <c r="G9044">
        <f>G9043+0.0001</f>
        <v/>
      </c>
    </row>
    <row r="9045">
      <c r="G9045">
        <f>G9044+0.0001</f>
        <v/>
      </c>
    </row>
    <row r="9046">
      <c r="G9046">
        <f>G9045+0.0001</f>
        <v/>
      </c>
    </row>
    <row r="9047">
      <c r="G9047">
        <f>G9046+0.0001</f>
        <v/>
      </c>
    </row>
    <row r="9048">
      <c r="G9048">
        <f>G9047+0.0001</f>
        <v/>
      </c>
    </row>
    <row r="9049">
      <c r="G9049">
        <f>G9048+0.0001</f>
        <v/>
      </c>
    </row>
    <row r="9050">
      <c r="G9050">
        <f>G9049+0.0001</f>
        <v/>
      </c>
    </row>
    <row r="9051">
      <c r="G9051">
        <f>G9050+0.0001</f>
        <v/>
      </c>
    </row>
    <row r="9052">
      <c r="G9052">
        <f>G9051+0.0001</f>
        <v/>
      </c>
    </row>
    <row r="9053">
      <c r="G9053">
        <f>G9052+0.0001</f>
        <v/>
      </c>
    </row>
    <row r="9054">
      <c r="G9054">
        <f>G9053+0.0001</f>
        <v/>
      </c>
    </row>
    <row r="9055">
      <c r="G9055">
        <f>G9054+0.0001</f>
        <v/>
      </c>
    </row>
    <row r="9056">
      <c r="G9056">
        <f>G9055+0.0001</f>
        <v/>
      </c>
    </row>
    <row r="9057">
      <c r="G9057">
        <f>G9056+0.0001</f>
        <v/>
      </c>
    </row>
    <row r="9058">
      <c r="G9058">
        <f>G9057+0.0001</f>
        <v/>
      </c>
    </row>
    <row r="9059">
      <c r="G9059">
        <f>G9058+0.0001</f>
        <v/>
      </c>
    </row>
    <row r="9060">
      <c r="G9060">
        <f>G9059+0.0001</f>
        <v/>
      </c>
    </row>
    <row r="9061">
      <c r="G9061">
        <f>G9060+0.0001</f>
        <v/>
      </c>
    </row>
    <row r="9062">
      <c r="G9062">
        <f>G9061+0.0001</f>
        <v/>
      </c>
    </row>
    <row r="9063">
      <c r="G9063">
        <f>G9062+0.0001</f>
        <v/>
      </c>
    </row>
    <row r="9064">
      <c r="G9064">
        <f>G9063+0.0001</f>
        <v/>
      </c>
    </row>
    <row r="9065">
      <c r="G9065">
        <f>G9064+0.0001</f>
        <v/>
      </c>
    </row>
    <row r="9066">
      <c r="G9066">
        <f>G9065+0.0001</f>
        <v/>
      </c>
    </row>
    <row r="9067">
      <c r="G9067">
        <f>G9066+0.0001</f>
        <v/>
      </c>
    </row>
    <row r="9068">
      <c r="G9068">
        <f>G9067+0.0001</f>
        <v/>
      </c>
    </row>
    <row r="9069">
      <c r="G9069">
        <f>G9068+0.0001</f>
        <v/>
      </c>
    </row>
    <row r="9070">
      <c r="G9070">
        <f>G9069+0.0001</f>
        <v/>
      </c>
    </row>
    <row r="9071">
      <c r="G9071">
        <f>G9070+0.0001</f>
        <v/>
      </c>
    </row>
    <row r="9072">
      <c r="G9072">
        <f>G9071+0.0001</f>
        <v/>
      </c>
    </row>
    <row r="9073">
      <c r="G9073">
        <f>G9072+0.0001</f>
        <v/>
      </c>
    </row>
    <row r="9074">
      <c r="G9074">
        <f>G9073+0.0001</f>
        <v/>
      </c>
    </row>
    <row r="9075">
      <c r="G9075">
        <f>G9074+0.0001</f>
        <v/>
      </c>
    </row>
    <row r="9076">
      <c r="G9076">
        <f>G9075+0.0001</f>
        <v/>
      </c>
    </row>
    <row r="9077">
      <c r="G9077">
        <f>G9076+0.0001</f>
        <v/>
      </c>
    </row>
    <row r="9078">
      <c r="G9078">
        <f>G9077+0.0001</f>
        <v/>
      </c>
    </row>
    <row r="9079">
      <c r="G9079">
        <f>G9078+0.0001</f>
        <v/>
      </c>
    </row>
    <row r="9080">
      <c r="G9080">
        <f>G9079+0.0001</f>
        <v/>
      </c>
    </row>
    <row r="9081">
      <c r="G9081">
        <f>G9080+0.0001</f>
        <v/>
      </c>
    </row>
    <row r="9082">
      <c r="G9082">
        <f>G9081+0.0001</f>
        <v/>
      </c>
    </row>
    <row r="9083">
      <c r="G9083">
        <f>G9082+0.0001</f>
        <v/>
      </c>
    </row>
    <row r="9084">
      <c r="G9084">
        <f>G9083+0.0001</f>
        <v/>
      </c>
    </row>
    <row r="9085">
      <c r="G9085">
        <f>G9084+0.0001</f>
        <v/>
      </c>
    </row>
    <row r="9086">
      <c r="G9086">
        <f>G9085+0.0001</f>
        <v/>
      </c>
    </row>
    <row r="9087">
      <c r="G9087">
        <f>G9086+0.0001</f>
        <v/>
      </c>
    </row>
    <row r="9088">
      <c r="G9088">
        <f>G9087+0.0001</f>
        <v/>
      </c>
    </row>
    <row r="9089">
      <c r="G9089">
        <f>G9088+0.0001</f>
        <v/>
      </c>
    </row>
    <row r="9090">
      <c r="G9090">
        <f>G9089+0.0001</f>
        <v/>
      </c>
    </row>
    <row r="9091">
      <c r="G9091">
        <f>G9090+0.0001</f>
        <v/>
      </c>
    </row>
    <row r="9092">
      <c r="G9092">
        <f>G9091+0.0001</f>
        <v/>
      </c>
    </row>
    <row r="9093">
      <c r="G9093">
        <f>G9092+0.0001</f>
        <v/>
      </c>
    </row>
    <row r="9094">
      <c r="G9094">
        <f>G9093+0.0001</f>
        <v/>
      </c>
    </row>
    <row r="9095">
      <c r="G9095">
        <f>G9094+0.0001</f>
        <v/>
      </c>
    </row>
    <row r="9096">
      <c r="G9096">
        <f>G9095+0.0001</f>
        <v/>
      </c>
    </row>
    <row r="9097">
      <c r="G9097">
        <f>G9096+0.0001</f>
        <v/>
      </c>
    </row>
    <row r="9098">
      <c r="G9098">
        <f>G9097+0.0001</f>
        <v/>
      </c>
    </row>
    <row r="9099">
      <c r="G9099">
        <f>G9098+0.0001</f>
        <v/>
      </c>
    </row>
    <row r="9100">
      <c r="G9100">
        <f>G9099+0.0001</f>
        <v/>
      </c>
    </row>
    <row r="9101">
      <c r="G9101">
        <f>G9100+0.0001</f>
        <v/>
      </c>
    </row>
    <row r="9102">
      <c r="G9102">
        <f>G9101+0.0001</f>
        <v/>
      </c>
    </row>
    <row r="9103">
      <c r="G9103">
        <f>G9102+0.0001</f>
        <v/>
      </c>
    </row>
    <row r="9104">
      <c r="G9104">
        <f>G9103+0.0001</f>
        <v/>
      </c>
    </row>
    <row r="9105">
      <c r="G9105">
        <f>G9104+0.0001</f>
        <v/>
      </c>
    </row>
    <row r="9106">
      <c r="G9106">
        <f>G9105+0.0001</f>
        <v/>
      </c>
    </row>
    <row r="9107">
      <c r="G9107">
        <f>G9106+0.0001</f>
        <v/>
      </c>
    </row>
    <row r="9108">
      <c r="G9108">
        <f>G9107+0.0001</f>
        <v/>
      </c>
    </row>
    <row r="9109">
      <c r="G9109">
        <f>G9108+0.0001</f>
        <v/>
      </c>
    </row>
    <row r="9110">
      <c r="G9110">
        <f>G9109+0.0001</f>
        <v/>
      </c>
    </row>
    <row r="9111">
      <c r="G9111">
        <f>G9110+0.0001</f>
        <v/>
      </c>
    </row>
    <row r="9112">
      <c r="G9112">
        <f>G9111+0.0001</f>
        <v/>
      </c>
    </row>
    <row r="9113">
      <c r="G9113">
        <f>G9112+0.0001</f>
        <v/>
      </c>
    </row>
    <row r="9114">
      <c r="G9114">
        <f>G9113+0.0001</f>
        <v/>
      </c>
    </row>
    <row r="9115">
      <c r="G9115">
        <f>G9114+0.0001</f>
        <v/>
      </c>
    </row>
    <row r="9116">
      <c r="G9116">
        <f>G9115+0.0001</f>
        <v/>
      </c>
    </row>
    <row r="9117">
      <c r="G9117">
        <f>G9116+0.0001</f>
        <v/>
      </c>
    </row>
    <row r="9118">
      <c r="G9118">
        <f>G9117+0.0001</f>
        <v/>
      </c>
    </row>
    <row r="9119">
      <c r="G9119">
        <f>G9118+0.0001</f>
        <v/>
      </c>
    </row>
    <row r="9120">
      <c r="G9120">
        <f>G9119+0.0001</f>
        <v/>
      </c>
    </row>
    <row r="9121">
      <c r="G9121">
        <f>G9120+0.0001</f>
        <v/>
      </c>
    </row>
    <row r="9122">
      <c r="G9122">
        <f>G9121+0.0001</f>
        <v/>
      </c>
    </row>
    <row r="9123">
      <c r="G9123">
        <f>G9122+0.0001</f>
        <v/>
      </c>
    </row>
    <row r="9124">
      <c r="G9124">
        <f>G9123+0.0001</f>
        <v/>
      </c>
    </row>
    <row r="9125">
      <c r="G9125">
        <f>G9124+0.0001</f>
        <v/>
      </c>
    </row>
    <row r="9126">
      <c r="G9126">
        <f>G9125+0.0001</f>
        <v/>
      </c>
    </row>
    <row r="9127">
      <c r="G9127">
        <f>G9126+0.0001</f>
        <v/>
      </c>
    </row>
    <row r="9128">
      <c r="G9128">
        <f>G9127+0.0001</f>
        <v/>
      </c>
    </row>
    <row r="9129">
      <c r="G9129">
        <f>G9128+0.0001</f>
        <v/>
      </c>
    </row>
    <row r="9130">
      <c r="G9130">
        <f>G9129+0.0001</f>
        <v/>
      </c>
    </row>
    <row r="9131">
      <c r="G9131">
        <f>G9130+0.0001</f>
        <v/>
      </c>
    </row>
    <row r="9132">
      <c r="G9132">
        <f>G9131+0.0001</f>
        <v/>
      </c>
    </row>
    <row r="9133">
      <c r="G9133">
        <f>G9132+0.0001</f>
        <v/>
      </c>
    </row>
    <row r="9134">
      <c r="G9134">
        <f>G9133+0.0001</f>
        <v/>
      </c>
    </row>
    <row r="9135">
      <c r="G9135">
        <f>G9134+0.0001</f>
        <v/>
      </c>
    </row>
    <row r="9136">
      <c r="G9136">
        <f>G9135+0.0001</f>
        <v/>
      </c>
    </row>
    <row r="9137">
      <c r="G9137">
        <f>G9136+0.0001</f>
        <v/>
      </c>
    </row>
    <row r="9138">
      <c r="G9138">
        <f>G9137+0.0001</f>
        <v/>
      </c>
    </row>
    <row r="9139">
      <c r="G9139">
        <f>G9138+0.0001</f>
        <v/>
      </c>
    </row>
    <row r="9140">
      <c r="G9140">
        <f>G9139+0.0001</f>
        <v/>
      </c>
    </row>
    <row r="9141">
      <c r="G9141">
        <f>G9140+0.0001</f>
        <v/>
      </c>
    </row>
    <row r="9142">
      <c r="G9142">
        <f>G9141+0.0001</f>
        <v/>
      </c>
    </row>
    <row r="9143">
      <c r="G9143">
        <f>G9142+0.0001</f>
        <v/>
      </c>
    </row>
    <row r="9144">
      <c r="G9144">
        <f>G9143+0.0001</f>
        <v/>
      </c>
    </row>
    <row r="9145">
      <c r="G9145">
        <f>G9144+0.0001</f>
        <v/>
      </c>
    </row>
    <row r="9146">
      <c r="G9146">
        <f>G9145+0.0001</f>
        <v/>
      </c>
    </row>
    <row r="9147">
      <c r="G9147">
        <f>G9146+0.0001</f>
        <v/>
      </c>
    </row>
    <row r="9148">
      <c r="G9148">
        <f>G9147+0.0001</f>
        <v/>
      </c>
    </row>
    <row r="9149">
      <c r="G9149">
        <f>G9148+0.0001</f>
        <v/>
      </c>
    </row>
    <row r="9150">
      <c r="G9150">
        <f>G9149+0.0001</f>
        <v/>
      </c>
    </row>
    <row r="9151">
      <c r="G9151">
        <f>G9150+0.0001</f>
        <v/>
      </c>
    </row>
    <row r="9152">
      <c r="G9152">
        <f>G9151+0.0001</f>
        <v/>
      </c>
    </row>
    <row r="9153">
      <c r="G9153">
        <f>G9152+0.0001</f>
        <v/>
      </c>
    </row>
    <row r="9154">
      <c r="G9154">
        <f>G9153+0.0001</f>
        <v/>
      </c>
    </row>
    <row r="9155">
      <c r="G9155">
        <f>G9154+0.0001</f>
        <v/>
      </c>
    </row>
    <row r="9156">
      <c r="G9156">
        <f>G9155+0.0001</f>
        <v/>
      </c>
    </row>
    <row r="9157">
      <c r="G9157">
        <f>G9156+0.0001</f>
        <v/>
      </c>
    </row>
    <row r="9158">
      <c r="G9158">
        <f>G9157+0.0001</f>
        <v/>
      </c>
    </row>
    <row r="9159">
      <c r="G9159">
        <f>G9158+0.0001</f>
        <v/>
      </c>
    </row>
    <row r="9160">
      <c r="G9160">
        <f>G9159+0.0001</f>
        <v/>
      </c>
    </row>
    <row r="9161">
      <c r="G9161">
        <f>G9160+0.0001</f>
        <v/>
      </c>
    </row>
    <row r="9162">
      <c r="G9162">
        <f>G9161+0.0001</f>
        <v/>
      </c>
    </row>
    <row r="9163">
      <c r="G9163">
        <f>G9162+0.0001</f>
        <v/>
      </c>
    </row>
    <row r="9164">
      <c r="G9164">
        <f>G9163+0.0001</f>
        <v/>
      </c>
    </row>
    <row r="9165">
      <c r="G9165">
        <f>G9164+0.0001</f>
        <v/>
      </c>
    </row>
    <row r="9166">
      <c r="G9166">
        <f>G9165+0.0001</f>
        <v/>
      </c>
    </row>
    <row r="9167">
      <c r="G9167">
        <f>G9166+0.0001</f>
        <v/>
      </c>
    </row>
    <row r="9168">
      <c r="G9168">
        <f>G9167+0.0001</f>
        <v/>
      </c>
    </row>
    <row r="9169">
      <c r="G9169">
        <f>G9168+0.0001</f>
        <v/>
      </c>
    </row>
    <row r="9170">
      <c r="G9170">
        <f>G9169+0.0001</f>
        <v/>
      </c>
    </row>
    <row r="9171">
      <c r="G9171">
        <f>G9170+0.0001</f>
        <v/>
      </c>
    </row>
    <row r="9172">
      <c r="G9172">
        <f>G9171+0.0001</f>
        <v/>
      </c>
    </row>
    <row r="9173">
      <c r="G9173">
        <f>G9172+0.0001</f>
        <v/>
      </c>
    </row>
    <row r="9174">
      <c r="G9174">
        <f>G9173+0.0001</f>
        <v/>
      </c>
    </row>
    <row r="9175">
      <c r="G9175">
        <f>G9174+0.0001</f>
        <v/>
      </c>
    </row>
    <row r="9176">
      <c r="G9176">
        <f>G9175+0.0001</f>
        <v/>
      </c>
    </row>
    <row r="9177">
      <c r="G9177">
        <f>G9176+0.0001</f>
        <v/>
      </c>
    </row>
    <row r="9178">
      <c r="G9178">
        <f>G9177+0.0001</f>
        <v/>
      </c>
    </row>
    <row r="9179">
      <c r="G9179">
        <f>G9178+0.0001</f>
        <v/>
      </c>
    </row>
    <row r="9180">
      <c r="G9180">
        <f>G9179+0.0001</f>
        <v/>
      </c>
    </row>
    <row r="9181">
      <c r="G9181">
        <f>G9180+0.0001</f>
        <v/>
      </c>
    </row>
    <row r="9182">
      <c r="G9182">
        <f>G9181+0.0001</f>
        <v/>
      </c>
    </row>
    <row r="9183">
      <c r="G9183">
        <f>G9182+0.0001</f>
        <v/>
      </c>
    </row>
    <row r="9184">
      <c r="G9184">
        <f>G9183+0.0001</f>
        <v/>
      </c>
    </row>
    <row r="9185">
      <c r="G9185">
        <f>G9184+0.0001</f>
        <v/>
      </c>
    </row>
    <row r="9186">
      <c r="G9186">
        <f>G9185+0.0001</f>
        <v/>
      </c>
    </row>
    <row r="9187">
      <c r="G9187">
        <f>G9186+0.0001</f>
        <v/>
      </c>
    </row>
    <row r="9188">
      <c r="G9188">
        <f>G9187+0.0001</f>
        <v/>
      </c>
    </row>
    <row r="9189">
      <c r="G9189">
        <f>G9188+0.0001</f>
        <v/>
      </c>
    </row>
    <row r="9190">
      <c r="G9190">
        <f>G9189+0.0001</f>
        <v/>
      </c>
    </row>
    <row r="9191">
      <c r="G9191">
        <f>G9190+0.0001</f>
        <v/>
      </c>
    </row>
    <row r="9192">
      <c r="G9192">
        <f>G9191+0.0001</f>
        <v/>
      </c>
    </row>
    <row r="9193">
      <c r="G9193">
        <f>G9192+0.0001</f>
        <v/>
      </c>
    </row>
    <row r="9194">
      <c r="G9194">
        <f>G9193+0.0001</f>
        <v/>
      </c>
    </row>
    <row r="9195">
      <c r="G9195">
        <f>G9194+0.0001</f>
        <v/>
      </c>
    </row>
    <row r="9196">
      <c r="G9196">
        <f>G9195+0.0001</f>
        <v/>
      </c>
    </row>
    <row r="9197">
      <c r="G9197">
        <f>G9196+0.0001</f>
        <v/>
      </c>
    </row>
    <row r="9198">
      <c r="G9198">
        <f>G9197+0.0001</f>
        <v/>
      </c>
    </row>
    <row r="9199">
      <c r="G9199">
        <f>G9198+0.0001</f>
        <v/>
      </c>
    </row>
    <row r="9200">
      <c r="G9200">
        <f>G9199+0.0001</f>
        <v/>
      </c>
    </row>
    <row r="9201">
      <c r="G9201">
        <f>G9200+0.0001</f>
        <v/>
      </c>
    </row>
    <row r="9202">
      <c r="G9202">
        <f>G9201+0.0001</f>
        <v/>
      </c>
    </row>
    <row r="9203">
      <c r="G9203">
        <f>G9202+0.0001</f>
        <v/>
      </c>
    </row>
    <row r="9204">
      <c r="G9204">
        <f>G9203+0.0001</f>
        <v/>
      </c>
    </row>
    <row r="9205">
      <c r="G9205">
        <f>G9204+0.0001</f>
        <v/>
      </c>
    </row>
    <row r="9206">
      <c r="G9206">
        <f>G9205+0.0001</f>
        <v/>
      </c>
    </row>
    <row r="9207">
      <c r="G9207">
        <f>G9206+0.0001</f>
        <v/>
      </c>
    </row>
    <row r="9208">
      <c r="G9208">
        <f>G9207+0.0001</f>
        <v/>
      </c>
    </row>
    <row r="9209">
      <c r="G9209">
        <f>G9208+0.0001</f>
        <v/>
      </c>
    </row>
    <row r="9210">
      <c r="G9210">
        <f>G9209+0.0001</f>
        <v/>
      </c>
    </row>
    <row r="9211">
      <c r="G9211">
        <f>G9210+0.0001</f>
        <v/>
      </c>
    </row>
    <row r="9212">
      <c r="G9212">
        <f>G9211+0.0001</f>
        <v/>
      </c>
    </row>
    <row r="9213">
      <c r="G9213">
        <f>G9212+0.0001</f>
        <v/>
      </c>
    </row>
    <row r="9214">
      <c r="G9214">
        <f>G9213+0.0001</f>
        <v/>
      </c>
    </row>
    <row r="9215">
      <c r="G9215">
        <f>G9214+0.0001</f>
        <v/>
      </c>
    </row>
    <row r="9216">
      <c r="G9216">
        <f>G9215+0.0001</f>
        <v/>
      </c>
    </row>
    <row r="9217">
      <c r="G9217">
        <f>G9216+0.0001</f>
        <v/>
      </c>
    </row>
    <row r="9218">
      <c r="G9218">
        <f>G9217+0.0001</f>
        <v/>
      </c>
    </row>
    <row r="9219">
      <c r="G9219">
        <f>G9218+0.0001</f>
        <v/>
      </c>
    </row>
    <row r="9220">
      <c r="G9220">
        <f>G9219+0.0001</f>
        <v/>
      </c>
    </row>
    <row r="9221">
      <c r="G9221">
        <f>G9220+0.0001</f>
        <v/>
      </c>
    </row>
    <row r="9222">
      <c r="G9222">
        <f>G9221+0.0001</f>
        <v/>
      </c>
    </row>
    <row r="9223">
      <c r="G9223">
        <f>G9222+0.0001</f>
        <v/>
      </c>
    </row>
    <row r="9224">
      <c r="G9224">
        <f>G9223+0.0001</f>
        <v/>
      </c>
    </row>
    <row r="9225">
      <c r="G9225">
        <f>G9224+0.0001</f>
        <v/>
      </c>
    </row>
    <row r="9226">
      <c r="G9226">
        <f>G9225+0.0001</f>
        <v/>
      </c>
    </row>
    <row r="9227">
      <c r="G9227">
        <f>G9226+0.0001</f>
        <v/>
      </c>
    </row>
    <row r="9228">
      <c r="G9228">
        <f>G9227+0.0001</f>
        <v/>
      </c>
    </row>
    <row r="9229">
      <c r="G9229">
        <f>G9228+0.0001</f>
        <v/>
      </c>
    </row>
    <row r="9230">
      <c r="G9230">
        <f>G9229+0.0001</f>
        <v/>
      </c>
    </row>
    <row r="9231">
      <c r="G9231">
        <f>G9230+0.0001</f>
        <v/>
      </c>
    </row>
    <row r="9232">
      <c r="G9232">
        <f>G9231+0.0001</f>
        <v/>
      </c>
    </row>
    <row r="9233">
      <c r="G9233">
        <f>G9232+0.0001</f>
        <v/>
      </c>
    </row>
    <row r="9234">
      <c r="G9234">
        <f>G9233+0.0001</f>
        <v/>
      </c>
    </row>
    <row r="9235">
      <c r="G9235">
        <f>G9234+0.0001</f>
        <v/>
      </c>
    </row>
    <row r="9236">
      <c r="G9236">
        <f>G9235+0.0001</f>
        <v/>
      </c>
    </row>
    <row r="9237">
      <c r="G9237">
        <f>G9236+0.0001</f>
        <v/>
      </c>
    </row>
    <row r="9238">
      <c r="G9238">
        <f>G9237+0.0001</f>
        <v/>
      </c>
    </row>
    <row r="9239">
      <c r="G9239">
        <f>G9238+0.0001</f>
        <v/>
      </c>
    </row>
    <row r="9240">
      <c r="G9240">
        <f>G9239+0.0001</f>
        <v/>
      </c>
    </row>
    <row r="9241">
      <c r="G9241">
        <f>G9240+0.0001</f>
        <v/>
      </c>
    </row>
    <row r="9242">
      <c r="G9242">
        <f>G9241+0.0001</f>
        <v/>
      </c>
    </row>
    <row r="9243">
      <c r="G9243">
        <f>G9242+0.0001</f>
        <v/>
      </c>
    </row>
    <row r="9244">
      <c r="G9244">
        <f>G9243+0.0001</f>
        <v/>
      </c>
    </row>
    <row r="9245">
      <c r="G9245">
        <f>G9244+0.0001</f>
        <v/>
      </c>
    </row>
    <row r="9246">
      <c r="G9246">
        <f>G9245+0.0001</f>
        <v/>
      </c>
    </row>
    <row r="9247">
      <c r="G9247">
        <f>G9246+0.0001</f>
        <v/>
      </c>
    </row>
    <row r="9248">
      <c r="G9248">
        <f>G9247+0.0001</f>
        <v/>
      </c>
    </row>
    <row r="9249">
      <c r="G9249">
        <f>G9248+0.0001</f>
        <v/>
      </c>
    </row>
    <row r="9250">
      <c r="G9250">
        <f>G9249+0.0001</f>
        <v/>
      </c>
    </row>
    <row r="9251">
      <c r="G9251">
        <f>G9250+0.0001</f>
        <v/>
      </c>
    </row>
    <row r="9252">
      <c r="G9252">
        <f>G9251+0.0001</f>
        <v/>
      </c>
    </row>
    <row r="9253">
      <c r="G9253">
        <f>G9252+0.0001</f>
        <v/>
      </c>
    </row>
    <row r="9254">
      <c r="G9254">
        <f>G9253+0.0001</f>
        <v/>
      </c>
    </row>
    <row r="9255">
      <c r="G9255">
        <f>G9254+0.0001</f>
        <v/>
      </c>
    </row>
    <row r="9256">
      <c r="G9256">
        <f>G9255+0.0001</f>
        <v/>
      </c>
    </row>
    <row r="9257">
      <c r="G9257">
        <f>G9256+0.0001</f>
        <v/>
      </c>
    </row>
    <row r="9258">
      <c r="G9258">
        <f>G9257+0.0001</f>
        <v/>
      </c>
    </row>
    <row r="9259">
      <c r="G9259">
        <f>G9258+0.0001</f>
        <v/>
      </c>
    </row>
    <row r="9260">
      <c r="G9260">
        <f>G9259+0.0001</f>
        <v/>
      </c>
    </row>
    <row r="9261">
      <c r="G9261">
        <f>G9260+0.0001</f>
        <v/>
      </c>
    </row>
    <row r="9262">
      <c r="G9262">
        <f>G9261+0.0001</f>
        <v/>
      </c>
    </row>
    <row r="9263">
      <c r="G9263">
        <f>G9262+0.0001</f>
        <v/>
      </c>
    </row>
    <row r="9264">
      <c r="G9264">
        <f>G9263+0.0001</f>
        <v/>
      </c>
    </row>
    <row r="9265">
      <c r="G9265">
        <f>G9264+0.0001</f>
        <v/>
      </c>
    </row>
    <row r="9266">
      <c r="G9266">
        <f>G9265+0.0001</f>
        <v/>
      </c>
    </row>
    <row r="9267">
      <c r="G9267">
        <f>G9266+0.0001</f>
        <v/>
      </c>
    </row>
    <row r="9268">
      <c r="G9268">
        <f>G9267+0.0001</f>
        <v/>
      </c>
    </row>
    <row r="9269">
      <c r="G9269">
        <f>G9268+0.0001</f>
        <v/>
      </c>
    </row>
    <row r="9270">
      <c r="G9270">
        <f>G9269+0.0001</f>
        <v/>
      </c>
    </row>
    <row r="9271">
      <c r="G9271">
        <f>G9270+0.0001</f>
        <v/>
      </c>
    </row>
    <row r="9272">
      <c r="G9272">
        <f>G9271+0.0001</f>
        <v/>
      </c>
    </row>
    <row r="9273">
      <c r="G9273">
        <f>G9272+0.0001</f>
        <v/>
      </c>
    </row>
    <row r="9274">
      <c r="G9274">
        <f>G9273+0.0001</f>
        <v/>
      </c>
    </row>
    <row r="9275">
      <c r="G9275">
        <f>G9274+0.0001</f>
        <v/>
      </c>
    </row>
    <row r="9276">
      <c r="G9276">
        <f>G9275+0.0001</f>
        <v/>
      </c>
    </row>
    <row r="9277">
      <c r="G9277">
        <f>G9276+0.0001</f>
        <v/>
      </c>
    </row>
    <row r="9278">
      <c r="G9278">
        <f>G9277+0.0001</f>
        <v/>
      </c>
    </row>
    <row r="9279">
      <c r="G9279">
        <f>G9278+0.0001</f>
        <v/>
      </c>
    </row>
    <row r="9280">
      <c r="G9280">
        <f>G9279+0.0001</f>
        <v/>
      </c>
    </row>
    <row r="9281">
      <c r="G9281">
        <f>G9280+0.0001</f>
        <v/>
      </c>
    </row>
    <row r="9282">
      <c r="G9282">
        <f>G9281+0.0001</f>
        <v/>
      </c>
    </row>
    <row r="9283">
      <c r="G9283">
        <f>G9282+0.0001</f>
        <v/>
      </c>
    </row>
    <row r="9284">
      <c r="G9284">
        <f>G9283+0.0001</f>
        <v/>
      </c>
    </row>
    <row r="9285">
      <c r="G9285">
        <f>G9284+0.0001</f>
        <v/>
      </c>
    </row>
    <row r="9286">
      <c r="G9286">
        <f>G9285+0.0001</f>
        <v/>
      </c>
    </row>
    <row r="9287">
      <c r="G9287">
        <f>G9286+0.0001</f>
        <v/>
      </c>
    </row>
    <row r="9288">
      <c r="G9288">
        <f>G9287+0.0001</f>
        <v/>
      </c>
    </row>
    <row r="9289">
      <c r="G9289">
        <f>G9288+0.0001</f>
        <v/>
      </c>
    </row>
    <row r="9290">
      <c r="G9290">
        <f>G9289+0.0001</f>
        <v/>
      </c>
    </row>
    <row r="9291">
      <c r="G9291">
        <f>G9290+0.0001</f>
        <v/>
      </c>
    </row>
    <row r="9292">
      <c r="G9292">
        <f>G9291+0.0001</f>
        <v/>
      </c>
    </row>
    <row r="9293">
      <c r="G9293">
        <f>G9292+0.0001</f>
        <v/>
      </c>
    </row>
    <row r="9294">
      <c r="G9294">
        <f>G9293+0.0001</f>
        <v/>
      </c>
    </row>
    <row r="9295">
      <c r="G9295">
        <f>G9294+0.0001</f>
        <v/>
      </c>
    </row>
    <row r="9296">
      <c r="G9296">
        <f>G9295+0.0001</f>
        <v/>
      </c>
    </row>
    <row r="9297">
      <c r="G9297">
        <f>G9296+0.0001</f>
        <v/>
      </c>
    </row>
    <row r="9298">
      <c r="G9298">
        <f>G9297+0.0001</f>
        <v/>
      </c>
    </row>
    <row r="9299">
      <c r="G9299">
        <f>G9298+0.0001</f>
        <v/>
      </c>
    </row>
    <row r="9300">
      <c r="G9300">
        <f>G9299+0.0001</f>
        <v/>
      </c>
    </row>
    <row r="9301">
      <c r="G9301">
        <f>G9300+0.0001</f>
        <v/>
      </c>
    </row>
    <row r="9302">
      <c r="G9302">
        <f>G9301+0.0001</f>
        <v/>
      </c>
    </row>
    <row r="9303">
      <c r="G9303">
        <f>G9302+0.0001</f>
        <v/>
      </c>
    </row>
    <row r="9304">
      <c r="G9304">
        <f>G9303+0.0001</f>
        <v/>
      </c>
    </row>
    <row r="9305">
      <c r="G9305">
        <f>G9304+0.0001</f>
        <v/>
      </c>
    </row>
    <row r="9306">
      <c r="G9306">
        <f>G9305+0.0001</f>
        <v/>
      </c>
    </row>
    <row r="9307">
      <c r="G9307">
        <f>G9306+0.0001</f>
        <v/>
      </c>
    </row>
    <row r="9308">
      <c r="G9308">
        <f>G9307+0.0001</f>
        <v/>
      </c>
    </row>
    <row r="9309">
      <c r="G9309">
        <f>G9308+0.0001</f>
        <v/>
      </c>
    </row>
    <row r="9310">
      <c r="G9310">
        <f>G9309+0.0001</f>
        <v/>
      </c>
    </row>
    <row r="9311">
      <c r="G9311">
        <f>G9310+0.0001</f>
        <v/>
      </c>
    </row>
    <row r="9312">
      <c r="G9312">
        <f>G9311+0.0001</f>
        <v/>
      </c>
    </row>
    <row r="9313">
      <c r="G9313">
        <f>G9312+0.0001</f>
        <v/>
      </c>
    </row>
    <row r="9314">
      <c r="G9314">
        <f>G9313+0.0001</f>
        <v/>
      </c>
    </row>
    <row r="9315">
      <c r="G9315">
        <f>G9314+0.0001</f>
        <v/>
      </c>
    </row>
    <row r="9316">
      <c r="G9316">
        <f>G9315+0.0001</f>
        <v/>
      </c>
    </row>
    <row r="9317">
      <c r="G9317">
        <f>G9316+0.0001</f>
        <v/>
      </c>
    </row>
    <row r="9318">
      <c r="G9318">
        <f>G9317+0.0001</f>
        <v/>
      </c>
    </row>
    <row r="9319">
      <c r="G9319">
        <f>G9318+0.0001</f>
        <v/>
      </c>
    </row>
    <row r="9320">
      <c r="G9320">
        <f>G9319+0.0001</f>
        <v/>
      </c>
    </row>
    <row r="9321">
      <c r="G9321">
        <f>G9320+0.0001</f>
        <v/>
      </c>
    </row>
    <row r="9322">
      <c r="G9322">
        <f>G9321+0.0001</f>
        <v/>
      </c>
    </row>
    <row r="9323">
      <c r="G9323">
        <f>G9322+0.0001</f>
        <v/>
      </c>
    </row>
    <row r="9324">
      <c r="G9324">
        <f>G9323+0.0001</f>
        <v/>
      </c>
    </row>
    <row r="9325">
      <c r="G9325">
        <f>G9324+0.0001</f>
        <v/>
      </c>
    </row>
    <row r="9326">
      <c r="G9326">
        <f>G9325+0.0001</f>
        <v/>
      </c>
    </row>
    <row r="9327">
      <c r="G9327">
        <f>G9326+0.0001</f>
        <v/>
      </c>
    </row>
    <row r="9328">
      <c r="G9328">
        <f>G9327+0.0001</f>
        <v/>
      </c>
    </row>
    <row r="9329">
      <c r="G9329">
        <f>G9328+0.0001</f>
        <v/>
      </c>
    </row>
    <row r="9330">
      <c r="G9330">
        <f>G9329+0.0001</f>
        <v/>
      </c>
    </row>
    <row r="9331">
      <c r="G9331">
        <f>G9330+0.0001</f>
        <v/>
      </c>
    </row>
    <row r="9332">
      <c r="G9332">
        <f>G9331+0.0001</f>
        <v/>
      </c>
    </row>
    <row r="9333">
      <c r="G9333">
        <f>G9332+0.0001</f>
        <v/>
      </c>
    </row>
    <row r="9334">
      <c r="G9334">
        <f>G9333+0.0001</f>
        <v/>
      </c>
    </row>
    <row r="9335">
      <c r="G9335">
        <f>G9334+0.0001</f>
        <v/>
      </c>
    </row>
    <row r="9336">
      <c r="G9336">
        <f>G9335+0.0001</f>
        <v/>
      </c>
    </row>
    <row r="9337">
      <c r="G9337">
        <f>G9336+0.0001</f>
        <v/>
      </c>
    </row>
    <row r="9338">
      <c r="G9338">
        <f>G9337+0.0001</f>
        <v/>
      </c>
    </row>
    <row r="9339">
      <c r="G9339">
        <f>G9338+0.0001</f>
        <v/>
      </c>
    </row>
    <row r="9340">
      <c r="G9340">
        <f>G9339+0.0001</f>
        <v/>
      </c>
    </row>
    <row r="9341">
      <c r="G9341">
        <f>G9340+0.0001</f>
        <v/>
      </c>
    </row>
    <row r="9342">
      <c r="G9342">
        <f>G9341+0.0001</f>
        <v/>
      </c>
    </row>
    <row r="9343">
      <c r="G9343">
        <f>G9342+0.0001</f>
        <v/>
      </c>
    </row>
    <row r="9344">
      <c r="G9344">
        <f>G9343+0.0001</f>
        <v/>
      </c>
    </row>
    <row r="9345">
      <c r="G9345">
        <f>G9344+0.0001</f>
        <v/>
      </c>
    </row>
    <row r="9346">
      <c r="G9346">
        <f>G9345+0.0001</f>
        <v/>
      </c>
    </row>
    <row r="9347">
      <c r="G9347">
        <f>G9346+0.0001</f>
        <v/>
      </c>
    </row>
    <row r="9348">
      <c r="G9348">
        <f>G9347+0.0001</f>
        <v/>
      </c>
    </row>
    <row r="9349">
      <c r="G9349">
        <f>G9348+0.0001</f>
        <v/>
      </c>
    </row>
    <row r="9350">
      <c r="G9350">
        <f>G9349+0.0001</f>
        <v/>
      </c>
    </row>
    <row r="9351">
      <c r="G9351">
        <f>G9350+0.0001</f>
        <v/>
      </c>
    </row>
    <row r="9352">
      <c r="G9352">
        <f>G9351+0.0001</f>
        <v/>
      </c>
    </row>
    <row r="9353">
      <c r="G9353">
        <f>G9352+0.0001</f>
        <v/>
      </c>
    </row>
    <row r="9354">
      <c r="G9354">
        <f>G9353+0.0001</f>
        <v/>
      </c>
    </row>
    <row r="9355">
      <c r="G9355">
        <f>G9354+0.0001</f>
        <v/>
      </c>
    </row>
    <row r="9356">
      <c r="G9356">
        <f>G9355+0.0001</f>
        <v/>
      </c>
    </row>
    <row r="9357">
      <c r="G9357">
        <f>G9356+0.0001</f>
        <v/>
      </c>
    </row>
    <row r="9358">
      <c r="G9358">
        <f>G9357+0.0001</f>
        <v/>
      </c>
    </row>
    <row r="9359">
      <c r="G9359">
        <f>G9358+0.0001</f>
        <v/>
      </c>
    </row>
    <row r="9360">
      <c r="G9360">
        <f>G9359+0.0001</f>
        <v/>
      </c>
    </row>
    <row r="9361">
      <c r="G9361">
        <f>G9360+0.0001</f>
        <v/>
      </c>
    </row>
    <row r="9362">
      <c r="G9362">
        <f>G9361+0.0001</f>
        <v/>
      </c>
    </row>
    <row r="9363">
      <c r="G9363">
        <f>G9362+0.0001</f>
        <v/>
      </c>
    </row>
    <row r="9364">
      <c r="G9364">
        <f>G9363+0.0001</f>
        <v/>
      </c>
    </row>
    <row r="9365">
      <c r="G9365">
        <f>G9364+0.0001</f>
        <v/>
      </c>
    </row>
    <row r="9366">
      <c r="G9366">
        <f>G9365+0.0001</f>
        <v/>
      </c>
    </row>
    <row r="9367">
      <c r="G9367">
        <f>G9366+0.0001</f>
        <v/>
      </c>
    </row>
    <row r="9368">
      <c r="G9368">
        <f>G9367+0.0001</f>
        <v/>
      </c>
    </row>
    <row r="9369">
      <c r="G9369">
        <f>G9368+0.0001</f>
        <v/>
      </c>
    </row>
    <row r="9370">
      <c r="G9370">
        <f>G9369+0.0001</f>
        <v/>
      </c>
    </row>
    <row r="9371">
      <c r="G9371">
        <f>G9370+0.0001</f>
        <v/>
      </c>
    </row>
    <row r="9372">
      <c r="G9372">
        <f>G9371+0.0001</f>
        <v/>
      </c>
    </row>
    <row r="9373">
      <c r="G9373">
        <f>G9372+0.0001</f>
        <v/>
      </c>
    </row>
    <row r="9374">
      <c r="G9374">
        <f>G9373+0.0001</f>
        <v/>
      </c>
    </row>
    <row r="9375">
      <c r="G9375">
        <f>G9374+0.0001</f>
        <v/>
      </c>
    </row>
    <row r="9376">
      <c r="G9376">
        <f>G9375+0.0001</f>
        <v/>
      </c>
    </row>
    <row r="9377">
      <c r="G9377">
        <f>G9376+0.0001</f>
        <v/>
      </c>
    </row>
    <row r="9378">
      <c r="G9378">
        <f>G9377+0.0001</f>
        <v/>
      </c>
    </row>
    <row r="9379">
      <c r="G9379">
        <f>G9378+0.0001</f>
        <v/>
      </c>
    </row>
    <row r="9380">
      <c r="G9380">
        <f>G9379+0.0001</f>
        <v/>
      </c>
    </row>
    <row r="9381">
      <c r="G9381">
        <f>G9380+0.0001</f>
        <v/>
      </c>
    </row>
    <row r="9382">
      <c r="G9382">
        <f>G9381+0.0001</f>
        <v/>
      </c>
    </row>
    <row r="9383">
      <c r="G9383">
        <f>G9382+0.0001</f>
        <v/>
      </c>
    </row>
    <row r="9384">
      <c r="G9384">
        <f>G9383+0.0001</f>
        <v/>
      </c>
    </row>
    <row r="9385">
      <c r="G9385">
        <f>G9384+0.0001</f>
        <v/>
      </c>
    </row>
    <row r="9386">
      <c r="G9386">
        <f>G9385+0.0001</f>
        <v/>
      </c>
    </row>
    <row r="9387">
      <c r="G9387">
        <f>G9386+0.0001</f>
        <v/>
      </c>
    </row>
    <row r="9388">
      <c r="G9388">
        <f>G9387+0.0001</f>
        <v/>
      </c>
    </row>
    <row r="9389">
      <c r="G9389">
        <f>G9388+0.0001</f>
        <v/>
      </c>
    </row>
    <row r="9390">
      <c r="G9390">
        <f>G9389+0.0001</f>
        <v/>
      </c>
    </row>
    <row r="9391">
      <c r="G9391">
        <f>G9390+0.0001</f>
        <v/>
      </c>
    </row>
    <row r="9392">
      <c r="G9392">
        <f>G9391+0.0001</f>
        <v/>
      </c>
    </row>
    <row r="9393">
      <c r="G9393">
        <f>G9392+0.0001</f>
        <v/>
      </c>
    </row>
    <row r="9394">
      <c r="G9394">
        <f>G9393+0.0001</f>
        <v/>
      </c>
    </row>
    <row r="9395">
      <c r="G9395">
        <f>G9394+0.0001</f>
        <v/>
      </c>
    </row>
    <row r="9396">
      <c r="G9396">
        <f>G9395+0.0001</f>
        <v/>
      </c>
    </row>
    <row r="9397">
      <c r="G9397">
        <f>G9396+0.0001</f>
        <v/>
      </c>
    </row>
    <row r="9398">
      <c r="G9398">
        <f>G9397+0.0001</f>
        <v/>
      </c>
    </row>
    <row r="9399">
      <c r="G9399">
        <f>G9398+0.0001</f>
        <v/>
      </c>
    </row>
    <row r="9400">
      <c r="G9400">
        <f>G9399+0.0001</f>
        <v/>
      </c>
    </row>
    <row r="9401">
      <c r="G9401">
        <f>G9400+0.0001</f>
        <v/>
      </c>
    </row>
    <row r="9402">
      <c r="G9402">
        <f>G9401+0.0001</f>
        <v/>
      </c>
    </row>
    <row r="9403">
      <c r="G9403">
        <f>G9402+0.0001</f>
        <v/>
      </c>
    </row>
    <row r="9404">
      <c r="G9404">
        <f>G9403+0.0001</f>
        <v/>
      </c>
    </row>
    <row r="9405">
      <c r="G9405">
        <f>G9404+0.0001</f>
        <v/>
      </c>
    </row>
    <row r="9406">
      <c r="G9406">
        <f>G9405+0.0001</f>
        <v/>
      </c>
    </row>
    <row r="9407">
      <c r="G9407">
        <f>G9406+0.0001</f>
        <v/>
      </c>
    </row>
    <row r="9408">
      <c r="G9408">
        <f>G9407+0.0001</f>
        <v/>
      </c>
    </row>
    <row r="9409">
      <c r="G9409">
        <f>G9408+0.0001</f>
        <v/>
      </c>
    </row>
    <row r="9410">
      <c r="G9410">
        <f>G9409+0.0001</f>
        <v/>
      </c>
    </row>
    <row r="9411">
      <c r="G9411">
        <f>G9410+0.0001</f>
        <v/>
      </c>
    </row>
    <row r="9412">
      <c r="G9412">
        <f>G9411+0.0001</f>
        <v/>
      </c>
    </row>
    <row r="9413">
      <c r="G9413">
        <f>G9412+0.0001</f>
        <v/>
      </c>
    </row>
    <row r="9414">
      <c r="G9414">
        <f>G9413+0.0001</f>
        <v/>
      </c>
    </row>
    <row r="9415">
      <c r="G9415">
        <f>G9414+0.0001</f>
        <v/>
      </c>
    </row>
    <row r="9416">
      <c r="G9416">
        <f>G9415+0.0001</f>
        <v/>
      </c>
    </row>
    <row r="9417">
      <c r="G9417">
        <f>G9416+0.0001</f>
        <v/>
      </c>
    </row>
    <row r="9418">
      <c r="G9418">
        <f>G9417+0.0001</f>
        <v/>
      </c>
    </row>
    <row r="9419">
      <c r="G9419">
        <f>G9418+0.0001</f>
        <v/>
      </c>
    </row>
    <row r="9420">
      <c r="G9420">
        <f>G9419+0.0001</f>
        <v/>
      </c>
    </row>
    <row r="9421">
      <c r="G9421">
        <f>G9420+0.0001</f>
        <v/>
      </c>
    </row>
    <row r="9422">
      <c r="G9422">
        <f>G9421+0.0001</f>
        <v/>
      </c>
    </row>
    <row r="9423">
      <c r="G9423">
        <f>G9422+0.0001</f>
        <v/>
      </c>
    </row>
    <row r="9424">
      <c r="G9424">
        <f>G9423+0.0001</f>
        <v/>
      </c>
    </row>
    <row r="9425">
      <c r="G9425">
        <f>G9424+0.0001</f>
        <v/>
      </c>
    </row>
    <row r="9426">
      <c r="G9426">
        <f>G9425+0.0001</f>
        <v/>
      </c>
    </row>
    <row r="9427">
      <c r="G9427">
        <f>G9426+0.0001</f>
        <v/>
      </c>
    </row>
    <row r="9428">
      <c r="G9428">
        <f>G9427+0.0001</f>
        <v/>
      </c>
    </row>
    <row r="9429">
      <c r="G9429">
        <f>G9428+0.0001</f>
        <v/>
      </c>
    </row>
    <row r="9430">
      <c r="G9430">
        <f>G9429+0.0001</f>
        <v/>
      </c>
    </row>
    <row r="9431">
      <c r="G9431">
        <f>G9430+0.0001</f>
        <v/>
      </c>
    </row>
    <row r="9432">
      <c r="G9432">
        <f>G9431+0.0001</f>
        <v/>
      </c>
    </row>
    <row r="9433">
      <c r="G9433">
        <f>G9432+0.0001</f>
        <v/>
      </c>
    </row>
    <row r="9434">
      <c r="G9434">
        <f>G9433+0.0001</f>
        <v/>
      </c>
    </row>
    <row r="9435">
      <c r="G9435">
        <f>G9434+0.0001</f>
        <v/>
      </c>
    </row>
    <row r="9436">
      <c r="G9436">
        <f>G9435+0.0001</f>
        <v/>
      </c>
    </row>
    <row r="9437">
      <c r="G9437">
        <f>G9436+0.0001</f>
        <v/>
      </c>
    </row>
    <row r="9438">
      <c r="G9438">
        <f>G9437+0.0001</f>
        <v/>
      </c>
    </row>
    <row r="9439">
      <c r="G9439">
        <f>G9438+0.0001</f>
        <v/>
      </c>
    </row>
    <row r="9440">
      <c r="G9440">
        <f>G9439+0.0001</f>
        <v/>
      </c>
    </row>
    <row r="9441">
      <c r="G9441">
        <f>G9440+0.0001</f>
        <v/>
      </c>
    </row>
    <row r="9442">
      <c r="G9442">
        <f>G9441+0.0001</f>
        <v/>
      </c>
    </row>
    <row r="9443">
      <c r="G9443">
        <f>G9442+0.0001</f>
        <v/>
      </c>
    </row>
    <row r="9444">
      <c r="G9444">
        <f>G9443+0.0001</f>
        <v/>
      </c>
    </row>
    <row r="9445">
      <c r="G9445">
        <f>G9444+0.0001</f>
        <v/>
      </c>
    </row>
    <row r="9446">
      <c r="G9446">
        <f>G9445+0.0001</f>
        <v/>
      </c>
    </row>
    <row r="9447">
      <c r="G9447">
        <f>G9446+0.0001</f>
        <v/>
      </c>
    </row>
    <row r="9448">
      <c r="G9448">
        <f>G9447+0.0001</f>
        <v/>
      </c>
    </row>
    <row r="9449">
      <c r="G9449">
        <f>G9448+0.0001</f>
        <v/>
      </c>
    </row>
    <row r="9450">
      <c r="G9450">
        <f>G9449+0.0001</f>
        <v/>
      </c>
    </row>
    <row r="9451">
      <c r="G9451">
        <f>G9450+0.0001</f>
        <v/>
      </c>
    </row>
    <row r="9452">
      <c r="G9452">
        <f>G9451+0.0001</f>
        <v/>
      </c>
    </row>
    <row r="9453">
      <c r="G9453">
        <f>G9452+0.0001</f>
        <v/>
      </c>
    </row>
    <row r="9454">
      <c r="G9454">
        <f>G9453+0.0001</f>
        <v/>
      </c>
    </row>
    <row r="9455">
      <c r="G9455">
        <f>G9454+0.0001</f>
        <v/>
      </c>
    </row>
    <row r="9456">
      <c r="G9456">
        <f>G9455+0.0001</f>
        <v/>
      </c>
    </row>
    <row r="9457">
      <c r="G9457">
        <f>G9456+0.0001</f>
        <v/>
      </c>
    </row>
    <row r="9458">
      <c r="G9458">
        <f>G9457+0.0001</f>
        <v/>
      </c>
    </row>
    <row r="9459">
      <c r="G9459">
        <f>G9458+0.0001</f>
        <v/>
      </c>
    </row>
    <row r="9460">
      <c r="G9460">
        <f>G9459+0.0001</f>
        <v/>
      </c>
    </row>
    <row r="9461">
      <c r="G9461">
        <f>G9460+0.0001</f>
        <v/>
      </c>
    </row>
    <row r="9462">
      <c r="G9462">
        <f>G9461+0.0001</f>
        <v/>
      </c>
    </row>
    <row r="9463">
      <c r="G9463">
        <f>G9462+0.0001</f>
        <v/>
      </c>
    </row>
    <row r="9464">
      <c r="G9464">
        <f>G9463+0.0001</f>
        <v/>
      </c>
    </row>
    <row r="9465">
      <c r="G9465">
        <f>G9464+0.0001</f>
        <v/>
      </c>
    </row>
    <row r="9466">
      <c r="G9466">
        <f>G9465+0.0001</f>
        <v/>
      </c>
    </row>
    <row r="9467">
      <c r="G9467">
        <f>G9466+0.0001</f>
        <v/>
      </c>
    </row>
    <row r="9468">
      <c r="G9468">
        <f>G9467+0.0001</f>
        <v/>
      </c>
    </row>
    <row r="9469">
      <c r="G9469">
        <f>G9468+0.0001</f>
        <v/>
      </c>
    </row>
    <row r="9470">
      <c r="G9470">
        <f>G9469+0.0001</f>
        <v/>
      </c>
    </row>
    <row r="9471">
      <c r="G9471">
        <f>G9470+0.0001</f>
        <v/>
      </c>
    </row>
    <row r="9472">
      <c r="G9472">
        <f>G9471+0.0001</f>
        <v/>
      </c>
    </row>
    <row r="9473">
      <c r="G9473">
        <f>G9472+0.0001</f>
        <v/>
      </c>
    </row>
    <row r="9474">
      <c r="G9474">
        <f>G9473+0.0001</f>
        <v/>
      </c>
    </row>
    <row r="9475">
      <c r="G9475">
        <f>G9474+0.0001</f>
        <v/>
      </c>
    </row>
    <row r="9476">
      <c r="G9476">
        <f>G9475+0.0001</f>
        <v/>
      </c>
    </row>
    <row r="9477">
      <c r="G9477">
        <f>G9476+0.0001</f>
        <v/>
      </c>
    </row>
    <row r="9478">
      <c r="G9478">
        <f>G9477+0.0001</f>
        <v/>
      </c>
    </row>
    <row r="9479">
      <c r="G9479">
        <f>G9478+0.0001</f>
        <v/>
      </c>
    </row>
    <row r="9480">
      <c r="G9480">
        <f>G9479+0.0001</f>
        <v/>
      </c>
    </row>
    <row r="9481">
      <c r="G9481">
        <f>G9480+0.0001</f>
        <v/>
      </c>
    </row>
    <row r="9482">
      <c r="G9482">
        <f>G9481+0.0001</f>
        <v/>
      </c>
    </row>
    <row r="9483">
      <c r="G9483">
        <f>G9482+0.0001</f>
        <v/>
      </c>
    </row>
    <row r="9484">
      <c r="G9484">
        <f>G9483+0.0001</f>
        <v/>
      </c>
    </row>
    <row r="9485">
      <c r="G9485">
        <f>G9484+0.0001</f>
        <v/>
      </c>
    </row>
    <row r="9486">
      <c r="G9486">
        <f>G9485+0.0001</f>
        <v/>
      </c>
    </row>
    <row r="9487">
      <c r="G9487">
        <f>G9486+0.0001</f>
        <v/>
      </c>
    </row>
    <row r="9488">
      <c r="G9488">
        <f>G9487+0.0001</f>
        <v/>
      </c>
    </row>
    <row r="9489">
      <c r="G9489">
        <f>G9488+0.0001</f>
        <v/>
      </c>
    </row>
    <row r="9490">
      <c r="G9490">
        <f>G9489+0.0001</f>
        <v/>
      </c>
    </row>
    <row r="9491">
      <c r="G9491">
        <f>G9490+0.0001</f>
        <v/>
      </c>
    </row>
    <row r="9492">
      <c r="G9492">
        <f>G9491+0.0001</f>
        <v/>
      </c>
    </row>
    <row r="9493">
      <c r="G9493">
        <f>G9492+0.0001</f>
        <v/>
      </c>
    </row>
    <row r="9494">
      <c r="G9494">
        <f>G9493+0.0001</f>
        <v/>
      </c>
    </row>
    <row r="9495">
      <c r="G9495">
        <f>G9494+0.0001</f>
        <v/>
      </c>
    </row>
    <row r="9496">
      <c r="G9496">
        <f>G9495+0.0001</f>
        <v/>
      </c>
    </row>
    <row r="9497">
      <c r="G9497">
        <f>G9496+0.0001</f>
        <v/>
      </c>
    </row>
    <row r="9498">
      <c r="G9498">
        <f>G9497+0.0001</f>
        <v/>
      </c>
    </row>
    <row r="9499">
      <c r="G9499">
        <f>G9498+0.0001</f>
        <v/>
      </c>
    </row>
    <row r="9500">
      <c r="G9500">
        <f>G9499+0.0001</f>
        <v/>
      </c>
    </row>
    <row r="9501">
      <c r="G9501">
        <f>G9500+0.0001</f>
        <v/>
      </c>
    </row>
    <row r="9502">
      <c r="G9502">
        <f>G9501+0.0001</f>
        <v/>
      </c>
    </row>
    <row r="9503">
      <c r="G9503">
        <f>G9502+0.0001</f>
        <v/>
      </c>
    </row>
    <row r="9504">
      <c r="G9504">
        <f>G9503+0.0001</f>
        <v/>
      </c>
    </row>
    <row r="9505">
      <c r="G9505">
        <f>G9504+0.0001</f>
        <v/>
      </c>
    </row>
    <row r="9506">
      <c r="G9506">
        <f>G9505+0.0001</f>
        <v/>
      </c>
    </row>
    <row r="9507">
      <c r="G9507">
        <f>G9506+0.0001</f>
        <v/>
      </c>
    </row>
    <row r="9508">
      <c r="G9508">
        <f>G9507+0.0001</f>
        <v/>
      </c>
    </row>
    <row r="9509">
      <c r="G9509">
        <f>G9508+0.0001</f>
        <v/>
      </c>
    </row>
    <row r="9510">
      <c r="G9510">
        <f>G9509+0.0001</f>
        <v/>
      </c>
    </row>
    <row r="9511">
      <c r="G9511">
        <f>G9510+0.0001</f>
        <v/>
      </c>
    </row>
    <row r="9512">
      <c r="G9512">
        <f>G9511+0.0001</f>
        <v/>
      </c>
    </row>
    <row r="9513">
      <c r="G9513">
        <f>G9512+0.0001</f>
        <v/>
      </c>
    </row>
    <row r="9514">
      <c r="G9514">
        <f>G9513+0.0001</f>
        <v/>
      </c>
    </row>
    <row r="9515">
      <c r="G9515">
        <f>G9514+0.0001</f>
        <v/>
      </c>
    </row>
    <row r="9516">
      <c r="G9516">
        <f>G9515+0.0001</f>
        <v/>
      </c>
    </row>
    <row r="9517">
      <c r="G9517">
        <f>G9516+0.0001</f>
        <v/>
      </c>
    </row>
    <row r="9518">
      <c r="G9518">
        <f>G9517+0.0001</f>
        <v/>
      </c>
    </row>
    <row r="9519">
      <c r="G9519">
        <f>G9518+0.0001</f>
        <v/>
      </c>
    </row>
    <row r="9520">
      <c r="G9520">
        <f>G9519+0.0001</f>
        <v/>
      </c>
    </row>
    <row r="9521">
      <c r="G9521">
        <f>G9520+0.0001</f>
        <v/>
      </c>
    </row>
    <row r="9522">
      <c r="G9522">
        <f>G9521+0.0001</f>
        <v/>
      </c>
    </row>
    <row r="9523">
      <c r="G9523">
        <f>G9522+0.0001</f>
        <v/>
      </c>
    </row>
    <row r="9524">
      <c r="G9524">
        <f>G9523+0.0001</f>
        <v/>
      </c>
    </row>
    <row r="9525">
      <c r="G9525">
        <f>G9524+0.0001</f>
        <v/>
      </c>
    </row>
    <row r="9526">
      <c r="G9526">
        <f>G9525+0.0001</f>
        <v/>
      </c>
    </row>
    <row r="9527">
      <c r="G9527">
        <f>G9526+0.0001</f>
        <v/>
      </c>
    </row>
    <row r="9528">
      <c r="G9528">
        <f>G9527+0.0001</f>
        <v/>
      </c>
    </row>
    <row r="9529">
      <c r="G9529">
        <f>G9528+0.0001</f>
        <v/>
      </c>
    </row>
    <row r="9530">
      <c r="G9530">
        <f>G9529+0.0001</f>
        <v/>
      </c>
    </row>
    <row r="9531">
      <c r="G9531">
        <f>G9530+0.0001</f>
        <v/>
      </c>
    </row>
    <row r="9532">
      <c r="G9532">
        <f>G9531+0.0001</f>
        <v/>
      </c>
    </row>
    <row r="9533">
      <c r="G9533">
        <f>G9532+0.0001</f>
        <v/>
      </c>
    </row>
    <row r="9534">
      <c r="G9534">
        <f>G9533+0.0001</f>
        <v/>
      </c>
    </row>
    <row r="9535">
      <c r="G9535">
        <f>G9534+0.0001</f>
        <v/>
      </c>
    </row>
    <row r="9536">
      <c r="G9536">
        <f>G9535+0.0001</f>
        <v/>
      </c>
    </row>
    <row r="9537">
      <c r="G9537">
        <f>G9536+0.0001</f>
        <v/>
      </c>
    </row>
    <row r="9538">
      <c r="G9538">
        <f>G9537+0.0001</f>
        <v/>
      </c>
    </row>
    <row r="9539">
      <c r="G9539">
        <f>G9538+0.0001</f>
        <v/>
      </c>
    </row>
    <row r="9540">
      <c r="G9540">
        <f>G9539+0.0001</f>
        <v/>
      </c>
    </row>
    <row r="9541">
      <c r="G9541">
        <f>G9540+0.0001</f>
        <v/>
      </c>
    </row>
    <row r="9542">
      <c r="G9542">
        <f>G9541+0.0001</f>
        <v/>
      </c>
    </row>
    <row r="9543">
      <c r="G9543">
        <f>G9542+0.0001</f>
        <v/>
      </c>
    </row>
    <row r="9544">
      <c r="G9544">
        <f>G9543+0.0001</f>
        <v/>
      </c>
    </row>
    <row r="9545">
      <c r="G9545">
        <f>G9544+0.0001</f>
        <v/>
      </c>
    </row>
    <row r="9546">
      <c r="G9546">
        <f>G9545+0.0001</f>
        <v/>
      </c>
    </row>
    <row r="9547">
      <c r="G9547">
        <f>G9546+0.0001</f>
        <v/>
      </c>
    </row>
    <row r="9548">
      <c r="G9548">
        <f>G9547+0.0001</f>
        <v/>
      </c>
    </row>
    <row r="9549">
      <c r="G9549">
        <f>G9548+0.0001</f>
        <v/>
      </c>
    </row>
    <row r="9550">
      <c r="G9550">
        <f>G9549+0.0001</f>
        <v/>
      </c>
    </row>
    <row r="9551">
      <c r="G9551">
        <f>G9550+0.0001</f>
        <v/>
      </c>
    </row>
    <row r="9552">
      <c r="G9552">
        <f>G9551+0.0001</f>
        <v/>
      </c>
    </row>
    <row r="9553">
      <c r="G9553">
        <f>G9552+0.0001</f>
        <v/>
      </c>
    </row>
    <row r="9554">
      <c r="G9554">
        <f>G9553+0.0001</f>
        <v/>
      </c>
    </row>
    <row r="9555">
      <c r="G9555">
        <f>G9554+0.0001</f>
        <v/>
      </c>
    </row>
    <row r="9556">
      <c r="G9556">
        <f>G9555+0.0001</f>
        <v/>
      </c>
    </row>
    <row r="9557">
      <c r="G9557">
        <f>G9556+0.0001</f>
        <v/>
      </c>
    </row>
    <row r="9558">
      <c r="G9558">
        <f>G9557+0.0001</f>
        <v/>
      </c>
    </row>
    <row r="9559">
      <c r="G9559">
        <f>G9558+0.0001</f>
        <v/>
      </c>
    </row>
    <row r="9560">
      <c r="G9560">
        <f>G9559+0.0001</f>
        <v/>
      </c>
    </row>
    <row r="9561">
      <c r="G9561">
        <f>G9560+0.0001</f>
        <v/>
      </c>
    </row>
    <row r="9562">
      <c r="G9562">
        <f>G9561+0.0001</f>
        <v/>
      </c>
    </row>
    <row r="9563">
      <c r="G9563">
        <f>G9562+0.0001</f>
        <v/>
      </c>
    </row>
    <row r="9564">
      <c r="G9564">
        <f>G9563+0.0001</f>
        <v/>
      </c>
    </row>
    <row r="9565">
      <c r="G9565">
        <f>G9564+0.0001</f>
        <v/>
      </c>
    </row>
    <row r="9566">
      <c r="G9566">
        <f>G9565+0.0001</f>
        <v/>
      </c>
    </row>
    <row r="9567">
      <c r="G9567">
        <f>G9566+0.0001</f>
        <v/>
      </c>
    </row>
    <row r="9568">
      <c r="G9568">
        <f>G9567+0.0001</f>
        <v/>
      </c>
    </row>
    <row r="9569">
      <c r="G9569">
        <f>G9568+0.0001</f>
        <v/>
      </c>
    </row>
    <row r="9570">
      <c r="G9570">
        <f>G9569+0.0001</f>
        <v/>
      </c>
    </row>
    <row r="9571">
      <c r="G9571">
        <f>G9570+0.0001</f>
        <v/>
      </c>
    </row>
    <row r="9572">
      <c r="G9572">
        <f>G9571+0.0001</f>
        <v/>
      </c>
    </row>
    <row r="9573">
      <c r="G9573">
        <f>G9572+0.0001</f>
        <v/>
      </c>
    </row>
    <row r="9574">
      <c r="G9574">
        <f>G9573+0.0001</f>
        <v/>
      </c>
    </row>
    <row r="9575">
      <c r="G9575">
        <f>G9574+0.0001</f>
        <v/>
      </c>
    </row>
    <row r="9576">
      <c r="G9576">
        <f>G9575+0.0001</f>
        <v/>
      </c>
    </row>
    <row r="9577">
      <c r="G9577">
        <f>G9576+0.0001</f>
        <v/>
      </c>
    </row>
    <row r="9578">
      <c r="G9578">
        <f>G9577+0.0001</f>
        <v/>
      </c>
    </row>
    <row r="9579">
      <c r="G9579">
        <f>G9578+0.0001</f>
        <v/>
      </c>
    </row>
    <row r="9580">
      <c r="G9580">
        <f>G9579+0.0001</f>
        <v/>
      </c>
    </row>
    <row r="9581">
      <c r="G9581">
        <f>G9580+0.0001</f>
        <v/>
      </c>
    </row>
    <row r="9582">
      <c r="G9582">
        <f>G9581+0.0001</f>
        <v/>
      </c>
    </row>
    <row r="9583">
      <c r="G9583">
        <f>G9582+0.0001</f>
        <v/>
      </c>
    </row>
    <row r="9584">
      <c r="G9584">
        <f>G9583+0.0001</f>
        <v/>
      </c>
    </row>
    <row r="9585">
      <c r="G9585">
        <f>G9584+0.0001</f>
        <v/>
      </c>
    </row>
    <row r="9586">
      <c r="G9586">
        <f>G9585+0.0001</f>
        <v/>
      </c>
    </row>
    <row r="9587">
      <c r="G9587">
        <f>G9586+0.0001</f>
        <v/>
      </c>
    </row>
    <row r="9588">
      <c r="G9588">
        <f>G9587+0.0001</f>
        <v/>
      </c>
    </row>
    <row r="9589">
      <c r="G9589">
        <f>G9588+0.0001</f>
        <v/>
      </c>
    </row>
    <row r="9590">
      <c r="G9590">
        <f>G9589+0.0001</f>
        <v/>
      </c>
    </row>
    <row r="9591">
      <c r="G9591">
        <f>G9590+0.0001</f>
        <v/>
      </c>
    </row>
    <row r="9592">
      <c r="G9592">
        <f>G9591+0.0001</f>
        <v/>
      </c>
    </row>
    <row r="9593">
      <c r="G9593">
        <f>G9592+0.0001</f>
        <v/>
      </c>
    </row>
    <row r="9594">
      <c r="G9594">
        <f>G9593+0.0001</f>
        <v/>
      </c>
    </row>
    <row r="9595">
      <c r="G9595">
        <f>G9594+0.0001</f>
        <v/>
      </c>
    </row>
    <row r="9596">
      <c r="G9596">
        <f>G9595+0.0001</f>
        <v/>
      </c>
    </row>
    <row r="9597">
      <c r="G9597">
        <f>G9596+0.0001</f>
        <v/>
      </c>
    </row>
    <row r="9598">
      <c r="G9598">
        <f>G9597+0.0001</f>
        <v/>
      </c>
    </row>
    <row r="9599">
      <c r="G9599">
        <f>G9598+0.0001</f>
        <v/>
      </c>
    </row>
    <row r="9600">
      <c r="G9600">
        <f>G9599+0.0001</f>
        <v/>
      </c>
    </row>
    <row r="9601">
      <c r="G9601">
        <f>G9600+0.0001</f>
        <v/>
      </c>
    </row>
    <row r="9602">
      <c r="G9602">
        <f>G9601+0.0001</f>
        <v/>
      </c>
    </row>
    <row r="9603">
      <c r="G9603">
        <f>G9602+0.0001</f>
        <v/>
      </c>
    </row>
    <row r="9604">
      <c r="G9604">
        <f>G9603+0.0001</f>
        <v/>
      </c>
    </row>
    <row r="9605">
      <c r="G9605">
        <f>G9604+0.0001</f>
        <v/>
      </c>
    </row>
    <row r="9606">
      <c r="G9606">
        <f>G9605+0.0001</f>
        <v/>
      </c>
    </row>
    <row r="9607">
      <c r="G9607">
        <f>G9606+0.0001</f>
        <v/>
      </c>
    </row>
    <row r="9608">
      <c r="G9608">
        <f>G9607+0.0001</f>
        <v/>
      </c>
    </row>
    <row r="9609">
      <c r="G9609">
        <f>G9608+0.0001</f>
        <v/>
      </c>
    </row>
    <row r="9610">
      <c r="G9610">
        <f>G9609+0.0001</f>
        <v/>
      </c>
    </row>
    <row r="9611">
      <c r="G9611">
        <f>G9610+0.0001</f>
        <v/>
      </c>
    </row>
    <row r="9612">
      <c r="G9612">
        <f>G9611+0.0001</f>
        <v/>
      </c>
    </row>
    <row r="9613">
      <c r="G9613">
        <f>G9612+0.0001</f>
        <v/>
      </c>
    </row>
    <row r="9614">
      <c r="G9614">
        <f>G9613+0.0001</f>
        <v/>
      </c>
    </row>
    <row r="9615">
      <c r="G9615">
        <f>G9614+0.0001</f>
        <v/>
      </c>
    </row>
    <row r="9616">
      <c r="G9616">
        <f>G9615+0.0001</f>
        <v/>
      </c>
    </row>
    <row r="9617">
      <c r="G9617">
        <f>G9616+0.0001</f>
        <v/>
      </c>
    </row>
    <row r="9618">
      <c r="G9618">
        <f>G9617+0.0001</f>
        <v/>
      </c>
    </row>
    <row r="9619">
      <c r="G9619">
        <f>G9618+0.0001</f>
        <v/>
      </c>
    </row>
    <row r="9620">
      <c r="G9620">
        <f>G9619+0.0001</f>
        <v/>
      </c>
    </row>
    <row r="9621">
      <c r="G9621">
        <f>G9620+0.0001</f>
        <v/>
      </c>
    </row>
    <row r="9622">
      <c r="G9622">
        <f>G9621+0.0001</f>
        <v/>
      </c>
    </row>
    <row r="9623">
      <c r="G9623">
        <f>G9622+0.0001</f>
        <v/>
      </c>
    </row>
    <row r="9624">
      <c r="G9624">
        <f>G9623+0.0001</f>
        <v/>
      </c>
    </row>
    <row r="9625">
      <c r="G9625">
        <f>G9624+0.0001</f>
        <v/>
      </c>
    </row>
    <row r="9626">
      <c r="G9626">
        <f>G9625+0.0001</f>
        <v/>
      </c>
    </row>
    <row r="9627">
      <c r="G9627">
        <f>G9626+0.0001</f>
        <v/>
      </c>
    </row>
    <row r="9628">
      <c r="G9628">
        <f>G9627+0.0001</f>
        <v/>
      </c>
    </row>
    <row r="9629">
      <c r="G9629">
        <f>G9628+0.0001</f>
        <v/>
      </c>
    </row>
    <row r="9630">
      <c r="G9630">
        <f>G9629+0.0001</f>
        <v/>
      </c>
    </row>
    <row r="9631">
      <c r="G9631">
        <f>G9630+0.0001</f>
        <v/>
      </c>
    </row>
    <row r="9632">
      <c r="G9632">
        <f>G9631+0.0001</f>
        <v/>
      </c>
    </row>
    <row r="9633">
      <c r="G9633">
        <f>G9632+0.0001</f>
        <v/>
      </c>
    </row>
    <row r="9634">
      <c r="G9634">
        <f>G9633+0.0001</f>
        <v/>
      </c>
    </row>
    <row r="9635">
      <c r="G9635">
        <f>G9634+0.0001</f>
        <v/>
      </c>
    </row>
    <row r="9636">
      <c r="G9636">
        <f>G9635+0.0001</f>
        <v/>
      </c>
    </row>
    <row r="9637">
      <c r="G9637">
        <f>G9636+0.0001</f>
        <v/>
      </c>
    </row>
    <row r="9638">
      <c r="G9638">
        <f>G9637+0.0001</f>
        <v/>
      </c>
    </row>
    <row r="9639">
      <c r="G9639">
        <f>G9638+0.0001</f>
        <v/>
      </c>
    </row>
    <row r="9640">
      <c r="G9640">
        <f>G9639+0.0001</f>
        <v/>
      </c>
    </row>
    <row r="9641">
      <c r="G9641">
        <f>G9640+0.0001</f>
        <v/>
      </c>
    </row>
    <row r="9642">
      <c r="G9642">
        <f>G9641+0.0001</f>
        <v/>
      </c>
    </row>
    <row r="9643">
      <c r="G9643">
        <f>G9642+0.0001</f>
        <v/>
      </c>
    </row>
    <row r="9644">
      <c r="G9644">
        <f>G9643+0.0001</f>
        <v/>
      </c>
    </row>
    <row r="9645">
      <c r="G9645">
        <f>G9644+0.0001</f>
        <v/>
      </c>
    </row>
    <row r="9646">
      <c r="G9646">
        <f>G9645+0.0001</f>
        <v/>
      </c>
    </row>
    <row r="9647">
      <c r="G9647">
        <f>G9646+0.0001</f>
        <v/>
      </c>
    </row>
    <row r="9648">
      <c r="G9648">
        <f>G9647+0.0001</f>
        <v/>
      </c>
    </row>
    <row r="9649">
      <c r="G9649">
        <f>G9648+0.0001</f>
        <v/>
      </c>
    </row>
    <row r="9650">
      <c r="G9650">
        <f>G9649+0.0001</f>
        <v/>
      </c>
    </row>
    <row r="9651">
      <c r="G9651">
        <f>G9650+0.0001</f>
        <v/>
      </c>
    </row>
    <row r="9652">
      <c r="G9652">
        <f>G9651+0.0001</f>
        <v/>
      </c>
    </row>
    <row r="9653">
      <c r="G9653">
        <f>G9652+0.0001</f>
        <v/>
      </c>
    </row>
    <row r="9654">
      <c r="G9654">
        <f>G9653+0.0001</f>
        <v/>
      </c>
    </row>
    <row r="9655">
      <c r="G9655">
        <f>G9654+0.0001</f>
        <v/>
      </c>
    </row>
    <row r="9656">
      <c r="G9656">
        <f>G9655+0.0001</f>
        <v/>
      </c>
    </row>
    <row r="9657">
      <c r="G9657">
        <f>G9656+0.0001</f>
        <v/>
      </c>
    </row>
    <row r="9658">
      <c r="G9658">
        <f>G9657+0.0001</f>
        <v/>
      </c>
    </row>
    <row r="9659">
      <c r="G9659">
        <f>G9658+0.0001</f>
        <v/>
      </c>
    </row>
    <row r="9660">
      <c r="G9660">
        <f>G9659+0.0001</f>
        <v/>
      </c>
    </row>
    <row r="9661">
      <c r="G9661">
        <f>G9660+0.0001</f>
        <v/>
      </c>
    </row>
    <row r="9662">
      <c r="G9662">
        <f>G9661+0.0001</f>
        <v/>
      </c>
    </row>
    <row r="9663">
      <c r="G9663">
        <f>G9662+0.0001</f>
        <v/>
      </c>
    </row>
    <row r="9664">
      <c r="G9664">
        <f>G9663+0.0001</f>
        <v/>
      </c>
    </row>
    <row r="9665">
      <c r="G9665">
        <f>G9664+0.0001</f>
        <v/>
      </c>
    </row>
    <row r="9666">
      <c r="G9666">
        <f>G9665+0.0001</f>
        <v/>
      </c>
    </row>
    <row r="9667">
      <c r="G9667">
        <f>G9666+0.0001</f>
        <v/>
      </c>
    </row>
    <row r="9668">
      <c r="G9668">
        <f>G9667+0.0001</f>
        <v/>
      </c>
    </row>
    <row r="9669">
      <c r="G9669">
        <f>G9668+0.0001</f>
        <v/>
      </c>
    </row>
    <row r="9670">
      <c r="G9670">
        <f>G9669+0.0001</f>
        <v/>
      </c>
    </row>
    <row r="9671">
      <c r="G9671">
        <f>G9670+0.0001</f>
        <v/>
      </c>
    </row>
    <row r="9672">
      <c r="G9672">
        <f>G9671+0.0001</f>
        <v/>
      </c>
    </row>
    <row r="9673">
      <c r="G9673">
        <f>G9672+0.0001</f>
        <v/>
      </c>
    </row>
    <row r="9674">
      <c r="G9674">
        <f>G9673+0.0001</f>
        <v/>
      </c>
    </row>
    <row r="9675">
      <c r="G9675">
        <f>G9674+0.0001</f>
        <v/>
      </c>
    </row>
    <row r="9676">
      <c r="G9676">
        <f>G9675+0.0001</f>
        <v/>
      </c>
    </row>
    <row r="9677">
      <c r="G9677">
        <f>G9676+0.0001</f>
        <v/>
      </c>
    </row>
    <row r="9678">
      <c r="G9678">
        <f>G9677+0.0001</f>
        <v/>
      </c>
    </row>
    <row r="9679">
      <c r="G9679">
        <f>G9678+0.0001</f>
        <v/>
      </c>
    </row>
    <row r="9680">
      <c r="G9680">
        <f>G9679+0.0001</f>
        <v/>
      </c>
    </row>
    <row r="9681">
      <c r="G9681">
        <f>G9680+0.0001</f>
        <v/>
      </c>
    </row>
    <row r="9682">
      <c r="G9682">
        <f>G9681+0.0001</f>
        <v/>
      </c>
    </row>
    <row r="9683">
      <c r="G9683">
        <f>G9682+0.0001</f>
        <v/>
      </c>
    </row>
    <row r="9684">
      <c r="G9684">
        <f>G9683+0.0001</f>
        <v/>
      </c>
    </row>
    <row r="9685">
      <c r="G9685">
        <f>G9684+0.0001</f>
        <v/>
      </c>
    </row>
    <row r="9686">
      <c r="G9686">
        <f>G9685+0.0001</f>
        <v/>
      </c>
    </row>
    <row r="9687">
      <c r="G9687">
        <f>G9686+0.0001</f>
        <v/>
      </c>
    </row>
    <row r="9688">
      <c r="G9688">
        <f>G9687+0.0001</f>
        <v/>
      </c>
    </row>
    <row r="9689">
      <c r="G9689">
        <f>G9688+0.0001</f>
        <v/>
      </c>
    </row>
    <row r="9690">
      <c r="G9690">
        <f>G9689+0.0001</f>
        <v/>
      </c>
    </row>
    <row r="9691">
      <c r="G9691">
        <f>G9690+0.0001</f>
        <v/>
      </c>
    </row>
    <row r="9692">
      <c r="G9692">
        <f>G9691+0.0001</f>
        <v/>
      </c>
    </row>
    <row r="9693">
      <c r="G9693">
        <f>G9692+0.0001</f>
        <v/>
      </c>
    </row>
    <row r="9694">
      <c r="G9694">
        <f>G9693+0.0001</f>
        <v/>
      </c>
    </row>
    <row r="9695">
      <c r="G9695">
        <f>G9694+0.0001</f>
        <v/>
      </c>
    </row>
    <row r="9696">
      <c r="G9696">
        <f>G9695+0.0001</f>
        <v/>
      </c>
    </row>
    <row r="9697">
      <c r="G9697">
        <f>G9696+0.0001</f>
        <v/>
      </c>
    </row>
    <row r="9698">
      <c r="G9698">
        <f>G9697+0.0001</f>
        <v/>
      </c>
    </row>
    <row r="9699">
      <c r="G9699">
        <f>G9698+0.0001</f>
        <v/>
      </c>
    </row>
    <row r="9700">
      <c r="G9700">
        <f>G9699+0.0001</f>
        <v/>
      </c>
    </row>
    <row r="9701">
      <c r="G9701">
        <f>G9700+0.0001</f>
        <v/>
      </c>
    </row>
    <row r="9702">
      <c r="G9702">
        <f>G9701+0.0001</f>
        <v/>
      </c>
    </row>
    <row r="9703">
      <c r="G9703">
        <f>G9702+0.0001</f>
        <v/>
      </c>
    </row>
    <row r="9704">
      <c r="G9704">
        <f>G9703+0.0001</f>
        <v/>
      </c>
    </row>
    <row r="9705">
      <c r="G9705">
        <f>G9704+0.0001</f>
        <v/>
      </c>
    </row>
    <row r="9706">
      <c r="G9706">
        <f>G9705+0.0001</f>
        <v/>
      </c>
    </row>
    <row r="9707">
      <c r="G9707">
        <f>G9706+0.0001</f>
        <v/>
      </c>
    </row>
    <row r="9708">
      <c r="G9708">
        <f>G9707+0.0001</f>
        <v/>
      </c>
    </row>
    <row r="9709">
      <c r="G9709">
        <f>G9708+0.0001</f>
        <v/>
      </c>
    </row>
    <row r="9710">
      <c r="G9710">
        <f>G9709+0.0001</f>
        <v/>
      </c>
    </row>
    <row r="9711">
      <c r="G9711">
        <f>G9710+0.0001</f>
        <v/>
      </c>
    </row>
    <row r="9712">
      <c r="G9712">
        <f>G9711+0.0001</f>
        <v/>
      </c>
    </row>
    <row r="9713">
      <c r="G9713">
        <f>G9712+0.0001</f>
        <v/>
      </c>
    </row>
    <row r="9714">
      <c r="G9714">
        <f>G9713+0.0001</f>
        <v/>
      </c>
    </row>
    <row r="9715">
      <c r="G9715">
        <f>G9714+0.0001</f>
        <v/>
      </c>
    </row>
    <row r="9716">
      <c r="G9716">
        <f>G9715+0.0001</f>
        <v/>
      </c>
    </row>
    <row r="9717">
      <c r="G9717">
        <f>G9716+0.0001</f>
        <v/>
      </c>
    </row>
    <row r="9718">
      <c r="G9718">
        <f>G9717+0.0001</f>
        <v/>
      </c>
    </row>
    <row r="9719">
      <c r="G9719">
        <f>G9718+0.0001</f>
        <v/>
      </c>
    </row>
    <row r="9720">
      <c r="G9720">
        <f>G9719+0.0001</f>
        <v/>
      </c>
    </row>
    <row r="9721">
      <c r="G9721">
        <f>G9720+0.0001</f>
        <v/>
      </c>
    </row>
    <row r="9722">
      <c r="G9722">
        <f>G9721+0.0001</f>
        <v/>
      </c>
    </row>
    <row r="9723">
      <c r="G9723">
        <f>G9722+0.0001</f>
        <v/>
      </c>
    </row>
    <row r="9724">
      <c r="G9724">
        <f>G9723+0.0001</f>
        <v/>
      </c>
    </row>
    <row r="9725">
      <c r="G9725">
        <f>G9724+0.0001</f>
        <v/>
      </c>
    </row>
    <row r="9726">
      <c r="G9726">
        <f>G9725+0.0001</f>
        <v/>
      </c>
    </row>
    <row r="9727">
      <c r="G9727">
        <f>G9726+0.0001</f>
        <v/>
      </c>
    </row>
    <row r="9728">
      <c r="G9728">
        <f>G9727+0.0001</f>
        <v/>
      </c>
    </row>
    <row r="9729">
      <c r="G9729">
        <f>G9728+0.0001</f>
        <v/>
      </c>
    </row>
    <row r="9730">
      <c r="G9730">
        <f>G9729+0.0001</f>
        <v/>
      </c>
    </row>
    <row r="9731">
      <c r="G9731">
        <f>G9730+0.0001</f>
        <v/>
      </c>
    </row>
    <row r="9732">
      <c r="G9732">
        <f>G9731+0.0001</f>
        <v/>
      </c>
    </row>
    <row r="9733">
      <c r="G9733">
        <f>G9732+0.0001</f>
        <v/>
      </c>
    </row>
    <row r="9734">
      <c r="G9734">
        <f>G9733+0.0001</f>
        <v/>
      </c>
    </row>
    <row r="9735">
      <c r="G9735">
        <f>G9734+0.0001</f>
        <v/>
      </c>
    </row>
    <row r="9736">
      <c r="G9736">
        <f>G9735+0.0001</f>
        <v/>
      </c>
    </row>
    <row r="9737">
      <c r="G9737">
        <f>G9736+0.0001</f>
        <v/>
      </c>
    </row>
    <row r="9738">
      <c r="G9738">
        <f>G9737+0.0001</f>
        <v/>
      </c>
    </row>
    <row r="9739">
      <c r="G9739">
        <f>G9738+0.0001</f>
        <v/>
      </c>
    </row>
    <row r="9740">
      <c r="G9740">
        <f>G9739+0.0001</f>
        <v/>
      </c>
    </row>
    <row r="9741">
      <c r="G9741">
        <f>G9740+0.0001</f>
        <v/>
      </c>
    </row>
    <row r="9742">
      <c r="G9742">
        <f>G9741+0.0001</f>
        <v/>
      </c>
    </row>
    <row r="9743">
      <c r="G9743">
        <f>G9742+0.0001</f>
        <v/>
      </c>
    </row>
    <row r="9744">
      <c r="G9744">
        <f>G9743+0.0001</f>
        <v/>
      </c>
    </row>
    <row r="9745">
      <c r="G9745">
        <f>G9744+0.0001</f>
        <v/>
      </c>
    </row>
    <row r="9746">
      <c r="G9746">
        <f>G9745+0.0001</f>
        <v/>
      </c>
    </row>
    <row r="9747">
      <c r="G9747">
        <f>G9746+0.0001</f>
        <v/>
      </c>
    </row>
    <row r="9748">
      <c r="G9748">
        <f>G9747+0.0001</f>
        <v/>
      </c>
    </row>
    <row r="9749">
      <c r="G9749">
        <f>G9748+0.0001</f>
        <v/>
      </c>
    </row>
    <row r="9750">
      <c r="G9750">
        <f>G9749+0.0001</f>
        <v/>
      </c>
    </row>
    <row r="9751">
      <c r="G9751">
        <f>G9750+0.0001</f>
        <v/>
      </c>
    </row>
    <row r="9752">
      <c r="G9752">
        <f>G9751+0.0001</f>
        <v/>
      </c>
    </row>
    <row r="9753">
      <c r="G9753">
        <f>G9752+0.0001</f>
        <v/>
      </c>
    </row>
    <row r="9754">
      <c r="G9754">
        <f>G9753+0.0001</f>
        <v/>
      </c>
    </row>
    <row r="9755">
      <c r="G9755">
        <f>G9754+0.0001</f>
        <v/>
      </c>
    </row>
    <row r="9756">
      <c r="G9756">
        <f>G9755+0.0001</f>
        <v/>
      </c>
    </row>
    <row r="9757">
      <c r="G9757">
        <f>G9756+0.0001</f>
        <v/>
      </c>
    </row>
    <row r="9758">
      <c r="G9758">
        <f>G9757+0.0001</f>
        <v/>
      </c>
    </row>
    <row r="9759">
      <c r="G9759">
        <f>G9758+0.0001</f>
        <v/>
      </c>
    </row>
    <row r="9760">
      <c r="G9760">
        <f>G9759+0.0001</f>
        <v/>
      </c>
    </row>
    <row r="9761">
      <c r="G9761">
        <f>G9760+0.0001</f>
        <v/>
      </c>
    </row>
    <row r="9762">
      <c r="G9762">
        <f>G9761+0.0001</f>
        <v/>
      </c>
    </row>
    <row r="9763">
      <c r="G9763">
        <f>G9762+0.0001</f>
        <v/>
      </c>
    </row>
    <row r="9764">
      <c r="G9764">
        <f>G9763+0.0001</f>
        <v/>
      </c>
    </row>
    <row r="9765">
      <c r="G9765">
        <f>G9764+0.0001</f>
        <v/>
      </c>
    </row>
    <row r="9766">
      <c r="G9766">
        <f>G9765+0.0001</f>
        <v/>
      </c>
    </row>
    <row r="9767">
      <c r="G9767">
        <f>G9766+0.0001</f>
        <v/>
      </c>
    </row>
    <row r="9768">
      <c r="G9768">
        <f>G9767+0.0001</f>
        <v/>
      </c>
    </row>
    <row r="9769">
      <c r="G9769">
        <f>G9768+0.0001</f>
        <v/>
      </c>
    </row>
    <row r="9770">
      <c r="G9770">
        <f>G9769+0.0001</f>
        <v/>
      </c>
    </row>
    <row r="9771">
      <c r="G9771">
        <f>G9770+0.0001</f>
        <v/>
      </c>
    </row>
    <row r="9772">
      <c r="G9772">
        <f>G9771+0.0001</f>
        <v/>
      </c>
    </row>
    <row r="9773">
      <c r="G9773">
        <f>G9772+0.0001</f>
        <v/>
      </c>
    </row>
    <row r="9774">
      <c r="G9774">
        <f>G9773+0.0001</f>
        <v/>
      </c>
    </row>
    <row r="9775">
      <c r="G9775">
        <f>G9774+0.0001</f>
        <v/>
      </c>
    </row>
    <row r="9776">
      <c r="G9776">
        <f>G9775+0.0001</f>
        <v/>
      </c>
    </row>
    <row r="9777">
      <c r="G9777">
        <f>G9776+0.0001</f>
        <v/>
      </c>
    </row>
    <row r="9778">
      <c r="G9778">
        <f>G9777+0.0001</f>
        <v/>
      </c>
    </row>
    <row r="9779">
      <c r="G9779">
        <f>G9778+0.0001</f>
        <v/>
      </c>
    </row>
    <row r="9780">
      <c r="G9780">
        <f>G9779+0.0001</f>
        <v/>
      </c>
    </row>
    <row r="9781">
      <c r="G9781">
        <f>G9780+0.0001</f>
        <v/>
      </c>
    </row>
    <row r="9782">
      <c r="G9782">
        <f>G9781+0.0001</f>
        <v/>
      </c>
    </row>
    <row r="9783">
      <c r="G9783">
        <f>G9782+0.0001</f>
        <v/>
      </c>
    </row>
    <row r="9784">
      <c r="G9784">
        <f>G9783+0.0001</f>
        <v/>
      </c>
    </row>
    <row r="9785">
      <c r="G9785">
        <f>G9784+0.0001</f>
        <v/>
      </c>
    </row>
    <row r="9786">
      <c r="G9786">
        <f>G9785+0.0001</f>
        <v/>
      </c>
    </row>
    <row r="9787">
      <c r="G9787">
        <f>G9786+0.0001</f>
        <v/>
      </c>
    </row>
    <row r="9788">
      <c r="G9788">
        <f>G9787+0.0001</f>
        <v/>
      </c>
    </row>
    <row r="9789">
      <c r="G9789">
        <f>G9788+0.0001</f>
        <v/>
      </c>
    </row>
    <row r="9790">
      <c r="G9790">
        <f>G9789+0.0001</f>
        <v/>
      </c>
    </row>
    <row r="9791">
      <c r="G9791">
        <f>G9790+0.0001</f>
        <v/>
      </c>
    </row>
    <row r="9792">
      <c r="G9792">
        <f>G9791+0.0001</f>
        <v/>
      </c>
    </row>
    <row r="9793">
      <c r="G9793">
        <f>G9792+0.0001</f>
        <v/>
      </c>
    </row>
    <row r="9794">
      <c r="G9794">
        <f>G9793+0.0001</f>
        <v/>
      </c>
    </row>
    <row r="9795">
      <c r="G9795">
        <f>G9794+0.0001</f>
        <v/>
      </c>
    </row>
    <row r="9796">
      <c r="G9796">
        <f>G9795+0.0001</f>
        <v/>
      </c>
    </row>
    <row r="9797">
      <c r="G9797">
        <f>G9796+0.0001</f>
        <v/>
      </c>
    </row>
    <row r="9798">
      <c r="G9798">
        <f>G9797+0.0001</f>
        <v/>
      </c>
    </row>
    <row r="9799">
      <c r="G9799">
        <f>G9798+0.0001</f>
        <v/>
      </c>
    </row>
    <row r="9800">
      <c r="G9800">
        <f>G9799+0.0001</f>
        <v/>
      </c>
    </row>
    <row r="9801">
      <c r="G9801">
        <f>G9800+0.0001</f>
        <v/>
      </c>
    </row>
    <row r="9802">
      <c r="G9802">
        <f>G9801+0.0001</f>
        <v/>
      </c>
    </row>
    <row r="9803">
      <c r="G9803">
        <f>G9802+0.0001</f>
        <v/>
      </c>
    </row>
    <row r="9804">
      <c r="G9804">
        <f>G9803+0.0001</f>
        <v/>
      </c>
    </row>
    <row r="9805">
      <c r="G9805">
        <f>G9804+0.0001</f>
        <v/>
      </c>
    </row>
    <row r="9806">
      <c r="G9806">
        <f>G9805+0.0001</f>
        <v/>
      </c>
    </row>
    <row r="9807">
      <c r="G9807">
        <f>G9806+0.0001</f>
        <v/>
      </c>
    </row>
    <row r="9808">
      <c r="G9808">
        <f>G9807+0.0001</f>
        <v/>
      </c>
    </row>
    <row r="9809">
      <c r="G9809">
        <f>G9808+0.0001</f>
        <v/>
      </c>
    </row>
    <row r="9810">
      <c r="G9810">
        <f>G9809+0.0001</f>
        <v/>
      </c>
    </row>
    <row r="9811">
      <c r="G9811">
        <f>G9810+0.0001</f>
        <v/>
      </c>
    </row>
    <row r="9812">
      <c r="G9812">
        <f>G9811+0.0001</f>
        <v/>
      </c>
    </row>
    <row r="9813">
      <c r="G9813">
        <f>G9812+0.0001</f>
        <v/>
      </c>
    </row>
    <row r="9814">
      <c r="G9814">
        <f>G9813+0.0001</f>
        <v/>
      </c>
    </row>
    <row r="9815">
      <c r="G9815">
        <f>G9814+0.0001</f>
        <v/>
      </c>
    </row>
    <row r="9816">
      <c r="G9816">
        <f>G9815+0.0001</f>
        <v/>
      </c>
    </row>
    <row r="9817">
      <c r="G9817">
        <f>G9816+0.0001</f>
        <v/>
      </c>
    </row>
    <row r="9818">
      <c r="G9818">
        <f>G9817+0.0001</f>
        <v/>
      </c>
    </row>
    <row r="9819">
      <c r="G9819">
        <f>G9818+0.0001</f>
        <v/>
      </c>
    </row>
    <row r="9820">
      <c r="G9820">
        <f>G9819+0.0001</f>
        <v/>
      </c>
    </row>
    <row r="9821">
      <c r="G9821">
        <f>G9820+0.0001</f>
        <v/>
      </c>
    </row>
    <row r="9822">
      <c r="G9822">
        <f>G9821+0.0001</f>
        <v/>
      </c>
    </row>
    <row r="9823">
      <c r="G9823">
        <f>G9822+0.0001</f>
        <v/>
      </c>
    </row>
    <row r="9824">
      <c r="G9824">
        <f>G9823+0.0001</f>
        <v/>
      </c>
    </row>
    <row r="9825">
      <c r="G9825">
        <f>G9824+0.0001</f>
        <v/>
      </c>
    </row>
    <row r="9826">
      <c r="G9826">
        <f>G9825+0.0001</f>
        <v/>
      </c>
    </row>
    <row r="9827">
      <c r="G9827">
        <f>G9826+0.0001</f>
        <v/>
      </c>
    </row>
    <row r="9828">
      <c r="G9828">
        <f>G9827+0.0001</f>
        <v/>
      </c>
    </row>
    <row r="9829">
      <c r="G9829">
        <f>G9828+0.0001</f>
        <v/>
      </c>
    </row>
    <row r="9830">
      <c r="G9830">
        <f>G9829+0.0001</f>
        <v/>
      </c>
    </row>
    <row r="9831">
      <c r="G9831">
        <f>G9830+0.0001</f>
        <v/>
      </c>
    </row>
    <row r="9832">
      <c r="G9832">
        <f>G9831+0.0001</f>
        <v/>
      </c>
    </row>
    <row r="9833">
      <c r="G9833">
        <f>G9832+0.0001</f>
        <v/>
      </c>
    </row>
    <row r="9834">
      <c r="G9834">
        <f>G9833+0.0001</f>
        <v/>
      </c>
    </row>
    <row r="9835">
      <c r="G9835">
        <f>G9834+0.0001</f>
        <v/>
      </c>
    </row>
    <row r="9836">
      <c r="G9836">
        <f>G9835+0.0001</f>
        <v/>
      </c>
    </row>
    <row r="9837">
      <c r="G9837">
        <f>G9836+0.0001</f>
        <v/>
      </c>
    </row>
    <row r="9838">
      <c r="G9838">
        <f>G9837+0.0001</f>
        <v/>
      </c>
    </row>
    <row r="9839">
      <c r="G9839">
        <f>G9838+0.0001</f>
        <v/>
      </c>
    </row>
    <row r="9840">
      <c r="G9840">
        <f>G9839+0.0001</f>
        <v/>
      </c>
    </row>
    <row r="9841">
      <c r="G9841">
        <f>G9840+0.0001</f>
        <v/>
      </c>
    </row>
    <row r="9842">
      <c r="G9842">
        <f>G9841+0.0001</f>
        <v/>
      </c>
    </row>
    <row r="9843">
      <c r="G9843">
        <f>G9842+0.0001</f>
        <v/>
      </c>
    </row>
    <row r="9844">
      <c r="G9844">
        <f>G9843+0.0001</f>
        <v/>
      </c>
    </row>
    <row r="9845">
      <c r="G9845">
        <f>G9844+0.0001</f>
        <v/>
      </c>
    </row>
    <row r="9846">
      <c r="G9846">
        <f>G9845+0.0001</f>
        <v/>
      </c>
    </row>
    <row r="9847">
      <c r="G9847">
        <f>G9846+0.0001</f>
        <v/>
      </c>
    </row>
    <row r="9848">
      <c r="G9848">
        <f>G9847+0.0001</f>
        <v/>
      </c>
    </row>
    <row r="9849">
      <c r="G9849">
        <f>G9848+0.0001</f>
        <v/>
      </c>
    </row>
    <row r="9850">
      <c r="G9850">
        <f>G9849+0.0001</f>
        <v/>
      </c>
    </row>
    <row r="9851">
      <c r="G9851">
        <f>G9850+0.0001</f>
        <v/>
      </c>
    </row>
    <row r="9852">
      <c r="G9852">
        <f>G9851+0.0001</f>
        <v/>
      </c>
    </row>
    <row r="9853">
      <c r="G9853">
        <f>G9852+0.0001</f>
        <v/>
      </c>
    </row>
    <row r="9854">
      <c r="G9854">
        <f>G9853+0.0001</f>
        <v/>
      </c>
    </row>
    <row r="9855">
      <c r="G9855">
        <f>G9854+0.0001</f>
        <v/>
      </c>
    </row>
    <row r="9856">
      <c r="G9856">
        <f>G9855+0.0001</f>
        <v/>
      </c>
    </row>
    <row r="9857">
      <c r="G9857">
        <f>G9856+0.0001</f>
        <v/>
      </c>
    </row>
    <row r="9858">
      <c r="G9858">
        <f>G9857+0.0001</f>
        <v/>
      </c>
    </row>
    <row r="9859">
      <c r="G9859">
        <f>G9858+0.0001</f>
        <v/>
      </c>
    </row>
    <row r="9860">
      <c r="G9860">
        <f>G9859+0.0001</f>
        <v/>
      </c>
    </row>
    <row r="9861">
      <c r="G9861">
        <f>G9860+0.0001</f>
        <v/>
      </c>
    </row>
    <row r="9862">
      <c r="G9862">
        <f>G9861+0.0001</f>
        <v/>
      </c>
    </row>
    <row r="9863">
      <c r="G9863">
        <f>G9862+0.0001</f>
        <v/>
      </c>
    </row>
    <row r="9864">
      <c r="G9864">
        <f>G9863+0.0001</f>
        <v/>
      </c>
    </row>
    <row r="9865">
      <c r="G9865">
        <f>G9864+0.0001</f>
        <v/>
      </c>
    </row>
    <row r="9866">
      <c r="G9866">
        <f>G9865+0.0001</f>
        <v/>
      </c>
    </row>
    <row r="9867">
      <c r="G9867">
        <f>G9866+0.0001</f>
        <v/>
      </c>
    </row>
    <row r="9868">
      <c r="G9868">
        <f>G9867+0.0001</f>
        <v/>
      </c>
    </row>
    <row r="9869">
      <c r="G9869">
        <f>G9868+0.0001</f>
        <v/>
      </c>
    </row>
    <row r="9870">
      <c r="G9870">
        <f>G9869+0.0001</f>
        <v/>
      </c>
    </row>
    <row r="9871">
      <c r="G9871">
        <f>G9870+0.0001</f>
        <v/>
      </c>
    </row>
    <row r="9872">
      <c r="G9872">
        <f>G9871+0.0001</f>
        <v/>
      </c>
    </row>
    <row r="9873">
      <c r="G9873">
        <f>G9872+0.0001</f>
        <v/>
      </c>
    </row>
    <row r="9874">
      <c r="G9874">
        <f>G9873+0.0001</f>
        <v/>
      </c>
    </row>
    <row r="9875">
      <c r="G9875">
        <f>G9874+0.0001</f>
        <v/>
      </c>
    </row>
    <row r="9876">
      <c r="G9876">
        <f>G9875+0.0001</f>
        <v/>
      </c>
    </row>
    <row r="9877">
      <c r="G9877">
        <f>G9876+0.0001</f>
        <v/>
      </c>
    </row>
    <row r="9878">
      <c r="G9878">
        <f>G9877+0.0001</f>
        <v/>
      </c>
    </row>
    <row r="9879">
      <c r="G9879">
        <f>G9878+0.0001</f>
        <v/>
      </c>
    </row>
    <row r="9880">
      <c r="G9880">
        <f>G9879+0.0001</f>
        <v/>
      </c>
    </row>
    <row r="9881">
      <c r="G9881">
        <f>G9880+0.0001</f>
        <v/>
      </c>
    </row>
    <row r="9882">
      <c r="G9882">
        <f>G9881+0.0001</f>
        <v/>
      </c>
    </row>
    <row r="9883">
      <c r="G9883">
        <f>G9882+0.0001</f>
        <v/>
      </c>
    </row>
    <row r="9884">
      <c r="G9884">
        <f>G9883+0.0001</f>
        <v/>
      </c>
    </row>
    <row r="9885">
      <c r="G9885">
        <f>G9884+0.0001</f>
        <v/>
      </c>
    </row>
    <row r="9886">
      <c r="G9886">
        <f>G9885+0.0001</f>
        <v/>
      </c>
    </row>
    <row r="9887">
      <c r="G9887">
        <f>G9886+0.0001</f>
        <v/>
      </c>
    </row>
    <row r="9888">
      <c r="G9888">
        <f>G9887+0.0001</f>
        <v/>
      </c>
    </row>
    <row r="9889">
      <c r="G9889">
        <f>G9888+0.0001</f>
        <v/>
      </c>
    </row>
    <row r="9890">
      <c r="G9890">
        <f>G9889+0.0001</f>
        <v/>
      </c>
    </row>
    <row r="9891">
      <c r="G9891">
        <f>G9890+0.0001</f>
        <v/>
      </c>
    </row>
    <row r="9892">
      <c r="G9892">
        <f>G9891+0.0001</f>
        <v/>
      </c>
    </row>
    <row r="9893">
      <c r="G9893">
        <f>G9892+0.0001</f>
        <v/>
      </c>
    </row>
    <row r="9894">
      <c r="G9894">
        <f>G9893+0.0001</f>
        <v/>
      </c>
    </row>
    <row r="9895">
      <c r="G9895">
        <f>G9894+0.0001</f>
        <v/>
      </c>
    </row>
    <row r="9896">
      <c r="G9896">
        <f>G9895+0.0001</f>
        <v/>
      </c>
    </row>
    <row r="9897">
      <c r="G9897">
        <f>G9896+0.0001</f>
        <v/>
      </c>
    </row>
    <row r="9898">
      <c r="G9898">
        <f>G9897+0.0001</f>
        <v/>
      </c>
    </row>
    <row r="9899">
      <c r="G9899">
        <f>G9898+0.0001</f>
        <v/>
      </c>
    </row>
    <row r="9900">
      <c r="G9900">
        <f>G9899+0.0001</f>
        <v/>
      </c>
    </row>
    <row r="9901">
      <c r="G9901">
        <f>G9900+0.0001</f>
        <v/>
      </c>
    </row>
    <row r="9902">
      <c r="G9902">
        <f>G9901+0.0001</f>
        <v/>
      </c>
    </row>
    <row r="9903">
      <c r="G9903">
        <f>G9902+0.0001</f>
        <v/>
      </c>
    </row>
    <row r="9904">
      <c r="G9904">
        <f>G9903+0.0001</f>
        <v/>
      </c>
    </row>
    <row r="9905">
      <c r="G9905">
        <f>G9904+0.0001</f>
        <v/>
      </c>
    </row>
    <row r="9906">
      <c r="G9906">
        <f>G9905+0.0001</f>
        <v/>
      </c>
    </row>
    <row r="9907">
      <c r="G9907">
        <f>G9906+0.0001</f>
        <v/>
      </c>
    </row>
    <row r="9908">
      <c r="G9908">
        <f>G9907+0.0001</f>
        <v/>
      </c>
    </row>
    <row r="9909">
      <c r="G9909">
        <f>G9908+0.0001</f>
        <v/>
      </c>
    </row>
    <row r="9910">
      <c r="G9910">
        <f>G9909+0.0001</f>
        <v/>
      </c>
    </row>
    <row r="9911">
      <c r="G9911">
        <f>G9910+0.0001</f>
        <v/>
      </c>
    </row>
    <row r="9912">
      <c r="G9912">
        <f>G9911+0.0001</f>
        <v/>
      </c>
    </row>
    <row r="9913">
      <c r="G9913">
        <f>G9912+0.0001</f>
        <v/>
      </c>
    </row>
    <row r="9914">
      <c r="G9914">
        <f>G9913+0.0001</f>
        <v/>
      </c>
    </row>
    <row r="9915">
      <c r="G9915">
        <f>G9914+0.0001</f>
        <v/>
      </c>
    </row>
    <row r="9916">
      <c r="G9916">
        <f>G9915+0.0001</f>
        <v/>
      </c>
    </row>
    <row r="9917">
      <c r="G9917">
        <f>G9916+0.0001</f>
        <v/>
      </c>
    </row>
    <row r="9918">
      <c r="G9918">
        <f>G9917+0.0001</f>
        <v/>
      </c>
    </row>
    <row r="9919">
      <c r="G9919">
        <f>G9918+0.0001</f>
        <v/>
      </c>
    </row>
    <row r="9920">
      <c r="G9920">
        <f>G9919+0.0001</f>
        <v/>
      </c>
    </row>
    <row r="9921">
      <c r="G9921">
        <f>G9920+0.0001</f>
        <v/>
      </c>
    </row>
    <row r="9922">
      <c r="G9922">
        <f>G9921+0.0001</f>
        <v/>
      </c>
    </row>
    <row r="9923">
      <c r="G9923">
        <f>G9922+0.0001</f>
        <v/>
      </c>
    </row>
    <row r="9924">
      <c r="G9924">
        <f>G9923+0.0001</f>
        <v/>
      </c>
    </row>
    <row r="9925">
      <c r="G9925">
        <f>G9924+0.0001</f>
        <v/>
      </c>
    </row>
    <row r="9926">
      <c r="G9926">
        <f>G9925+0.0001</f>
        <v/>
      </c>
    </row>
    <row r="9927">
      <c r="G9927">
        <f>G9926+0.0001</f>
        <v/>
      </c>
    </row>
    <row r="9928">
      <c r="G9928">
        <f>G9927+0.0001</f>
        <v/>
      </c>
    </row>
    <row r="9929">
      <c r="G9929">
        <f>G9928+0.0001</f>
        <v/>
      </c>
    </row>
    <row r="9930">
      <c r="G9930">
        <f>G9929+0.0001</f>
        <v/>
      </c>
    </row>
    <row r="9931">
      <c r="G9931">
        <f>G9930+0.0001</f>
        <v/>
      </c>
    </row>
    <row r="9932">
      <c r="G9932">
        <f>G9931+0.0001</f>
        <v/>
      </c>
    </row>
    <row r="9933">
      <c r="G9933">
        <f>G9932+0.0001</f>
        <v/>
      </c>
    </row>
    <row r="9934">
      <c r="G9934">
        <f>G9933+0.0001</f>
        <v/>
      </c>
    </row>
    <row r="9935">
      <c r="G9935">
        <f>G9934+0.0001</f>
        <v/>
      </c>
    </row>
    <row r="9936">
      <c r="G9936">
        <f>G9935+0.0001</f>
        <v/>
      </c>
    </row>
    <row r="9937">
      <c r="G9937">
        <f>G9936+0.0001</f>
        <v/>
      </c>
    </row>
    <row r="9938">
      <c r="G9938">
        <f>G9937+0.0001</f>
        <v/>
      </c>
    </row>
    <row r="9939">
      <c r="G9939">
        <f>G9938+0.0001</f>
        <v/>
      </c>
    </row>
    <row r="9940">
      <c r="G9940">
        <f>G9939+0.0001</f>
        <v/>
      </c>
    </row>
    <row r="9941">
      <c r="G9941">
        <f>G9940+0.0001</f>
        <v/>
      </c>
    </row>
    <row r="9942">
      <c r="G9942">
        <f>G9941+0.0001</f>
        <v/>
      </c>
    </row>
    <row r="9943">
      <c r="G9943">
        <f>G9942+0.0001</f>
        <v/>
      </c>
    </row>
    <row r="9944">
      <c r="G9944">
        <f>G9943+0.0001</f>
        <v/>
      </c>
    </row>
    <row r="9945">
      <c r="G9945">
        <f>G9944+0.0001</f>
        <v/>
      </c>
    </row>
    <row r="9946">
      <c r="G9946">
        <f>G9945+0.0001</f>
        <v/>
      </c>
    </row>
    <row r="9947">
      <c r="G9947">
        <f>G9946+0.0001</f>
        <v/>
      </c>
    </row>
    <row r="9948">
      <c r="G9948">
        <f>G9947+0.0001</f>
        <v/>
      </c>
    </row>
    <row r="9949">
      <c r="G9949">
        <f>G9948+0.0001</f>
        <v/>
      </c>
    </row>
    <row r="9950">
      <c r="G9950">
        <f>G9949+0.0001</f>
        <v/>
      </c>
    </row>
    <row r="9951">
      <c r="G9951">
        <f>G9950+0.0001</f>
        <v/>
      </c>
    </row>
    <row r="9952">
      <c r="G9952">
        <f>G9951+0.0001</f>
        <v/>
      </c>
    </row>
    <row r="9953">
      <c r="G9953">
        <f>G9952+0.0001</f>
        <v/>
      </c>
    </row>
    <row r="9954">
      <c r="G9954">
        <f>G9953+0.0001</f>
        <v/>
      </c>
    </row>
    <row r="9955">
      <c r="G9955">
        <f>G9954+0.0001</f>
        <v/>
      </c>
    </row>
    <row r="9956">
      <c r="G9956">
        <f>G9955+0.0001</f>
        <v/>
      </c>
    </row>
    <row r="9957">
      <c r="G9957">
        <f>G9956+0.0001</f>
        <v/>
      </c>
    </row>
    <row r="9958">
      <c r="G9958">
        <f>G9957+0.0001</f>
        <v/>
      </c>
    </row>
    <row r="9959">
      <c r="G9959">
        <f>G9958+0.0001</f>
        <v/>
      </c>
    </row>
    <row r="9960">
      <c r="G9960">
        <f>G9959+0.0001</f>
        <v/>
      </c>
    </row>
    <row r="9961">
      <c r="G9961">
        <f>G9960+0.0001</f>
        <v/>
      </c>
    </row>
    <row r="9962">
      <c r="G9962">
        <f>G9961+0.0001</f>
        <v/>
      </c>
    </row>
    <row r="9963">
      <c r="G9963">
        <f>G9962+0.0001</f>
        <v/>
      </c>
    </row>
    <row r="9964">
      <c r="G9964">
        <f>G9963+0.0001</f>
        <v/>
      </c>
    </row>
    <row r="9965">
      <c r="G9965">
        <f>G9964+0.0001</f>
        <v/>
      </c>
    </row>
    <row r="9966">
      <c r="G9966">
        <f>G9965+0.0001</f>
        <v/>
      </c>
    </row>
    <row r="9967">
      <c r="G9967">
        <f>G9966+0.0001</f>
        <v/>
      </c>
    </row>
    <row r="9968">
      <c r="G9968">
        <f>G9967+0.0001</f>
        <v/>
      </c>
    </row>
    <row r="9969">
      <c r="G9969">
        <f>G9968+0.0001</f>
        <v/>
      </c>
    </row>
    <row r="9970">
      <c r="G9970">
        <f>G9969+0.0001</f>
        <v/>
      </c>
    </row>
    <row r="9971">
      <c r="G9971">
        <f>G9970+0.0001</f>
        <v/>
      </c>
    </row>
    <row r="9972">
      <c r="G9972">
        <f>G9971+0.0001</f>
        <v/>
      </c>
    </row>
    <row r="9973">
      <c r="G9973">
        <f>G9972+0.0001</f>
        <v/>
      </c>
    </row>
    <row r="9974">
      <c r="G9974">
        <f>G9973+0.0001</f>
        <v/>
      </c>
    </row>
    <row r="9975">
      <c r="G9975">
        <f>G9974+0.0001</f>
        <v/>
      </c>
    </row>
    <row r="9976">
      <c r="G9976">
        <f>G9975+0.0001</f>
        <v/>
      </c>
    </row>
    <row r="9977">
      <c r="G9977">
        <f>G9976+0.0001</f>
        <v/>
      </c>
    </row>
    <row r="9978">
      <c r="G9978">
        <f>G9977+0.0001</f>
        <v/>
      </c>
    </row>
    <row r="9979">
      <c r="G9979">
        <f>G9978+0.0001</f>
        <v/>
      </c>
    </row>
    <row r="9980">
      <c r="G9980">
        <f>G9979+0.0001</f>
        <v/>
      </c>
    </row>
    <row r="9981">
      <c r="G9981">
        <f>G9980+0.0001</f>
        <v/>
      </c>
    </row>
    <row r="9982">
      <c r="G9982">
        <f>G9981+0.0001</f>
        <v/>
      </c>
    </row>
    <row r="9983">
      <c r="G9983">
        <f>G9982+0.0001</f>
        <v/>
      </c>
    </row>
    <row r="9984">
      <c r="G9984">
        <f>G9983+0.0001</f>
        <v/>
      </c>
    </row>
    <row r="9985">
      <c r="G9985">
        <f>G9984+0.0001</f>
        <v/>
      </c>
    </row>
    <row r="9986">
      <c r="G9986">
        <f>G9985+0.0001</f>
        <v/>
      </c>
    </row>
    <row r="9987">
      <c r="G9987">
        <f>G9986+0.0001</f>
        <v/>
      </c>
    </row>
    <row r="9988">
      <c r="G9988">
        <f>G9987+0.0001</f>
        <v/>
      </c>
    </row>
    <row r="9989">
      <c r="G9989">
        <f>G9988+0.0001</f>
        <v/>
      </c>
    </row>
    <row r="9990">
      <c r="G9990">
        <f>G9989+0.0001</f>
        <v/>
      </c>
    </row>
    <row r="9991">
      <c r="G9991">
        <f>G9990+0.0001</f>
        <v/>
      </c>
    </row>
    <row r="9992">
      <c r="G9992">
        <f>G9991+0.0001</f>
        <v/>
      </c>
    </row>
    <row r="9993">
      <c r="G9993">
        <f>G9992+0.0001</f>
        <v/>
      </c>
    </row>
    <row r="9994">
      <c r="G9994">
        <f>G9993+0.0001</f>
        <v/>
      </c>
    </row>
    <row r="9995">
      <c r="G9995">
        <f>G9994+0.0001</f>
        <v/>
      </c>
    </row>
    <row r="9996">
      <c r="G9996">
        <f>G9995+0.0001</f>
        <v/>
      </c>
    </row>
    <row r="9997">
      <c r="G9997">
        <f>G9996+0.0001</f>
        <v/>
      </c>
    </row>
    <row r="9998">
      <c r="G9998">
        <f>G9997+0.0001</f>
        <v/>
      </c>
    </row>
    <row r="9999">
      <c r="G9999">
        <f>G9998+0.0001</f>
        <v/>
      </c>
    </row>
    <row r="10000">
      <c r="G10000">
        <f>G9999+0.0001</f>
        <v/>
      </c>
    </row>
    <row r="10001">
      <c r="G10001">
        <f>G10000+0.0001</f>
        <v/>
      </c>
    </row>
    <row r="10002">
      <c r="G10002">
        <f>G10001+0.0001</f>
        <v/>
      </c>
    </row>
    <row r="10003">
      <c r="G10003">
        <f>G10002+0.0001</f>
        <v/>
      </c>
    </row>
    <row r="10004">
      <c r="G10004">
        <f>G10003+0.0001</f>
        <v/>
      </c>
    </row>
    <row r="10005">
      <c r="G10005">
        <f>G10004+0.0001</f>
        <v/>
      </c>
    </row>
    <row r="10006">
      <c r="G10006">
        <f>G10005+0.0001</f>
        <v/>
      </c>
    </row>
    <row r="10007">
      <c r="G10007">
        <f>G10006+0.0001</f>
        <v/>
      </c>
    </row>
    <row r="10008">
      <c r="G10008">
        <f>G10007+0.0001</f>
        <v/>
      </c>
    </row>
    <row r="10009">
      <c r="G10009">
        <f>G10008+0.0001</f>
        <v/>
      </c>
    </row>
    <row r="10010">
      <c r="G10010">
        <f>G10009+0.0001</f>
        <v/>
      </c>
    </row>
    <row r="10011">
      <c r="G10011">
        <f>G10010+0.0001</f>
        <v/>
      </c>
    </row>
    <row r="10012">
      <c r="G10012">
        <f>G10011+0.0001</f>
        <v/>
      </c>
    </row>
    <row r="10013">
      <c r="G10013">
        <f>G10012+0.0001</f>
        <v/>
      </c>
    </row>
    <row r="10014">
      <c r="G10014">
        <f>G10013+0.0001</f>
        <v/>
      </c>
    </row>
    <row r="10015">
      <c r="G10015">
        <f>G10014+0.0001</f>
        <v/>
      </c>
    </row>
    <row r="10016">
      <c r="G10016">
        <f>G10015+0.0001</f>
        <v/>
      </c>
    </row>
    <row r="10017">
      <c r="G10017">
        <f>G10016+0.0001</f>
        <v/>
      </c>
    </row>
    <row r="10018">
      <c r="G10018">
        <f>G10017+0.0001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使い方</t>
        </is>
      </c>
    </row>
    <row r="3">
      <c r="A3" t="inlineStr">
        <is>
          <t>1 1_点検 のA列に、足していく小数の列を貼る。見本の200行は消してよい。</t>
        </is>
      </c>
    </row>
    <row r="4">
      <c r="A4" t="inlineStr">
        <is>
          <t>2 H2に、値の小数の桁数を入れる。0.1時間単位なら1、銭まである金額なら2。</t>
        </is>
      </c>
    </row>
    <row r="5">
      <c r="A5" t="inlineStr">
        <is>
          <t>3 F列が赤の行は、ふつうの累計と正しい累計を = で比べると合わない。IFやMATCHやCOUNTIFで外れる行。</t>
        </is>
      </c>
    </row>
    <row r="6">
      <c r="A6" t="inlineStr">
        <is>
          <t>4 橙の行は、中身は少しずれているが、= では同じとみなされる。今は困らないが、足し続けると赤になる。</t>
        </is>
      </c>
    </row>
    <row r="7">
      <c r="A7" t="inlineStr">
        <is>
          <t>5 右の集計に、最初に赤になった行と、SUMの合計が丸めた合計と合うかが出る。</t>
        </is>
      </c>
    </row>
    <row r="8">
      <c r="A8" t="inlineStr"/>
    </row>
    <row r="9">
      <c r="A9" t="inlineStr">
        <is>
          <t>直し方は、累計の式を =ROUND(前の行+値,桁数) にする。C列がその形で、2_0.1を足す の2,000行では一度も外れなかった。</t>
        </is>
      </c>
    </row>
    <row r="10">
      <c r="A10" t="inlineStr">
        <is>
          <t>比べる式だけを直すなら =ROUND(累計,10)=目標 のように、比べる前に丸める。</t>
        </is>
      </c>
    </row>
    <row r="11">
      <c r="A11" t="inlineStr">
        <is>
          <t>「表示桁数で計算する」のオプションは、ブックの全部の数値を見えている桁で切り捨てて戻せないので、この表では使っていない。</t>
        </is>
      </c>
    </row>
    <row r="12">
      <c r="A12" t="inlineStr"/>
    </row>
    <row r="13">
      <c r="A13" t="inlineStr">
        <is>
          <t>2_0.1を足す は、記事に書いた数を数えたシート。</t>
        </is>
      </c>
    </row>
    <row r="14">
      <c r="A14" t="inlineStr">
        <is>
          <t>3_足す数ごと は、足す数を変えたときに何回目で合わなくなるかの一覧。</t>
        </is>
      </c>
    </row>
    <row r="15">
      <c r="A15" t="inlineStr">
        <is>
          <t>4_隠れる例 は、Excelが誤差を隠す式と隠しきれない式の一覧。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2026-10-06T03:13:37Z</dcterms:created>
  <dcterms:modified xmlns:dcterms="http://purl.org/dc/terms/" xmlns:xsi="http://www.w3.org/2001/XMLSchema-instance" xsi:type="dcterms:W3CDTF">2026-10-06T03:13:38Z</dcterms:modified>
</cp:coreProperties>
</file>