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user\Desktop\PJ\90_Money\site\public\downloads\"/>
    </mc:Choice>
  </mc:AlternateContent>
  <xr:revisionPtr revIDLastSave="0" documentId="13_ncr:1_{C747AEC7-DE44-4B9F-900A-628E889721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_上位何%" sheetId="1" r:id="rId1"/>
    <sheet name="2_区分別" sheetId="2" r:id="rId2"/>
    <sheet name="3_国税庁の表" sheetId="3" r:id="rId3"/>
    <sheet name="4_使い方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2" i="3" l="1"/>
  <c r="AD22" i="3"/>
  <c r="Z22" i="3"/>
  <c r="Y22" i="3"/>
  <c r="U22" i="3"/>
  <c r="T22" i="3"/>
  <c r="P22" i="3"/>
  <c r="O22" i="3"/>
  <c r="K22" i="3"/>
  <c r="J22" i="3"/>
  <c r="F22" i="3"/>
  <c r="E22" i="3"/>
  <c r="AH19" i="3"/>
  <c r="AG19" i="3"/>
  <c r="AC19" i="3"/>
  <c r="AB19" i="3"/>
  <c r="X19" i="3"/>
  <c r="W19" i="3"/>
  <c r="S19" i="3"/>
  <c r="R19" i="3"/>
  <c r="N19" i="3"/>
  <c r="M19" i="3"/>
  <c r="I19" i="3"/>
  <c r="H19" i="3"/>
  <c r="D19" i="3"/>
  <c r="AG18" i="3"/>
  <c r="AB18" i="3"/>
  <c r="W18" i="3"/>
  <c r="R18" i="3"/>
  <c r="M18" i="3"/>
  <c r="H18" i="3"/>
  <c r="D18" i="3"/>
  <c r="AG17" i="3"/>
  <c r="AB17" i="3"/>
  <c r="W17" i="3"/>
  <c r="R17" i="3"/>
  <c r="M17" i="3"/>
  <c r="H17" i="3"/>
  <c r="D17" i="3"/>
  <c r="AG16" i="3"/>
  <c r="AB16" i="3"/>
  <c r="W16" i="3"/>
  <c r="R16" i="3"/>
  <c r="M16" i="3"/>
  <c r="H16" i="3"/>
  <c r="D16" i="3"/>
  <c r="AG15" i="3"/>
  <c r="AB15" i="3"/>
  <c r="W15" i="3"/>
  <c r="R15" i="3"/>
  <c r="M15" i="3"/>
  <c r="H15" i="3"/>
  <c r="D15" i="3"/>
  <c r="AG14" i="3"/>
  <c r="AB14" i="3"/>
  <c r="W14" i="3"/>
  <c r="R14" i="3"/>
  <c r="M14" i="3"/>
  <c r="H14" i="3"/>
  <c r="D14" i="3"/>
  <c r="AG13" i="3"/>
  <c r="AB13" i="3"/>
  <c r="W13" i="3"/>
  <c r="R13" i="3"/>
  <c r="M13" i="3"/>
  <c r="H13" i="3"/>
  <c r="D13" i="3"/>
  <c r="AG12" i="3"/>
  <c r="AB12" i="3"/>
  <c r="W12" i="3"/>
  <c r="R12" i="3"/>
  <c r="M12" i="3"/>
  <c r="H12" i="3"/>
  <c r="D12" i="3"/>
  <c r="N12" i="3" s="1"/>
  <c r="AG11" i="3"/>
  <c r="AB11" i="3"/>
  <c r="W11" i="3"/>
  <c r="R11" i="3"/>
  <c r="M11" i="3"/>
  <c r="H11" i="3"/>
  <c r="D11" i="3"/>
  <c r="AG10" i="3"/>
  <c r="AB10" i="3"/>
  <c r="W10" i="3"/>
  <c r="R10" i="3"/>
  <c r="M10" i="3"/>
  <c r="H10" i="3"/>
  <c r="D10" i="3"/>
  <c r="AG9" i="3"/>
  <c r="AB9" i="3"/>
  <c r="W9" i="3"/>
  <c r="R9" i="3"/>
  <c r="M9" i="3"/>
  <c r="H9" i="3"/>
  <c r="D9" i="3"/>
  <c r="AG8" i="3"/>
  <c r="AB8" i="3"/>
  <c r="W8" i="3"/>
  <c r="R8" i="3"/>
  <c r="M8" i="3"/>
  <c r="H8" i="3"/>
  <c r="D8" i="3"/>
  <c r="AG7" i="3"/>
  <c r="AB7" i="3"/>
  <c r="W7" i="3"/>
  <c r="R7" i="3"/>
  <c r="M7" i="3"/>
  <c r="H7" i="3"/>
  <c r="D7" i="3"/>
  <c r="AG6" i="3"/>
  <c r="AB6" i="3"/>
  <c r="W6" i="3"/>
  <c r="R6" i="3"/>
  <c r="M6" i="3"/>
  <c r="H6" i="3"/>
  <c r="D6" i="3"/>
  <c r="C15" i="2"/>
  <c r="C14" i="2"/>
  <c r="C13" i="2"/>
  <c r="K10" i="2"/>
  <c r="J10" i="2"/>
  <c r="C10" i="2"/>
  <c r="B10" i="2"/>
  <c r="K9" i="2"/>
  <c r="J9" i="2"/>
  <c r="C9" i="2"/>
  <c r="B9" i="2"/>
  <c r="K8" i="2"/>
  <c r="J8" i="2"/>
  <c r="C8" i="2"/>
  <c r="B8" i="2"/>
  <c r="K7" i="2"/>
  <c r="J7" i="2"/>
  <c r="C7" i="2"/>
  <c r="B7" i="2"/>
  <c r="K6" i="2"/>
  <c r="J6" i="2"/>
  <c r="C6" i="2"/>
  <c r="B6" i="2"/>
  <c r="M5" i="2"/>
  <c r="K5" i="2"/>
  <c r="J5" i="2"/>
  <c r="C5" i="2"/>
  <c r="B5" i="2"/>
  <c r="I26" i="1"/>
  <c r="C26" i="1"/>
  <c r="H26" i="1" s="1"/>
  <c r="B26" i="1"/>
  <c r="A26" i="1"/>
  <c r="C25" i="1"/>
  <c r="B25" i="1"/>
  <c r="A25" i="1"/>
  <c r="C24" i="1"/>
  <c r="B24" i="1"/>
  <c r="A24" i="1"/>
  <c r="C23" i="1"/>
  <c r="B23" i="1"/>
  <c r="A23" i="1"/>
  <c r="C22" i="1"/>
  <c r="B22" i="1"/>
  <c r="A22" i="1"/>
  <c r="C21" i="1"/>
  <c r="B21" i="1"/>
  <c r="A21" i="1"/>
  <c r="C20" i="1"/>
  <c r="B20" i="1"/>
  <c r="A20" i="1"/>
  <c r="C19" i="1"/>
  <c r="B19" i="1"/>
  <c r="A19" i="1"/>
  <c r="C18" i="1"/>
  <c r="B18" i="1"/>
  <c r="A18" i="1"/>
  <c r="C17" i="1"/>
  <c r="B17" i="1"/>
  <c r="A17" i="1"/>
  <c r="C16" i="1"/>
  <c r="B16" i="1"/>
  <c r="A16" i="1"/>
  <c r="C15" i="1"/>
  <c r="B15" i="1"/>
  <c r="A15" i="1"/>
  <c r="C14" i="1"/>
  <c r="B14" i="1"/>
  <c r="A14" i="1"/>
  <c r="C13" i="1"/>
  <c r="B13" i="1"/>
  <c r="A13" i="1"/>
  <c r="B6" i="1"/>
  <c r="M9" i="2" l="1"/>
  <c r="M10" i="2"/>
  <c r="M8" i="2"/>
  <c r="M7" i="2"/>
  <c r="B30" i="1"/>
  <c r="M6" i="2"/>
  <c r="N6" i="2" s="1"/>
  <c r="R6" i="2" s="1"/>
  <c r="E14" i="2"/>
  <c r="E13" i="2"/>
  <c r="AH16" i="3"/>
  <c r="AC16" i="3"/>
  <c r="X16" i="3"/>
  <c r="D25" i="1"/>
  <c r="G23" i="1"/>
  <c r="D27" i="1"/>
  <c r="G27" i="1" s="1"/>
  <c r="F4" i="1" s="1"/>
  <c r="F8" i="1" s="1"/>
  <c r="D26" i="1"/>
  <c r="G25" i="1"/>
  <c r="G24" i="1"/>
  <c r="D24" i="1"/>
  <c r="D23" i="1"/>
  <c r="G26" i="1"/>
  <c r="X18" i="3"/>
  <c r="AC18" i="3"/>
  <c r="AH18" i="3"/>
  <c r="I18" i="3"/>
  <c r="N18" i="3"/>
  <c r="S18" i="3"/>
  <c r="N17" i="3"/>
  <c r="S17" i="3"/>
  <c r="AC17" i="3"/>
  <c r="X17" i="3"/>
  <c r="AH17" i="3"/>
  <c r="I17" i="3"/>
  <c r="S16" i="3"/>
  <c r="N16" i="3"/>
  <c r="I16" i="3"/>
  <c r="AH15" i="3"/>
  <c r="AC15" i="3"/>
  <c r="X15" i="3"/>
  <c r="S15" i="3"/>
  <c r="N15" i="3"/>
  <c r="I15" i="3"/>
  <c r="H22" i="1" s="1"/>
  <c r="I22" i="1" s="1"/>
  <c r="AH14" i="3"/>
  <c r="AC14" i="3"/>
  <c r="X14" i="3"/>
  <c r="S14" i="3"/>
  <c r="N14" i="3"/>
  <c r="I14" i="3"/>
  <c r="AH13" i="3"/>
  <c r="AC13" i="3"/>
  <c r="X13" i="3"/>
  <c r="S13" i="3"/>
  <c r="N13" i="3"/>
  <c r="I13" i="3"/>
  <c r="H20" i="1" s="1"/>
  <c r="I20" i="1" s="1"/>
  <c r="AH12" i="3"/>
  <c r="AC12" i="3"/>
  <c r="X12" i="3"/>
  <c r="S12" i="3"/>
  <c r="I12" i="3"/>
  <c r="H19" i="1" s="1"/>
  <c r="I19" i="1" s="1"/>
  <c r="AH11" i="3"/>
  <c r="AC11" i="3"/>
  <c r="X11" i="3"/>
  <c r="S11" i="3"/>
  <c r="N11" i="3"/>
  <c r="I11" i="3"/>
  <c r="H18" i="1" s="1"/>
  <c r="I18" i="1" s="1"/>
  <c r="AH10" i="3"/>
  <c r="AC10" i="3"/>
  <c r="X10" i="3"/>
  <c r="S10" i="3"/>
  <c r="N10" i="3"/>
  <c r="I10" i="3"/>
  <c r="AH9" i="3"/>
  <c r="AC9" i="3"/>
  <c r="X9" i="3"/>
  <c r="S9" i="3"/>
  <c r="N9" i="3"/>
  <c r="I9" i="3"/>
  <c r="AC8" i="3"/>
  <c r="X8" i="3"/>
  <c r="AH8" i="3"/>
  <c r="I8" i="3"/>
  <c r="N8" i="3"/>
  <c r="S8" i="3"/>
  <c r="S7" i="3"/>
  <c r="N7" i="3"/>
  <c r="X7" i="3"/>
  <c r="I7" i="3"/>
  <c r="H14" i="1" s="1"/>
  <c r="I14" i="1" s="1"/>
  <c r="AC7" i="3"/>
  <c r="AH7" i="3"/>
  <c r="AH6" i="3"/>
  <c r="AC6" i="3"/>
  <c r="X6" i="3"/>
  <c r="S6" i="3"/>
  <c r="N6" i="3"/>
  <c r="I6" i="3"/>
  <c r="H13" i="1" s="1"/>
  <c r="I13" i="1" s="1"/>
  <c r="Q5" i="2"/>
  <c r="N5" i="2"/>
  <c r="R5" i="2" s="1"/>
  <c r="B8" i="1"/>
  <c r="G18" i="1"/>
  <c r="D18" i="1"/>
  <c r="G16" i="1"/>
  <c r="D15" i="1"/>
  <c r="D21" i="1"/>
  <c r="D16" i="1"/>
  <c r="G14" i="1"/>
  <c r="G20" i="1"/>
  <c r="D14" i="1"/>
  <c r="G21" i="1"/>
  <c r="D22" i="1"/>
  <c r="D13" i="1"/>
  <c r="G22" i="1"/>
  <c r="D20" i="1"/>
  <c r="G13" i="1"/>
  <c r="D17" i="1"/>
  <c r="G19" i="1"/>
  <c r="G17" i="1"/>
  <c r="D19" i="1"/>
  <c r="G15" i="1"/>
  <c r="H16" i="1" l="1"/>
  <c r="I16" i="1" s="1"/>
  <c r="G6" i="2"/>
  <c r="H23" i="1"/>
  <c r="I23" i="1" s="1"/>
  <c r="H21" i="1"/>
  <c r="I21" i="1" s="1"/>
  <c r="H25" i="1"/>
  <c r="I25" i="1" s="1"/>
  <c r="H24" i="1"/>
  <c r="I24" i="1" s="1"/>
  <c r="G8" i="2"/>
  <c r="G7" i="2"/>
  <c r="E26" i="1"/>
  <c r="H17" i="1"/>
  <c r="I17" i="1" s="1"/>
  <c r="O5" i="2"/>
  <c r="P5" i="2" s="1"/>
  <c r="D5" i="2" s="1"/>
  <c r="F5" i="2" s="1"/>
  <c r="E24" i="1"/>
  <c r="E23" i="1"/>
  <c r="O10" i="2"/>
  <c r="E30" i="1"/>
  <c r="O8" i="2"/>
  <c r="O7" i="2"/>
  <c r="O9" i="2"/>
  <c r="N9" i="2"/>
  <c r="R9" i="2" s="1"/>
  <c r="Q9" i="2"/>
  <c r="Q10" i="2"/>
  <c r="N10" i="2"/>
  <c r="R10" i="2" s="1"/>
  <c r="Q8" i="2"/>
  <c r="N8" i="2"/>
  <c r="R8" i="2" s="1"/>
  <c r="N7" i="2"/>
  <c r="R7" i="2" s="1"/>
  <c r="Q7" i="2"/>
  <c r="E21" i="1"/>
  <c r="E17" i="1"/>
  <c r="E19" i="1"/>
  <c r="E18" i="1"/>
  <c r="E15" i="1"/>
  <c r="E22" i="1"/>
  <c r="E20" i="1"/>
  <c r="E16" i="1"/>
  <c r="E14" i="1"/>
  <c r="F22" i="1"/>
  <c r="F20" i="1"/>
  <c r="F21" i="1"/>
  <c r="E25" i="1"/>
  <c r="G10" i="2"/>
  <c r="E5" i="2"/>
  <c r="G9" i="2"/>
  <c r="O6" i="2"/>
  <c r="P6" i="2" s="1"/>
  <c r="D6" i="2" s="1"/>
  <c r="F6" i="2" s="1"/>
  <c r="Q6" i="2"/>
  <c r="E6" i="2" s="1"/>
  <c r="F19" i="1"/>
  <c r="F17" i="1"/>
  <c r="F26" i="1"/>
  <c r="F18" i="1"/>
  <c r="F16" i="1"/>
  <c r="F15" i="1"/>
  <c r="F14" i="1"/>
  <c r="F13" i="1"/>
  <c r="H10" i="2"/>
  <c r="I10" i="2"/>
  <c r="I9" i="2"/>
  <c r="H9" i="2"/>
  <c r="H8" i="2"/>
  <c r="I8" i="2"/>
  <c r="H7" i="2"/>
  <c r="I7" i="2"/>
  <c r="I6" i="2"/>
  <c r="H6" i="2"/>
  <c r="I5" i="2"/>
  <c r="H5" i="2"/>
  <c r="E13" i="1"/>
  <c r="F23" i="1"/>
  <c r="F24" i="1"/>
  <c r="F25" i="1"/>
  <c r="B11" i="1"/>
  <c r="E10" i="2"/>
  <c r="G5" i="2"/>
  <c r="H15" i="1"/>
  <c r="E7" i="2" l="1"/>
  <c r="E8" i="2"/>
  <c r="P10" i="2"/>
  <c r="D10" i="2" s="1"/>
  <c r="F10" i="2" s="1"/>
  <c r="P8" i="2"/>
  <c r="D8" i="2" s="1"/>
  <c r="F8" i="2" s="1"/>
  <c r="P7" i="2"/>
  <c r="D7" i="2" s="1"/>
  <c r="F7" i="2" s="1"/>
  <c r="L7" i="1"/>
  <c r="E9" i="2"/>
  <c r="P9" i="2"/>
  <c r="D9" i="2" s="1"/>
  <c r="F9" i="2" s="1"/>
  <c r="M7" i="1"/>
  <c r="M8" i="1" s="1"/>
  <c r="M10" i="1" s="1"/>
  <c r="M11" i="1" s="1"/>
  <c r="M12" i="1" s="1"/>
  <c r="F6" i="1" s="1"/>
  <c r="I15" i="1"/>
  <c r="D31" i="1"/>
  <c r="F7" i="1"/>
  <c r="B9" i="1"/>
  <c r="B10" i="1" s="1"/>
  <c r="L8" i="1" l="1"/>
  <c r="L9" i="1"/>
  <c r="F31" i="1"/>
  <c r="L10" i="1" l="1"/>
  <c r="L11" i="1" s="1"/>
  <c r="L12" i="1" s="1"/>
  <c r="F5" i="1" s="1"/>
</calcChain>
</file>

<file path=xl/sharedStrings.xml><?xml version="1.0" encoding="utf-8"?>
<sst xmlns="http://schemas.openxmlformats.org/spreadsheetml/2006/main" count="149" uniqueCount="111">
  <si>
    <t>自分の年収が上位何%かを、国税庁の給与階級別の表から出す（令和7年分）</t>
  </si>
  <si>
    <t>黄色の2つを入れる。年収は額面（税や社会保険料を引く前、通勤手当を除く、賞与を含む）。Microsoft 365のExcel（バージョン16）で確認、2026年10月6日</t>
  </si>
  <si>
    <t>年収（万円、額面）</t>
  </si>
  <si>
    <t>区分の平均</t>
  </si>
  <si>
    <t>中央値の逆算（計算用）</t>
  </si>
  <si>
    <t>区分</t>
  </si>
  <si>
    <t>全体</t>
  </si>
  <si>
    <t>区分の中央値（傾けた）</t>
  </si>
  <si>
    <t>傾けた</t>
  </si>
  <si>
    <t>均等</t>
  </si>
  <si>
    <t>表の列の位置</t>
  </si>
  <si>
    <t>区分の中央値（均等）</t>
  </si>
  <si>
    <t>割合 p</t>
  </si>
  <si>
    <t>平均より下の人の割合</t>
  </si>
  <si>
    <t>入る区間の番号</t>
  </si>
  <si>
    <t>年収が入る区間</t>
  </si>
  <si>
    <t>年収と区分の平均の差</t>
  </si>
  <si>
    <t>区間の中の割合 q</t>
  </si>
  <si>
    <t>下から何%（この年収以下の人）</t>
  </si>
  <si>
    <t>傾き k</t>
  </si>
  <si>
    <t>上位何%</t>
  </si>
  <si>
    <t>区間の中の位置 t</t>
  </si>
  <si>
    <t>均等に置いたときの上位何%</t>
  </si>
  <si>
    <t>その年収（万円）</t>
  </si>
  <si>
    <t>給与階級</t>
  </si>
  <si>
    <t>下限</t>
  </si>
  <si>
    <t>上限</t>
  </si>
  <si>
    <t>人数</t>
  </si>
  <si>
    <t>構成比</t>
  </si>
  <si>
    <t>累積（下から）</t>
  </si>
  <si>
    <t>区間の平均（万円）</t>
  </si>
  <si>
    <t>傾き</t>
  </si>
  <si>
    <t>区間の中で年収以下の割合</t>
  </si>
  <si>
    <t>中央値（万円）</t>
  </si>
  <si>
    <t>p を0.9にすると上位10%の境目、0.75で上位25%の境目が出る</t>
  </si>
  <si>
    <t>計</t>
  </si>
  <si>
    <t>よくある取り違え</t>
  </si>
  <si>
    <t>下限で区間を引く（MATCHの近似一致）</t>
  </si>
  <si>
    <t>手取りの年収（万円）を入れてしまう</t>
  </si>
  <si>
    <t>上位</t>
  </si>
  <si>
    <t>額面との差</t>
  </si>
  <si>
    <t>国税庁の表の給与階級は「500万円以下」のように上限で区切ってある。下限で引くと、ちょうど500万円が1つ上の区間に入る。</t>
  </si>
  <si>
    <t>国税庁の給与は額面（給与所得控除前の収入金額）。手取りで比べると、上位の割合が実際より大きく（順位が下に）出る。</t>
  </si>
  <si>
    <t>区分ごとの平均と中央値。中央値は国税庁の表にないので、区間の中の置き方を2通り試した</t>
  </si>
  <si>
    <t>1年を通じて勤務した給与所得者。1,000万円超は「1,000万円超 1,500万円以下」から上の4区間</t>
  </si>
  <si>
    <t>平均（万円）</t>
  </si>
  <si>
    <t>中央値・傾けた</t>
  </si>
  <si>
    <t>中央値・均等</t>
  </si>
  <si>
    <t>平均と中央値の差</t>
  </si>
  <si>
    <t>平均より下の人</t>
  </si>
  <si>
    <t>400万円の上位</t>
  </si>
  <si>
    <t>500万円の上位</t>
  </si>
  <si>
    <t>1,000万円超の人数</t>
  </si>
  <si>
    <t>1,000万円超が受け取る給与</t>
  </si>
  <si>
    <t>区間（傾）</t>
  </si>
  <si>
    <t>q（傾）</t>
  </si>
  <si>
    <t>k（傾）</t>
  </si>
  <si>
    <t>t（傾）</t>
  </si>
  <si>
    <t>区間（均）</t>
  </si>
  <si>
    <t>q（均）</t>
  </si>
  <si>
    <t>男性</t>
  </si>
  <si>
    <t>女性</t>
  </si>
  <si>
    <t>正社員</t>
  </si>
  <si>
    <t>正社員以外</t>
  </si>
  <si>
    <t>役員</t>
  </si>
  <si>
    <t>役員を除いた平均</t>
  </si>
  <si>
    <t>全体から役員を引く</t>
  </si>
  <si>
    <t>全体との差</t>
  </si>
  <si>
    <t>正社員と正社員以外だけ</t>
  </si>
  <si>
    <t>どの区分にも入らない人数</t>
  </si>
  <si>
    <t>正社員・正社員以外・役員の定義は国税庁の用語の説明による。3つを足しても全体に38万7,194人足りない。青色事業専従者などが入っていると思うが、内訳は確認していない</t>
  </si>
  <si>
    <t>国税庁「令和7年分 民間給与実態統計調査」の数字。1年を通じて勤務した給与所得者</t>
  </si>
  <si>
    <t>出典: https://www.nta.go.jp/publication/statistics/kokuzeicho/minkan2025/minkan.htm（2026年10月6日に取得）。人数は人、給与総額は百万円、平均給与は千円。表のとおりに写した</t>
  </si>
  <si>
    <t>累積構成比と傾きは、この表で足した計算の列。灰色の列は手で直さない</t>
  </si>
  <si>
    <t>下限（万円）</t>
  </si>
  <si>
    <t>上限（万円）</t>
  </si>
  <si>
    <t>幅</t>
  </si>
  <si>
    <t>給与総額</t>
  </si>
  <si>
    <t>平均給与</t>
  </si>
  <si>
    <t>累積構成比</t>
  </si>
  <si>
    <t>100万円以下</t>
  </si>
  <si>
    <t>100万円超 200万円以下</t>
  </si>
  <si>
    <t>200万円超 300万円以下</t>
  </si>
  <si>
    <t>300万円超 400万円以下</t>
  </si>
  <si>
    <t>400万円超 500万円以下</t>
  </si>
  <si>
    <t>500万円超 600万円以下</t>
  </si>
  <si>
    <t>600万円超 700万円以下</t>
  </si>
  <si>
    <t>700万円超 800万円以下</t>
  </si>
  <si>
    <t>800万円超 900万円以下</t>
  </si>
  <si>
    <t>900万円超 1,000万円以下</t>
  </si>
  <si>
    <t>1,000万円超 1,500万円以下</t>
  </si>
  <si>
    <t>1,500万円超 2,000万円以下</t>
  </si>
  <si>
    <t>2,000万円超 2,500万円以下</t>
  </si>
  <si>
    <t>2,500万円超</t>
  </si>
  <si>
    <t>計の行と14区間の足し算の差（0なら写し間違いなし）</t>
  </si>
  <si>
    <t>表の出どころ: 全体は第3表その1、男性は第3表その1、女性は第3表その1、正社員は第6表その9、正社員以外は第6表その13、役員は第6表その5（第6表は企業規模の合計の行）</t>
  </si>
  <si>
    <t>使い方</t>
  </si>
  <si>
    <t>1 1_上位何% のB4に年収（万円、額面）を入れ、B5で区分を選ぶ。B10が上位何%。</t>
  </si>
  <si>
    <t>2 右上に、その区分の平均、中央値、平均より下の人の割合が出る。</t>
  </si>
  <si>
    <t>3 2_区分別 には6つの区分を並べてある。数字は 3_国税庁の表 から計算している。</t>
  </si>
  <si>
    <t>年収は源泉徴収票の「支払金額」の欄と同じ考え方の額面で入れる。通勤手当などの非課税分は入れない。</t>
  </si>
  <si>
    <t>国税庁の表は1年を通じて勤務した人の数字。年の途中で入社した人や転職した人は、1年分に直してから比べる。</t>
  </si>
  <si>
    <t>区間の中の置き方について。国税庁の表は100万円刻みの人数と、区間ごとの平均給与しか出していない。</t>
  </si>
  <si>
    <t>均等に置くと、区間の平均は真ん中（たとえば450万円）になるはずだが、実際の区間の平均とずれる。</t>
  </si>
  <si>
    <t>そこで区間の中の人数を一次式で傾け、区間の平均が国税庁の数字と合うようにした。傾きは 3_国税庁の表 の灰色の列。</t>
  </si>
  <si>
    <t>傾きは-1から1までに抑えている。100万円以下の区間は、平均が真ん中より高く、1で頭打ちになる。</t>
  </si>
  <si>
    <t>どちらの置き方でも、区間の境目（300万円、400万円、500万円…）の割合は国税庁の表そのままで、仮定は入らない。</t>
  </si>
  <si>
    <t>2,500万円超は上限がないので、区間の中の位置は出さない。2,500万円を超える年収は「上位○%以内」とだけ出る。</t>
  </si>
  <si>
    <t>出典: 国税庁 令和7年分 民間給与実態統計調査 https://www.nta.go.jp/publication/statistics/kokuzeicho/minkan2025/minkan.htm</t>
  </si>
  <si>
    <t>概要: https://www.nta.go.jp/publication/statistics/kokuzeicho/minkan/gaiyou/2025.htm（どちらも2026年10月6日に確認）</t>
  </si>
  <si>
    <t>全体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</si>
</sst>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0.000"/>
    <numFmt numFmtId="178" formatCode="#,##0.0"/>
    <numFmt numFmtId="179" formatCode="#,##0.0&quot;万円&quot;"/>
    <numFmt numFmtId="180" formatCode="\+#,##0.0&quot;万円&quot;;\-#,##0.0&quot;万円&quot;"/>
    <numFmt numFmtId="181" formatCode="\+0.0%;\-0.0%"/>
  </numFmts>
  <fonts count="4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2F2F2"/>
      </patternFill>
    </fill>
    <fill>
      <patternFill patternType="solid">
        <fgColor rgb="FFFFF7CC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78" fontId="0" fillId="4" borderId="1" xfId="0" applyNumberFormat="1" applyFill="1" applyBorder="1"/>
    <xf numFmtId="179" fontId="2" fillId="0" borderId="1" xfId="0" applyNumberFormat="1" applyFont="1" applyBorder="1"/>
    <xf numFmtId="0" fontId="2" fillId="0" borderId="0" xfId="0" applyFont="1"/>
    <xf numFmtId="0" fontId="0" fillId="4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" fontId="0" fillId="3" borderId="1" xfId="0" applyNumberFormat="1" applyFill="1" applyBorder="1"/>
    <xf numFmtId="179" fontId="0" fillId="0" borderId="1" xfId="0" applyNumberFormat="1" applyBorder="1"/>
    <xf numFmtId="2" fontId="0" fillId="3" borderId="1" xfId="0" applyNumberFormat="1" applyFill="1" applyBorder="1"/>
    <xf numFmtId="176" fontId="2" fillId="0" borderId="1" xfId="0" applyNumberFormat="1" applyFont="1" applyBorder="1"/>
    <xf numFmtId="180" fontId="0" fillId="0" borderId="1" xfId="0" applyNumberFormat="1" applyBorder="1"/>
    <xf numFmtId="177" fontId="0" fillId="3" borderId="1" xfId="0" applyNumberFormat="1" applyFill="1" applyBorder="1"/>
    <xf numFmtId="176" fontId="0" fillId="0" borderId="1" xfId="0" applyNumberFormat="1" applyBorder="1"/>
    <xf numFmtId="178" fontId="0" fillId="3" borderId="1" xfId="0" applyNumberFormat="1" applyFill="1" applyBorder="1"/>
    <xf numFmtId="0" fontId="2" fillId="3" borderId="1" xfId="0" applyFont="1" applyFill="1" applyBorder="1"/>
    <xf numFmtId="178" fontId="2" fillId="3" borderId="1" xfId="0" applyNumberFormat="1" applyFont="1" applyFill="1" applyBorder="1"/>
    <xf numFmtId="0" fontId="0" fillId="0" borderId="1" xfId="0" applyBorder="1"/>
    <xf numFmtId="3" fontId="0" fillId="0" borderId="1" xfId="0" applyNumberFormat="1" applyBorder="1"/>
    <xf numFmtId="178" fontId="0" fillId="0" borderId="1" xfId="0" applyNumberFormat="1" applyBorder="1"/>
    <xf numFmtId="176" fontId="0" fillId="3" borderId="1" xfId="0" applyNumberFormat="1" applyFill="1" applyBorder="1"/>
    <xf numFmtId="0" fontId="0" fillId="2" borderId="1" xfId="0" applyFill="1" applyBorder="1"/>
    <xf numFmtId="3" fontId="2" fillId="2" borderId="1" xfId="0" applyNumberFormat="1" applyFont="1" applyFill="1" applyBorder="1"/>
    <xf numFmtId="178" fontId="2" fillId="2" borderId="1" xfId="0" applyNumberFormat="1" applyFont="1" applyFill="1" applyBorder="1"/>
    <xf numFmtId="0" fontId="2" fillId="0" borderId="1" xfId="0" applyFont="1" applyBorder="1"/>
    <xf numFmtId="181" fontId="0" fillId="0" borderId="1" xfId="0" applyNumberFormat="1" applyBorder="1"/>
    <xf numFmtId="178" fontId="2" fillId="0" borderId="1" xfId="0" applyNumberFormat="1" applyFont="1" applyBorder="1"/>
    <xf numFmtId="3" fontId="0" fillId="3" borderId="1" xfId="0" applyNumberFormat="1" applyFill="1" applyBorder="1"/>
    <xf numFmtId="0" fontId="2" fillId="2" borderId="1" xfId="0" applyFont="1" applyFill="1" applyBorder="1"/>
    <xf numFmtId="0" fontId="0" fillId="0" borderId="2" xfId="0" applyBorder="1"/>
    <xf numFmtId="0" fontId="2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shrinkToFi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標準" xfId="0" builtinId="0"/>
  </cellStyles>
  <dxfs count="4">
    <dxf>
      <fill>
        <patternFill patternType="solid">
          <fgColor rgb="FFFDE8E8"/>
          <bgColor rgb="FFFDE8E8"/>
        </patternFill>
      </fill>
    </dxf>
    <dxf>
      <fill>
        <patternFill patternType="solid">
          <fgColor rgb="FFFDE8E8"/>
          <bgColor rgb="FFFDE8E8"/>
        </patternFill>
      </fill>
    </dxf>
    <dxf>
      <fill>
        <patternFill patternType="solid">
          <fgColor rgb="FFFDE8E8"/>
          <bgColor rgb="FFFDE8E8"/>
        </patternFill>
      </fill>
    </dxf>
    <dxf>
      <fill>
        <patternFill patternType="solid">
          <fgColor rgb="FFE6F4EA"/>
          <bgColor rgb="FFE6F4E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pane ySplit="3" topLeftCell="A4" activePane="bottomLeft" state="frozen"/>
      <selection pane="bottomLeft"/>
    </sheetView>
  </sheetViews>
  <sheetFormatPr defaultRowHeight="13" x14ac:dyDescent="0.2"/>
  <cols>
    <col min="1" max="1" width="30" customWidth="1"/>
    <col min="2" max="4" width="13" customWidth="1"/>
    <col min="5" max="5" width="9" customWidth="1"/>
    <col min="6" max="6" width="11" customWidth="1"/>
    <col min="7" max="7" width="12" customWidth="1"/>
    <col min="8" max="8" width="8" customWidth="1"/>
    <col min="9" max="9" width="14" customWidth="1"/>
    <col min="11" max="11" width="22" customWidth="1"/>
    <col min="12" max="13" width="11" customWidth="1"/>
  </cols>
  <sheetData>
    <row r="1" spans="1:13" ht="14" x14ac:dyDescent="0.2">
      <c r="A1" s="1" t="s">
        <v>0</v>
      </c>
    </row>
    <row r="2" spans="1:13" x14ac:dyDescent="0.2">
      <c r="A2" t="s">
        <v>1</v>
      </c>
    </row>
    <row r="4" spans="1:13" x14ac:dyDescent="0.2">
      <c r="A4" s="2" t="s">
        <v>2</v>
      </c>
      <c r="B4" s="3">
        <v>500</v>
      </c>
      <c r="D4" s="30" t="s">
        <v>3</v>
      </c>
      <c r="E4" s="31"/>
      <c r="F4" s="4">
        <f>G27</f>
        <v>486.6435489779567</v>
      </c>
      <c r="K4" s="5" t="s">
        <v>4</v>
      </c>
    </row>
    <row r="5" spans="1:13" x14ac:dyDescent="0.2">
      <c r="A5" s="2" t="s">
        <v>5</v>
      </c>
      <c r="B5" s="6" t="s">
        <v>110</v>
      </c>
      <c r="D5" s="30" t="s">
        <v>7</v>
      </c>
      <c r="E5" s="31"/>
      <c r="F5" s="4">
        <f>L12</f>
        <v>418.90352572237504</v>
      </c>
      <c r="K5" s="7"/>
      <c r="L5" s="7" t="s">
        <v>8</v>
      </c>
      <c r="M5" s="7" t="s">
        <v>9</v>
      </c>
    </row>
    <row r="6" spans="1:13" x14ac:dyDescent="0.2">
      <c r="A6" s="8" t="s">
        <v>10</v>
      </c>
      <c r="B6" s="9">
        <f>MATCH(B5,'3_国税庁の表'!$E$4:$AH$4,0)</f>
        <v>1</v>
      </c>
      <c r="D6" s="30" t="s">
        <v>11</v>
      </c>
      <c r="E6" s="31"/>
      <c r="F6" s="10">
        <f>M12</f>
        <v>419.63937018037552</v>
      </c>
      <c r="K6" s="8" t="s">
        <v>12</v>
      </c>
      <c r="L6" s="11">
        <v>0.5</v>
      </c>
      <c r="M6" s="11">
        <v>0.5</v>
      </c>
    </row>
    <row r="7" spans="1:13" x14ac:dyDescent="0.2">
      <c r="D7" s="30" t="s">
        <v>13</v>
      </c>
      <c r="E7" s="31"/>
      <c r="F7" s="12">
        <f>SUMPRODUCT($D$13:$D$25,(($F$4&gt;=$C$13:$C$25)+($F$4&gt;$B$13:$B$25)*($F$4&lt;$C$13:$C$25)*($F$4-$B$13:$B$25)/($C$13:$C$25-$B$13:$B$25))+$H$13:$H$25*((($F$4&gt;=$C$13:$C$25)+($F$4&gt;$B$13:$B$25)*($F$4&lt;$C$13:$C$25)*($F$4-$B$13:$B$25)/($C$13:$C$25-$B$13:$B$25))^2-(($F$4&gt;=$C$13:$C$25)+($F$4&gt;$B$13:$B$25)*($F$4&lt;$C$13:$C$25)*($F$4-$B$13:$B$25)/($C$13:$C$25-$B$13:$B$25))))/$D$27</f>
        <v>0.60360545100278817</v>
      </c>
      <c r="K7" s="8" t="s">
        <v>14</v>
      </c>
      <c r="L7" s="9">
        <f>COUNTIF($F$13:$F$26,"&lt;"&amp;L6)+1</f>
        <v>5</v>
      </c>
      <c r="M7" s="9">
        <f>COUNTIF($F$13:$F$26,"&lt;"&amp;M6)+1</f>
        <v>5</v>
      </c>
    </row>
    <row r="8" spans="1:13" x14ac:dyDescent="0.2">
      <c r="A8" s="2" t="s">
        <v>15</v>
      </c>
      <c r="B8" s="35" t="str">
        <f>INDEX(A13:A26,COUNTIF(C13:C25,"&lt;"&amp;B4)+1)</f>
        <v>400万円超 500万円以下</v>
      </c>
      <c r="C8" s="31"/>
      <c r="D8" s="30" t="s">
        <v>16</v>
      </c>
      <c r="E8" s="31"/>
      <c r="F8" s="13">
        <f>B4-F4</f>
        <v>13.356451022043302</v>
      </c>
      <c r="K8" s="8" t="s">
        <v>17</v>
      </c>
      <c r="L8" s="14">
        <f>(L6-IF(L7=1,0,INDEX($F$13:$F$26,L7-1)))/INDEX($E$13:$E$26,L7)</f>
        <v>0.19639370180375537</v>
      </c>
      <c r="M8" s="14">
        <f>(M6-IF(M7=1,0,INDEX($F$13:$F$26,M7-1)))/INDEX($E$13:$E$26,M7)</f>
        <v>0.19639370180375537</v>
      </c>
    </row>
    <row r="9" spans="1:13" x14ac:dyDescent="0.2">
      <c r="A9" s="2" t="s">
        <v>18</v>
      </c>
      <c r="B9" s="15">
        <f>SUMPRODUCT($D$13:$D$25,(($B$4&gt;=$C$13:$C$25)+($B$4&gt;$B$13:$B$25)*($B$4&lt;$C$13:$C$25)*($B$4-$B$13:$B$25)/($C$13:$C$25-$B$13:$B$25))+$H$13:$H$25*((($B$4&gt;=$C$13:$C$25)+($B$4&gt;$B$13:$B$25)*($B$4&lt;$C$13:$C$25)*($B$4-$B$13:$B$25)/($C$13:$C$25-$B$13:$B$25))^2-(($B$4&gt;=$C$13:$C$25)+($B$4&gt;$B$13:$B$25)*($B$4&lt;$C$13:$C$25)*($B$4-$B$13:$B$25)/($C$13:$C$25-$B$13:$B$25))))/$D$27</f>
        <v>0.62323625407060013</v>
      </c>
      <c r="K9" s="8" t="s">
        <v>19</v>
      </c>
      <c r="L9" s="14">
        <f>INDEX($H$13:$H$26,L7)</f>
        <v>-4.8000000000000681E-2</v>
      </c>
      <c r="M9" s="14">
        <v>0</v>
      </c>
    </row>
    <row r="10" spans="1:13" x14ac:dyDescent="0.2">
      <c r="A10" s="2" t="s">
        <v>20</v>
      </c>
      <c r="B10" s="12">
        <f>IF(B4&gt;2500,"上位"&amp;TEXT(E26,"0.0%")&amp;"以内",1-B9)</f>
        <v>0.37676374592939987</v>
      </c>
      <c r="K10" s="8" t="s">
        <v>21</v>
      </c>
      <c r="L10" s="14">
        <f>IF(ABS(L9)&lt;0.000000001,L8,(-(1-L9)+SQRT((1-L9)^2+4*L9*L8))/(2*L9))</f>
        <v>0.18903525722375061</v>
      </c>
      <c r="M10" s="14">
        <f>IF(ABS(M9)&lt;0.000000001,M8,(-(1-M9)+SQRT((1-M9)^2+4*M9*M8))/(2*M9))</f>
        <v>0.19639370180375537</v>
      </c>
    </row>
    <row r="11" spans="1:13" x14ac:dyDescent="0.2">
      <c r="A11" s="2" t="s">
        <v>22</v>
      </c>
      <c r="B11" s="15">
        <f>IF(B4&gt;2500,"",1-(SUMPRODUCT($D$13:$D$25,(($B$4&gt;=$C$13:$C$25)+($B$4&gt;$B$13:$B$25)*($B$4&lt;$C$13:$C$25)*($B$4-$B$13:$B$25)/($C$13:$C$25-$B$13:$B$25)))/$D$27))</f>
        <v>0.37676374592939987</v>
      </c>
      <c r="K11" s="8" t="s">
        <v>23</v>
      </c>
      <c r="L11" s="16">
        <f>INDEX($B$13:$B$26,L7)+L10*(INDEX($C$13:$C$26,L7)-INDEX($B$13:$B$26,L7))</f>
        <v>418.90352572237504</v>
      </c>
      <c r="M11" s="16">
        <f>INDEX($B$13:$B$26,M7)+M10*(INDEX($C$13:$C$26,M7)-INDEX($B$13:$B$26,M7))</f>
        <v>419.63937018037552</v>
      </c>
    </row>
    <row r="12" spans="1:13" ht="26" x14ac:dyDescent="0.2">
      <c r="A12" s="7" t="s">
        <v>24</v>
      </c>
      <c r="B12" s="7" t="s">
        <v>25</v>
      </c>
      <c r="C12" s="7" t="s">
        <v>26</v>
      </c>
      <c r="D12" s="7" t="s">
        <v>27</v>
      </c>
      <c r="E12" s="7" t="s">
        <v>28</v>
      </c>
      <c r="F12" s="7" t="s">
        <v>29</v>
      </c>
      <c r="G12" s="7" t="s">
        <v>30</v>
      </c>
      <c r="H12" s="7" t="s">
        <v>31</v>
      </c>
      <c r="I12" s="7" t="s">
        <v>32</v>
      </c>
      <c r="K12" s="17" t="s">
        <v>33</v>
      </c>
      <c r="L12" s="18">
        <f>L11</f>
        <v>418.90352572237504</v>
      </c>
      <c r="M12" s="18">
        <f>M11</f>
        <v>419.63937018037552</v>
      </c>
    </row>
    <row r="13" spans="1:13" x14ac:dyDescent="0.2">
      <c r="A13" s="19" t="str">
        <f>'3_国税庁の表'!A6</f>
        <v>100万円以下</v>
      </c>
      <c r="B13" s="20">
        <f>'3_国税庁の表'!B6</f>
        <v>0</v>
      </c>
      <c r="C13" s="20">
        <f>IF('3_国税庁の表'!C6="","",'3_国税庁の表'!C6)</f>
        <v>100</v>
      </c>
      <c r="D13" s="20">
        <f>INDEX('3_国税庁の表'!$E6:$AH6,$B$6)</f>
        <v>3703056</v>
      </c>
      <c r="E13" s="15">
        <f t="shared" ref="E13:E26" si="0">D13/$D$27</f>
        <v>7.1722126613534609E-2</v>
      </c>
      <c r="F13" s="15">
        <f>SUM($D$13:D13)/$D$27</f>
        <v>7.1722126613534609E-2</v>
      </c>
      <c r="G13" s="21">
        <f>INDEX('3_国税庁の表'!$E6:$AH6,$B$6+2)/10</f>
        <v>80.2</v>
      </c>
      <c r="H13" s="14">
        <f>IF(C13="","",INDEX('3_国税庁の表'!$E6:$AH6,$B$6+4))</f>
        <v>1</v>
      </c>
      <c r="I13" s="22">
        <f t="shared" ref="I13:I25" si="1">(($B$4&gt;=C13)+($B$4&gt;B13)*($B$4&lt;C13)*($B$4-B13)/(C13-B13))+H13*((($B$4&gt;=C13)+($B$4&gt;B13)*($B$4&lt;C13)*($B$4-B13)/(C13-B13))^2-(($B$4&gt;=C13)+($B$4&gt;B13)*($B$4&lt;C13)*($B$4-B13)/(C13-B13)))</f>
        <v>1</v>
      </c>
      <c r="K13" t="s">
        <v>34</v>
      </c>
    </row>
    <row r="14" spans="1:13" x14ac:dyDescent="0.2">
      <c r="A14" s="19" t="str">
        <f>'3_国税庁の表'!A7</f>
        <v>100万円超 200万円以下</v>
      </c>
      <c r="B14" s="20">
        <f>'3_国税庁の表'!B7</f>
        <v>100</v>
      </c>
      <c r="C14" s="20">
        <f>IF('3_国税庁の表'!C7="","",'3_国税庁の表'!C7)</f>
        <v>200</v>
      </c>
      <c r="D14" s="20">
        <f>INDEX('3_国税庁の表'!$E7:$AH7,$B$6)</f>
        <v>5824931</v>
      </c>
      <c r="E14" s="15">
        <f t="shared" si="0"/>
        <v>0.11281936829934593</v>
      </c>
      <c r="F14" s="15">
        <f>SUM($D$13:D14)/$D$27</f>
        <v>0.18454149491288052</v>
      </c>
      <c r="G14" s="21">
        <f>INDEX('3_国税庁の表'!$E7:$AH7,$B$6+2)/10</f>
        <v>141.5</v>
      </c>
      <c r="H14" s="14">
        <f>IF(C14="","",INDEX('3_国税庁の表'!$E7:$AH7,$B$6+4))</f>
        <v>-0.51</v>
      </c>
      <c r="I14" s="22">
        <f t="shared" si="1"/>
        <v>1</v>
      </c>
    </row>
    <row r="15" spans="1:13" x14ac:dyDescent="0.2">
      <c r="A15" s="19" t="str">
        <f>'3_国税庁の表'!A8</f>
        <v>200万円超 300万円以下</v>
      </c>
      <c r="B15" s="20">
        <f>'3_国税庁の表'!B8</f>
        <v>200</v>
      </c>
      <c r="C15" s="20">
        <f>IF('3_国税庁の表'!C8="","",'3_国税庁の表'!C8)</f>
        <v>300</v>
      </c>
      <c r="D15" s="20">
        <f>INDEX('3_国税庁の表'!$E8:$AH8,$B$6)</f>
        <v>6745640</v>
      </c>
      <c r="E15" s="15">
        <f t="shared" si="0"/>
        <v>0.1306519928862333</v>
      </c>
      <c r="F15" s="15">
        <f>SUM($D$13:D15)/$D$27</f>
        <v>0.31519348779911383</v>
      </c>
      <c r="G15" s="21">
        <f>INDEX('3_国税庁の表'!$E8:$AH8,$B$6+2)/10</f>
        <v>252.6</v>
      </c>
      <c r="H15" s="14">
        <f>IF(C15="","",INDEX('3_国税庁の表'!$E8:$AH8,$B$6+4))</f>
        <v>0.15599999999999967</v>
      </c>
      <c r="I15" s="22">
        <f t="shared" si="1"/>
        <v>1</v>
      </c>
    </row>
    <row r="16" spans="1:13" x14ac:dyDescent="0.2">
      <c r="A16" s="19" t="str">
        <f>'3_国税庁の表'!A9</f>
        <v>300万円超 400万円以下</v>
      </c>
      <c r="B16" s="20">
        <f>'3_国税庁の表'!B9</f>
        <v>300</v>
      </c>
      <c r="C16" s="20">
        <f>IF('3_国税庁の表'!C9="","",'3_国税庁の表'!C9)</f>
        <v>400</v>
      </c>
      <c r="D16" s="20">
        <f>INDEX('3_国税庁の表'!$E9:$AH9,$B$6)</f>
        <v>7986672</v>
      </c>
      <c r="E16" s="15">
        <f t="shared" si="0"/>
        <v>0.15468874907772706</v>
      </c>
      <c r="F16" s="15">
        <f>SUM($D$13:D16)/$D$27</f>
        <v>0.46988223687684089</v>
      </c>
      <c r="G16" s="21">
        <f>INDEX('3_国税庁の表'!$E9:$AH9,$B$6+2)/10</f>
        <v>351.6</v>
      </c>
      <c r="H16" s="14">
        <f>IF(C16="","",INDEX('3_国税庁の表'!$E9:$AH9,$B$6+4))</f>
        <v>9.6000000000001362E-2</v>
      </c>
      <c r="I16" s="22">
        <f t="shared" si="1"/>
        <v>1</v>
      </c>
    </row>
    <row r="17" spans="1:9" x14ac:dyDescent="0.2">
      <c r="A17" s="19" t="str">
        <f>'3_国税庁の表'!A10</f>
        <v>400万円超 500万円以下</v>
      </c>
      <c r="B17" s="20">
        <f>'3_国税庁の表'!B10</f>
        <v>400</v>
      </c>
      <c r="C17" s="20">
        <f>IF('3_国税庁の表'!C10="","",'3_国税庁の表'!C10)</f>
        <v>500</v>
      </c>
      <c r="D17" s="20">
        <f>INDEX('3_国税庁の表'!$E10:$AH10,$B$6)</f>
        <v>7917759</v>
      </c>
      <c r="E17" s="15">
        <f t="shared" si="0"/>
        <v>0.15335401719375918</v>
      </c>
      <c r="F17" s="15">
        <f>SUM($D$13:D17)/$D$27</f>
        <v>0.62323625407060013</v>
      </c>
      <c r="G17" s="21">
        <f>INDEX('3_国税庁の表'!$E10:$AH10,$B$6+2)/10</f>
        <v>449.2</v>
      </c>
      <c r="H17" s="14">
        <f>IF(C17="","",INDEX('3_国税庁の表'!$E10:$AH10,$B$6+4))</f>
        <v>-4.8000000000000681E-2</v>
      </c>
      <c r="I17" s="22">
        <f t="shared" si="1"/>
        <v>1</v>
      </c>
    </row>
    <row r="18" spans="1:9" x14ac:dyDescent="0.2">
      <c r="A18" s="19" t="str">
        <f>'3_国税庁の表'!A11</f>
        <v>500万円超 600万円以下</v>
      </c>
      <c r="B18" s="20">
        <f>'3_国税庁の表'!B11</f>
        <v>500</v>
      </c>
      <c r="C18" s="20">
        <f>IF('3_国税庁の表'!C11="","",'3_国税庁の表'!C11)</f>
        <v>600</v>
      </c>
      <c r="D18" s="20">
        <f>INDEX('3_国税庁の表'!$E11:$AH11,$B$6)</f>
        <v>6144924</v>
      </c>
      <c r="E18" s="15">
        <f t="shared" si="0"/>
        <v>0.11901710834471516</v>
      </c>
      <c r="F18" s="15">
        <f>SUM($D$13:D18)/$D$27</f>
        <v>0.74225336241531525</v>
      </c>
      <c r="G18" s="21">
        <f>INDEX('3_国税庁の表'!$E11:$AH11,$B$6+2)/10</f>
        <v>547.5</v>
      </c>
      <c r="H18" s="14">
        <f>IF(C18="","",INDEX('3_国税庁の表'!$E11:$AH11,$B$6+4))</f>
        <v>-0.15</v>
      </c>
      <c r="I18" s="22">
        <f t="shared" si="1"/>
        <v>0</v>
      </c>
    </row>
    <row r="19" spans="1:9" x14ac:dyDescent="0.2">
      <c r="A19" s="19" t="str">
        <f>'3_国税庁の表'!A12</f>
        <v>600万円超 700万円以下</v>
      </c>
      <c r="B19" s="20">
        <f>'3_国税庁の表'!B12</f>
        <v>600</v>
      </c>
      <c r="C19" s="20">
        <f>IF('3_国税庁の表'!C12="","",'3_国税庁の表'!C12)</f>
        <v>700</v>
      </c>
      <c r="D19" s="20">
        <f>INDEX('3_国税庁の表'!$E12:$AH12,$B$6)</f>
        <v>4035252</v>
      </c>
      <c r="E19" s="15">
        <f t="shared" si="0"/>
        <v>7.8156218772148928E-2</v>
      </c>
      <c r="F19" s="15">
        <f>SUM($D$13:D19)/$D$27</f>
        <v>0.82040958118746421</v>
      </c>
      <c r="G19" s="21">
        <f>INDEX('3_国税庁の表'!$E12:$AH12,$B$6+2)/10</f>
        <v>647.1</v>
      </c>
      <c r="H19" s="14">
        <f>IF(C19="","",INDEX('3_国税庁の表'!$E12:$AH12,$B$6+4))</f>
        <v>-0.17399999999999863</v>
      </c>
      <c r="I19" s="22">
        <f t="shared" si="1"/>
        <v>0</v>
      </c>
    </row>
    <row r="20" spans="1:9" x14ac:dyDescent="0.2">
      <c r="A20" s="19" t="str">
        <f>'3_国税庁の表'!A13</f>
        <v>700万円超 800万円以下</v>
      </c>
      <c r="B20" s="20">
        <f>'3_国税庁の表'!B13</f>
        <v>700</v>
      </c>
      <c r="C20" s="20">
        <f>IF('3_国税庁の表'!C13="","",'3_国税庁の表'!C13)</f>
        <v>800</v>
      </c>
      <c r="D20" s="20">
        <f>INDEX('3_国税庁の表'!$E13:$AH13,$B$6)</f>
        <v>2776867</v>
      </c>
      <c r="E20" s="15">
        <f t="shared" si="0"/>
        <v>5.3783363406587965E-2</v>
      </c>
      <c r="F20" s="15">
        <f>SUM($D$13:D20)/$D$27</f>
        <v>0.87419294459405217</v>
      </c>
      <c r="G20" s="21">
        <f>INDEX('3_国税庁の表'!$E13:$AH13,$B$6+2)/10</f>
        <v>746.8</v>
      </c>
      <c r="H20" s="14">
        <f>IF(C20="","",INDEX('3_国税庁の表'!$E13:$AH13,$B$6+4))</f>
        <v>-0.19200000000000272</v>
      </c>
      <c r="I20" s="22">
        <f t="shared" si="1"/>
        <v>0</v>
      </c>
    </row>
    <row r="21" spans="1:9" x14ac:dyDescent="0.2">
      <c r="A21" s="19" t="str">
        <f>'3_国税庁の表'!A14</f>
        <v>800万円超 900万円以下</v>
      </c>
      <c r="B21" s="20">
        <f>'3_国税庁の表'!B14</f>
        <v>800</v>
      </c>
      <c r="C21" s="20">
        <f>IF('3_国税庁の表'!C14="","",'3_国税庁の表'!C14)</f>
        <v>900</v>
      </c>
      <c r="D21" s="20">
        <f>INDEX('3_国税庁の表'!$E14:$AH14,$B$6)</f>
        <v>1833950</v>
      </c>
      <c r="E21" s="15">
        <f t="shared" si="0"/>
        <v>3.5520606251402027E-2</v>
      </c>
      <c r="F21" s="15">
        <f>SUM($D$13:D21)/$D$27</f>
        <v>0.90971355084545413</v>
      </c>
      <c r="G21" s="21">
        <f>INDEX('3_国税庁の表'!$E14:$AH14,$B$6+2)/10</f>
        <v>848.2</v>
      </c>
      <c r="H21" s="14">
        <f>IF(C21="","",INDEX('3_国税庁の表'!$E14:$AH14,$B$6+4))</f>
        <v>-0.10799999999999726</v>
      </c>
      <c r="I21" s="22">
        <f t="shared" si="1"/>
        <v>0</v>
      </c>
    </row>
    <row r="22" spans="1:9" x14ac:dyDescent="0.2">
      <c r="A22" s="19" t="str">
        <f>'3_国税庁の表'!A15</f>
        <v>900万円超 1,000万円以下</v>
      </c>
      <c r="B22" s="20">
        <f>'3_国税庁の表'!B15</f>
        <v>900</v>
      </c>
      <c r="C22" s="20">
        <f>IF('3_国税庁の表'!C15="","",'3_国税庁の表'!C15)</f>
        <v>1000</v>
      </c>
      <c r="D22" s="20">
        <f>INDEX('3_国税庁の表'!$E15:$AH15,$B$6)</f>
        <v>1266070</v>
      </c>
      <c r="E22" s="15">
        <f t="shared" si="0"/>
        <v>2.4521701222341156E-2</v>
      </c>
      <c r="F22" s="15">
        <f>SUM($D$13:D22)/$D$27</f>
        <v>0.93423525206779534</v>
      </c>
      <c r="G22" s="21">
        <f>INDEX('3_国税庁の表'!$E15:$AH15,$B$6+2)/10</f>
        <v>947.3</v>
      </c>
      <c r="H22" s="14">
        <f>IF(C22="","",INDEX('3_国税庁の表'!$E15:$AH15,$B$6+4))</f>
        <v>-0.16200000000000273</v>
      </c>
      <c r="I22" s="22">
        <f t="shared" si="1"/>
        <v>0</v>
      </c>
    </row>
    <row r="23" spans="1:9" x14ac:dyDescent="0.2">
      <c r="A23" s="19" t="str">
        <f>'3_国税庁の表'!A16</f>
        <v>1,000万円超 1,500万円以下</v>
      </c>
      <c r="B23" s="20">
        <f>'3_国税庁の表'!B16</f>
        <v>1000</v>
      </c>
      <c r="C23" s="20">
        <f>IF('3_国税庁の表'!C16="","",'3_国税庁の表'!C16)</f>
        <v>1500</v>
      </c>
      <c r="D23" s="20">
        <f>INDEX('3_国税庁の表'!$E16:$AH16,$B$6)</f>
        <v>2422426</v>
      </c>
      <c r="E23" s="15">
        <f t="shared" si="0"/>
        <v>4.6918422050306066E-2</v>
      </c>
      <c r="F23" s="15">
        <f>SUM($D$13:D23)/$D$27</f>
        <v>0.98115367411810139</v>
      </c>
      <c r="G23" s="21">
        <f>INDEX('3_国税庁の表'!$E16:$AH16,$B$6+2)/10</f>
        <v>1187.5999999999999</v>
      </c>
      <c r="H23" s="14">
        <f>IF(C23="","",INDEX('3_国税庁の表'!$E16:$AH16,$B$6+4))</f>
        <v>-0.74880000000000113</v>
      </c>
      <c r="I23" s="22">
        <f t="shared" si="1"/>
        <v>0</v>
      </c>
    </row>
    <row r="24" spans="1:9" x14ac:dyDescent="0.2">
      <c r="A24" s="19" t="str">
        <f>'3_国税庁の表'!A17</f>
        <v>1,500万円超 2,000万円以下</v>
      </c>
      <c r="B24" s="20">
        <f>'3_国税庁の表'!B17</f>
        <v>1500</v>
      </c>
      <c r="C24" s="20">
        <f>IF('3_国税庁の表'!C17="","",'3_国税庁の表'!C17)</f>
        <v>2000</v>
      </c>
      <c r="D24" s="20">
        <f>INDEX('3_国税庁の表'!$E17:$AH17,$B$6)</f>
        <v>609530</v>
      </c>
      <c r="E24" s="15">
        <f t="shared" si="0"/>
        <v>1.1805597278233909E-2</v>
      </c>
      <c r="F24" s="15">
        <f>SUM($D$13:D24)/$D$27</f>
        <v>0.99295927139633533</v>
      </c>
      <c r="G24" s="21">
        <f>INDEX('3_国税庁の表'!$E17:$AH17,$B$6+2)/10</f>
        <v>1718.7</v>
      </c>
      <c r="H24" s="14">
        <f>IF(C24="","",INDEX('3_国税庁の表'!$E17:$AH17,$B$6+4))</f>
        <v>-0.37559999999999943</v>
      </c>
      <c r="I24" s="22">
        <f t="shared" si="1"/>
        <v>0</v>
      </c>
    </row>
    <row r="25" spans="1:9" x14ac:dyDescent="0.2">
      <c r="A25" s="19" t="str">
        <f>'3_国税庁の表'!A18</f>
        <v>2,000万円超 2,500万円以下</v>
      </c>
      <c r="B25" s="20">
        <f>'3_国税庁の表'!B18</f>
        <v>2000</v>
      </c>
      <c r="C25" s="20">
        <f>IF('3_国税庁の表'!C18="","",'3_国税庁の表'!C18)</f>
        <v>2500</v>
      </c>
      <c r="D25" s="20">
        <f>INDEX('3_国税庁の表'!$E18:$AH18,$B$6)</f>
        <v>167273</v>
      </c>
      <c r="E25" s="15">
        <f t="shared" si="0"/>
        <v>3.2398039038636665E-3</v>
      </c>
      <c r="F25" s="15">
        <f>SUM($D$13:D25)/$D$27</f>
        <v>0.99619907530019891</v>
      </c>
      <c r="G25" s="21">
        <f>INDEX('3_国税庁の表'!$E18:$AH18,$B$6+2)/10</f>
        <v>2221.9</v>
      </c>
      <c r="H25" s="14">
        <f>IF(C25="","",INDEX('3_国税庁の表'!$E18:$AH18,$B$6+4))</f>
        <v>-0.33719999999999889</v>
      </c>
      <c r="I25" s="22">
        <f t="shared" si="1"/>
        <v>0</v>
      </c>
    </row>
    <row r="26" spans="1:9" x14ac:dyDescent="0.2">
      <c r="A26" s="19" t="str">
        <f>'3_国税庁の表'!A19</f>
        <v>2,500万円超</v>
      </c>
      <c r="B26" s="20">
        <f>'3_国税庁の表'!B19</f>
        <v>2500</v>
      </c>
      <c r="C26" s="20" t="str">
        <f>IF('3_国税庁の表'!C19="","",'3_国税庁の表'!C19)</f>
        <v/>
      </c>
      <c r="D26" s="20">
        <f>INDEX('3_国税庁の表'!$E19:$AH19,$B$6)</f>
        <v>196243</v>
      </c>
      <c r="E26" s="15">
        <f t="shared" si="0"/>
        <v>3.8009053314397275E-3</v>
      </c>
      <c r="F26" s="15">
        <f>SUM($D$13:D26)/$D$27</f>
        <v>0.99999998063163864</v>
      </c>
      <c r="G26" s="21">
        <f>INDEX('3_国税庁の表'!$E19:$AH19,$B$6+2)/10</f>
        <v>4259.3999999999996</v>
      </c>
      <c r="H26" s="14" t="str">
        <f>IF(C26="","",INDEX('3_国税庁の表'!$E19:$AH19,$B$6+4))</f>
        <v/>
      </c>
      <c r="I26" s="22">
        <f>IF($B$4&gt;2500,"区間の中は不明",0)</f>
        <v>0</v>
      </c>
    </row>
    <row r="27" spans="1:9" x14ac:dyDescent="0.2">
      <c r="A27" s="2" t="s">
        <v>35</v>
      </c>
      <c r="B27" s="23"/>
      <c r="C27" s="23"/>
      <c r="D27" s="24">
        <f>INDEX('3_国税庁の表'!$E20:$AH20,$B$6)</f>
        <v>51630594</v>
      </c>
      <c r="E27" s="23"/>
      <c r="F27" s="23"/>
      <c r="G27" s="25">
        <f>INDEX('3_国税庁の表'!$E20:$AH20,$B$6+1)/D27*100</f>
        <v>486.6435489779567</v>
      </c>
      <c r="H27" s="23"/>
      <c r="I27" s="23"/>
    </row>
    <row r="29" spans="1:9" ht="14" x14ac:dyDescent="0.2">
      <c r="A29" s="1" t="s">
        <v>36</v>
      </c>
    </row>
    <row r="30" spans="1:9" x14ac:dyDescent="0.2">
      <c r="A30" s="2" t="s">
        <v>37</v>
      </c>
      <c r="B30" s="33" t="str">
        <f>INDEX(A13:A26,MATCH(B4,B13:B26,1))</f>
        <v>500万円超 600万円以下</v>
      </c>
      <c r="C30" s="34"/>
      <c r="D30" s="31"/>
      <c r="E30" s="32" t="str">
        <f>IF(B30=B8,"同じ","区間が1つずれる")</f>
        <v>区間が1つずれる</v>
      </c>
      <c r="F30" s="31"/>
    </row>
    <row r="31" spans="1:9" x14ac:dyDescent="0.2">
      <c r="A31" s="2" t="s">
        <v>38</v>
      </c>
      <c r="B31" s="3">
        <v>390</v>
      </c>
      <c r="C31" s="23" t="s">
        <v>39</v>
      </c>
      <c r="D31" s="15">
        <f>1-SUMPRODUCT($D$13:$D$25,(($B$31&gt;=$C$13:$C$25)+($B$31&gt;$B$13:$B$25)*($B$31&lt;$C$13:$C$25)*($B$31-$B$13:$B$25)/($C$13:$C$25-$B$13:$B$25))+$H$13:$H$25*((($B$31&gt;=$C$13:$C$25)+($B$31&gt;$B$13:$B$25)*($B$31&lt;$C$13:$C$25)*($B$31-$B$13:$B$25)/($C$13:$C$25-$B$13:$B$25))^2-(($B$31&gt;=$C$13:$C$25)+($B$31&gt;$B$13:$B$25)*($B$31&lt;$C$13:$C$25)*($B$31-$B$13:$B$25)/($C$13:$C$25-$B$13:$B$25))))/$D$27</f>
        <v>0.54692314882296333</v>
      </c>
      <c r="E31" s="23" t="s">
        <v>40</v>
      </c>
      <c r="F31" s="27">
        <f>IF(ISNUMBER(B10),D31-B10,"")</f>
        <v>0.17015940289356346</v>
      </c>
    </row>
    <row r="32" spans="1:9" x14ac:dyDescent="0.2">
      <c r="A32" t="s">
        <v>41</v>
      </c>
    </row>
    <row r="33" spans="1:1" x14ac:dyDescent="0.2">
      <c r="A33" t="s">
        <v>42</v>
      </c>
    </row>
  </sheetData>
  <mergeCells count="8">
    <mergeCell ref="D4:E4"/>
    <mergeCell ref="B30:D30"/>
    <mergeCell ref="B8:C8"/>
    <mergeCell ref="D8:E8"/>
    <mergeCell ref="D6:E6"/>
    <mergeCell ref="E30:F30"/>
    <mergeCell ref="D7:E7"/>
    <mergeCell ref="D5:E5"/>
  </mergeCells>
  <phoneticPr fontId="3"/>
  <conditionalFormatting sqref="A13:G26">
    <cfRule type="expression" dxfId="3" priority="1">
      <formula>$A13=$B$8</formula>
    </cfRule>
  </conditionalFormatting>
  <conditionalFormatting sqref="E30">
    <cfRule type="expression" dxfId="2" priority="2">
      <formula>E30="区間が1つずれる"</formula>
    </cfRule>
  </conditionalFormatting>
  <dataValidations count="1">
    <dataValidation type="list" error="全体、男性、女性、正社員、正社員以外、役員から選ぶ" sqref="B5" xr:uid="{00000000-0002-0000-0000-000000000000}">
      <formula1>"全体,男性,女性,正社員,正社員以外,役員"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"/>
  <sheetViews>
    <sheetView workbookViewId="0"/>
  </sheetViews>
  <sheetFormatPr defaultRowHeight="13" x14ac:dyDescent="0.2"/>
  <cols>
    <col min="1" max="1" width="12" customWidth="1"/>
    <col min="2" max="2" width="13" customWidth="1"/>
    <col min="3" max="3" width="11" customWidth="1"/>
    <col min="4" max="6" width="12" customWidth="1"/>
    <col min="7" max="9" width="11" customWidth="1"/>
    <col min="10" max="10" width="12" customWidth="1"/>
    <col min="11" max="11" width="14" customWidth="1"/>
    <col min="12" max="12" width="2" customWidth="1"/>
    <col min="13" max="18" width="8" customWidth="1"/>
  </cols>
  <sheetData>
    <row r="1" spans="1:18" ht="14" x14ac:dyDescent="0.2">
      <c r="A1" s="1" t="s">
        <v>43</v>
      </c>
    </row>
    <row r="2" spans="1:18" x14ac:dyDescent="0.2">
      <c r="A2" t="s">
        <v>44</v>
      </c>
    </row>
    <row r="4" spans="1:18" ht="46" customHeight="1" x14ac:dyDescent="0.2">
      <c r="A4" s="7" t="s">
        <v>5</v>
      </c>
      <c r="B4" s="7" t="s">
        <v>27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M4" s="7" t="s">
        <v>54</v>
      </c>
      <c r="N4" s="7" t="s">
        <v>55</v>
      </c>
      <c r="O4" s="7" t="s">
        <v>56</v>
      </c>
      <c r="P4" s="7" t="s">
        <v>57</v>
      </c>
      <c r="Q4" s="7" t="s">
        <v>58</v>
      </c>
      <c r="R4" s="7" t="s">
        <v>59</v>
      </c>
    </row>
    <row r="5" spans="1:18" x14ac:dyDescent="0.2">
      <c r="A5" s="26" t="s">
        <v>6</v>
      </c>
      <c r="B5" s="20">
        <f>'3_国税庁の表'!$E$20</f>
        <v>51630594</v>
      </c>
      <c r="C5" s="21">
        <f>'3_国税庁の表'!$F$20/'3_国税庁の表'!$E$20*100</f>
        <v>486.6435489779567</v>
      </c>
      <c r="D5" s="28">
        <f>INDEX('3_国税庁の表'!$B$6:$B$19,M5)+P5*(INDEX('3_国税庁の表'!$C$6:$C$19,M5)-INDEX('3_国税庁の表'!$B$6:$B$19,M5))</f>
        <v>418.90352572237504</v>
      </c>
      <c r="E5" s="21">
        <f>INDEX('3_国税庁の表'!$B$6:$B$19,Q5)+R5*(INDEX('3_国税庁の表'!$C$6:$C$19,Q5)-INDEX('3_国税庁の表'!$B$6:$B$19,Q5))</f>
        <v>419.63937018037552</v>
      </c>
      <c r="F5" s="21">
        <f t="shared" ref="F5:F10" si="0">C5-D5</f>
        <v>67.740023255581661</v>
      </c>
      <c r="G5" s="12">
        <f>SUMPRODUCT('3_国税庁の表'!$E$6:$E$18,(($C5&gt;='3_国税庁の表'!$C$6:$C$18)+($C5&gt;'3_国税庁の表'!$B$6:$B$18)*($C5&lt;'3_国税庁の表'!$C$6:$C$18)*($C5-'3_国税庁の表'!$B$6:$B$18)/('3_国税庁の表'!$C$6:$C$18-'3_国税庁の表'!$B$6:$B$18))+'3_国税庁の表'!$I$6:$I$18*((($C5&gt;='3_国税庁の表'!$C$6:$C$18)+($C5&gt;'3_国税庁の表'!$B$6:$B$18)*($C5&lt;'3_国税庁の表'!$C$6:$C$18)*($C5-'3_国税庁の表'!$B$6:$B$18)/('3_国税庁の表'!$C$6:$C$18-'3_国税庁の表'!$B$6:$B$18))^2-(($C5&gt;='3_国税庁の表'!$C$6:$C$18)+($C5&gt;'3_国税庁の表'!$B$6:$B$18)*($C5&lt;'3_国税庁の表'!$C$6:$C$18)*($C5-'3_国税庁の表'!$B$6:$B$18)/('3_国税庁の表'!$C$6:$C$18-'3_国税庁の表'!$B$6:$B$18))))/'3_国税庁の表'!$E$20</f>
        <v>0.60360545100278817</v>
      </c>
      <c r="H5" s="15">
        <f>1-SUMPRODUCT('3_国税庁の表'!$E$6:$E$18,((400&gt;='3_国税庁の表'!$C$6:$C$18)+(400&gt;'3_国税庁の表'!$B$6:$B$18)*(400&lt;'3_国税庁の表'!$C$6:$C$18)*(400-'3_国税庁の表'!$B$6:$B$18)/('3_国税庁の表'!$C$6:$C$18-'3_国税庁の表'!$B$6:$B$18))+'3_国税庁の表'!$I$6:$I$18*(((400&gt;='3_国税庁の表'!$C$6:$C$18)+(400&gt;'3_国税庁の表'!$B$6:$B$18)*(400&lt;'3_国税庁の表'!$C$6:$C$18)*(400-'3_国税庁の表'!$B$6:$B$18)/('3_国税庁の表'!$C$6:$C$18-'3_国税庁の表'!$B$6:$B$18))^2-((400&gt;='3_国税庁の表'!$C$6:$C$18)+(400&gt;'3_国税庁の表'!$B$6:$B$18)*(400&lt;'3_国税庁の表'!$C$6:$C$18)*(400-'3_国税庁の表'!$B$6:$B$18)/('3_国税庁の表'!$C$6:$C$18-'3_国税庁の表'!$B$6:$B$18))))/'3_国税庁の表'!$E$20</f>
        <v>0.53011776312315906</v>
      </c>
      <c r="I5" s="15">
        <f>1-SUMPRODUCT('3_国税庁の表'!$E$6:$E$18,((500&gt;='3_国税庁の表'!$C$6:$C$18)+(500&gt;'3_国税庁の表'!$B$6:$B$18)*(500&lt;'3_国税庁の表'!$C$6:$C$18)*(500-'3_国税庁の表'!$B$6:$B$18)/('3_国税庁の表'!$C$6:$C$18-'3_国税庁の表'!$B$6:$B$18))+'3_国税庁の表'!$I$6:$I$18*(((500&gt;='3_国税庁の表'!$C$6:$C$18)+(500&gt;'3_国税庁の表'!$B$6:$B$18)*(500&lt;'3_国税庁の表'!$C$6:$C$18)*(500-'3_国税庁の表'!$B$6:$B$18)/('3_国税庁の表'!$C$6:$C$18-'3_国税庁の表'!$B$6:$B$18))^2-((500&gt;='3_国税庁の表'!$C$6:$C$18)+(500&gt;'3_国税庁の表'!$B$6:$B$18)*(500&lt;'3_国税庁の表'!$C$6:$C$18)*(500-'3_国税庁の表'!$B$6:$B$18)/('3_国税庁の表'!$C$6:$C$18-'3_国税庁の表'!$B$6:$B$18))))/'3_国税庁の表'!$E$20</f>
        <v>0.37676374592939987</v>
      </c>
      <c r="J5" s="15">
        <f>SUM('3_国税庁の表'!E16:E19)/'3_国税庁の表'!$E$20</f>
        <v>6.5764728563843369E-2</v>
      </c>
      <c r="K5" s="12">
        <f>SUM('3_国税庁の表'!F16:F19)/'3_国税庁の表'!F20</f>
        <v>0.20425361757647664</v>
      </c>
      <c r="M5" s="9">
        <f>COUNTIF('3_国税庁の表'!$H$6:$H$19,"&lt;"&amp;0.5)+1</f>
        <v>5</v>
      </c>
      <c r="N5" s="14">
        <f>(0.5-IF(M5=1,0,INDEX('3_国税庁の表'!$H$6:$H$19,M5-1)))*'3_国税庁の表'!$E$20/INDEX('3_国税庁の表'!$E$6:$E$19,M5)</f>
        <v>0.19639370180375537</v>
      </c>
      <c r="O5" s="14">
        <f>INDEX('3_国税庁の表'!$I$6:$I$19,M5)</f>
        <v>-4.8000000000000681E-2</v>
      </c>
      <c r="P5" s="14">
        <f t="shared" ref="P5:P10" si="1">IF(ABS(O5)&lt;0.000000001,N5,(-(1-O5)+SQRT((1-O5)^2+4*O5*N5))/(2*O5))</f>
        <v>0.18903525722375061</v>
      </c>
      <c r="Q5" s="9">
        <f t="shared" ref="Q5:R10" si="2">M5</f>
        <v>5</v>
      </c>
      <c r="R5" s="14">
        <f t="shared" si="2"/>
        <v>0.19639370180375537</v>
      </c>
    </row>
    <row r="6" spans="1:18" x14ac:dyDescent="0.2">
      <c r="A6" s="26" t="s">
        <v>60</v>
      </c>
      <c r="B6" s="20">
        <f>'3_国税庁の表'!$J$20</f>
        <v>29336943</v>
      </c>
      <c r="C6" s="21">
        <f>'3_国税庁の表'!$K$20/'3_国税庁の表'!$J$20*100</f>
        <v>596.68234007885553</v>
      </c>
      <c r="D6" s="28">
        <f>INDEX('3_国税庁の表'!$B$6:$B$19,M6)+P6*(INDEX('3_国税庁の表'!$C$6:$C$19,M6)-INDEX('3_国税庁の表'!$B$6:$B$19,M6))</f>
        <v>512.40633098845069</v>
      </c>
      <c r="E6" s="21">
        <f>INDEX('3_国税庁の表'!$B$6:$B$19,Q6)+R6*(INDEX('3_国税庁の表'!$C$6:$C$19,Q6)-INDEX('3_国税庁の表'!$B$6:$B$19,Q6))</f>
        <v>513.44957839669087</v>
      </c>
      <c r="F6" s="21">
        <f t="shared" si="0"/>
        <v>84.276009090404841</v>
      </c>
      <c r="G6" s="12">
        <f>SUMPRODUCT('3_国税庁の表'!$J$6:$J$18,(($C6&gt;='3_国税庁の表'!$C$6:$C$18)+($C6&gt;'3_国税庁の表'!$B$6:$B$18)*($C6&lt;'3_国税庁の表'!$C$6:$C$18)*($C6-'3_国税庁の表'!$B$6:$B$18)/('3_国税庁の表'!$C$6:$C$18-'3_国税庁の表'!$B$6:$B$18))+'3_国税庁の表'!$N$6:$N$18*((($C6&gt;='3_国税庁の表'!$C$6:$C$18)+($C6&gt;'3_国税庁の表'!$B$6:$B$18)*($C6&lt;'3_国税庁の表'!$C$6:$C$18)*($C6-'3_国税庁の表'!$B$6:$B$18)/('3_国税庁の表'!$C$6:$C$18-'3_国税庁の表'!$B$6:$B$18))^2-(($C6&gt;='3_国税庁の表'!$C$6:$C$18)+($C6&gt;'3_国税庁の表'!$B$6:$B$18)*($C6&lt;'3_国税庁の表'!$C$6:$C$18)*($C6-'3_国税庁の表'!$B$6:$B$18)/('3_国税庁の表'!$C$6:$C$18-'3_国税庁の表'!$B$6:$B$18))))/'3_国税庁の表'!$J$20</f>
        <v>0.62171216253149031</v>
      </c>
      <c r="H6" s="15">
        <f>1-SUMPRODUCT('3_国税庁の表'!$J$6:$J$18,((400&gt;='3_国税庁の表'!$C$6:$C$18)+(400&gt;'3_国税庁の表'!$B$6:$B$18)*(400&lt;'3_国税庁の表'!$C$6:$C$18)*(400-'3_国税庁の表'!$B$6:$B$18)/('3_国税庁の表'!$C$6:$C$18-'3_国税庁の表'!$B$6:$B$18))+'3_国税庁の表'!$N$6:$N$18*(((400&gt;='3_国税庁の表'!$C$6:$C$18)+(400&gt;'3_国税庁の表'!$B$6:$B$18)*(400&lt;'3_国税庁の表'!$C$6:$C$18)*(400-'3_国税庁の表'!$B$6:$B$18)/('3_国税庁の表'!$C$6:$C$18-'3_国税庁の表'!$B$6:$B$18))^2-((400&gt;='3_国税庁の表'!$C$6:$C$18)+(400&gt;'3_国税庁の表'!$B$6:$B$18)*(400&lt;'3_国税庁の表'!$C$6:$C$18)*(400-'3_国税庁の表'!$B$6:$B$18)/('3_国税庁の表'!$C$6:$C$18-'3_国税庁の表'!$B$6:$B$18))))/'3_国税庁の表'!$J$20</f>
        <v>0.68548526000135734</v>
      </c>
      <c r="I6" s="15">
        <f>1-SUMPRODUCT('3_国税庁の表'!$J$6:$J$18,((500&gt;='3_国税庁の表'!$C$6:$C$18)+(500&gt;'3_国税庁の表'!$B$6:$B$18)*(500&lt;'3_国税庁の表'!$C$6:$C$18)*(500-'3_国税庁の表'!$B$6:$B$18)/('3_国税庁の表'!$C$6:$C$18-'3_国税庁の表'!$B$6:$B$18))+'3_国税庁の表'!$N$6:$N$18*(((500&gt;='3_国税庁の表'!$C$6:$C$18)+(500&gt;'3_国税庁の表'!$B$6:$B$18)*(500&lt;'3_国税庁の表'!$C$6:$C$18)*(500-'3_国税庁の表'!$B$6:$B$18)/('3_国税庁の表'!$C$6:$C$18-'3_国税庁の表'!$B$6:$B$18))^2-((500&gt;='3_国税庁の表'!$C$6:$C$18)+(500&gt;'3_国税庁の表'!$B$6:$B$18)*(500&lt;'3_国税庁の表'!$C$6:$C$18)*(500-'3_国税庁の表'!$B$6:$B$18)/('3_国税庁の表'!$C$6:$C$18-'3_国税庁の表'!$B$6:$B$18))))/'3_国税庁の表'!$J$20</f>
        <v>0.51959496938723304</v>
      </c>
      <c r="J6" s="15">
        <f>SUM('3_国税庁の表'!J16:J19)/'3_国税庁の表'!$J$20</f>
        <v>0.1022074113175323</v>
      </c>
      <c r="K6" s="12">
        <f>SUM('3_国税庁の表'!K16:K19)/'3_国税庁の表'!K20</f>
        <v>0.2606304767508873</v>
      </c>
      <c r="M6" s="9">
        <f>COUNTIF('3_国税庁の表'!$M$6:$M$19,"&lt;"&amp;0.5)+1</f>
        <v>6</v>
      </c>
      <c r="N6" s="14">
        <f>(0.5-IF(M6=1,0,INDEX('3_国税庁の表'!$M$6:$M$19,M6-1)))*'3_国税庁の表'!$J$20/INDEX('3_国税庁の表'!$J$6:$J$19,M6)</f>
        <v>0.13449578396690828</v>
      </c>
      <c r="O6" s="14">
        <f>INDEX('3_国税庁の表'!$N$6:$N$19,M6)</f>
        <v>-9.6000000000001362E-2</v>
      </c>
      <c r="P6" s="14">
        <f t="shared" si="1"/>
        <v>0.12406330988450698</v>
      </c>
      <c r="Q6" s="9">
        <f t="shared" si="2"/>
        <v>6</v>
      </c>
      <c r="R6" s="14">
        <f t="shared" si="2"/>
        <v>0.13449578396690828</v>
      </c>
    </row>
    <row r="7" spans="1:18" x14ac:dyDescent="0.2">
      <c r="A7" s="26" t="s">
        <v>61</v>
      </c>
      <c r="B7" s="20">
        <f>'3_国税庁の表'!$O$20</f>
        <v>22293651</v>
      </c>
      <c r="C7" s="21">
        <f>'3_国税庁の表'!$P$20/'3_国税庁の表'!$O$20*100</f>
        <v>341.83991666506307</v>
      </c>
      <c r="D7" s="28">
        <f>INDEX('3_国税庁の表'!$B$6:$B$19,M7)+P7*(INDEX('3_国税庁の表'!$C$6:$C$19,M7)-INDEX('3_国税庁の表'!$B$6:$B$19,M7))</f>
        <v>303.43194587296392</v>
      </c>
      <c r="E7" s="21">
        <f>INDEX('3_国税庁の表'!$B$6:$B$19,Q7)+R7*(INDEX('3_国税庁の表'!$C$6:$C$19,Q7)-INDEX('3_国税庁の表'!$B$6:$B$19,Q7))</f>
        <v>303.71033559421386</v>
      </c>
      <c r="F7" s="21">
        <f t="shared" si="0"/>
        <v>38.40797079209915</v>
      </c>
      <c r="G7" s="12">
        <f>SUMPRODUCT('3_国税庁の表'!$O$6:$O$18,(($C7&gt;='3_国税庁の表'!$C$6:$C$18)+($C7&gt;'3_国税庁の表'!$B$6:$B$18)*($C7&lt;'3_国税庁の表'!$C$6:$C$18)*($C7-'3_国税庁の表'!$B$6:$B$18)/('3_国税庁の表'!$C$6:$C$18-'3_国税庁の表'!$B$6:$B$18))+'3_国税庁の表'!$S$6:$S$18*((($C7&gt;='3_国税庁の表'!$C$6:$C$18)+($C7&gt;'3_国税庁の表'!$B$6:$B$18)*($C7&lt;'3_国税庁の表'!$C$6:$C$18)*($C7-'3_国税庁の表'!$B$6:$B$18)/('3_国税庁の表'!$C$6:$C$18-'3_国税庁の表'!$B$6:$B$18))^2-(($C7&gt;='3_国税庁の表'!$C$6:$C$18)+($C7&gt;'3_国税庁の表'!$B$6:$B$18)*($C7&lt;'3_国税庁の表'!$C$6:$C$18)*($C7-'3_国税庁の表'!$B$6:$B$18)/('3_国税庁の表'!$C$6:$C$18-'3_国税庁の表'!$B$6:$B$18))))/'3_国税庁の表'!$O$20</f>
        <v>0.57273560586884431</v>
      </c>
      <c r="H7" s="15">
        <f>1-SUMPRODUCT('3_国税庁の表'!$O$6:$O$18,((400&gt;='3_国税庁の表'!$C$6:$C$18)+(400&gt;'3_国税庁の表'!$B$6:$B$18)*(400&lt;'3_国税庁の表'!$C$6:$C$18)*(400-'3_国税庁の表'!$B$6:$B$18)/('3_国税庁の表'!$C$6:$C$18-'3_国税庁の表'!$B$6:$B$18))+'3_国税庁の表'!$S$6:$S$18*(((400&gt;='3_国税庁の表'!$C$6:$C$18)+(400&gt;'3_国税庁の表'!$B$6:$B$18)*(400&lt;'3_国税庁の表'!$C$6:$C$18)*(400-'3_国税庁の表'!$B$6:$B$18)/('3_国税庁の表'!$C$6:$C$18-'3_国税庁の表'!$B$6:$B$18))^2-((400&gt;='3_国税庁の表'!$C$6:$C$18)+(400&gt;'3_国税庁の表'!$B$6:$B$18)*(400&lt;'3_国税庁の表'!$C$6:$C$18)*(400-'3_国税庁の表'!$B$6:$B$18)/('3_国税庁の表'!$C$6:$C$18-'3_国税庁の表'!$B$6:$B$18))))/'3_国税庁の表'!$O$20</f>
        <v>0.32566464775105697</v>
      </c>
      <c r="I7" s="15">
        <f>1-SUMPRODUCT('3_国税庁の表'!$O$6:$O$18,((500&gt;='3_国税庁の表'!$C$6:$C$18)+(500&gt;'3_国税庁の表'!$B$6:$B$18)*(500&lt;'3_国税庁の表'!$C$6:$C$18)*(500-'3_国税庁の表'!$B$6:$B$18)/('3_国税庁の表'!$C$6:$C$18-'3_国税庁の表'!$B$6:$B$18))+'3_国税庁の表'!$S$6:$S$18*(((500&gt;='3_国税庁の表'!$C$6:$C$18)+(500&gt;'3_国税庁の表'!$B$6:$B$18)*(500&lt;'3_国税庁の表'!$C$6:$C$18)*(500-'3_国税庁の表'!$B$6:$B$18)/('3_国税庁の表'!$C$6:$C$18-'3_国税庁の表'!$B$6:$B$18))^2-((500&gt;='3_国税庁の表'!$C$6:$C$18)+(500&gt;'3_国税庁の表'!$B$6:$B$18)*(500&lt;'3_国税庁の表'!$C$6:$C$18)*(500-'3_国税庁の表'!$B$6:$B$18)/('3_国税庁の表'!$C$6:$C$18-'3_国税庁の表'!$B$6:$B$18))))/'3_国税庁の表'!$O$20</f>
        <v>0.18880756678213007</v>
      </c>
      <c r="J7" s="15">
        <f>SUM('3_国税庁の表'!O16:O19)/'3_国税庁の表'!$O$20</f>
        <v>1.7808702576352343E-2</v>
      </c>
      <c r="K7" s="12">
        <f>SUM('3_国税庁の表'!P16:P19)/'3_国税庁の表'!P20</f>
        <v>7.4758021398057997E-2</v>
      </c>
      <c r="M7" s="9">
        <f>COUNTIF('3_国税庁の表'!$R$6:$R$19,"&lt;"&amp;0.5)+1</f>
        <v>4</v>
      </c>
      <c r="N7" s="14">
        <f>(0.5-IF(M7=1,0,INDEX('3_国税庁の表'!$R$6:$R$19,M7-1)))*'3_国税庁の表'!$O$20/INDEX('3_国税庁の表'!$O$6:$O$19,M7)</f>
        <v>3.7103355942138663E-2</v>
      </c>
      <c r="O7" s="14">
        <f>INDEX('3_国税庁の表'!$S$6:$S$19,M7)</f>
        <v>-8.3999999999998631E-2</v>
      </c>
      <c r="P7" s="14">
        <f t="shared" si="1"/>
        <v>3.4319458729639075E-2</v>
      </c>
      <c r="Q7" s="9">
        <f t="shared" si="2"/>
        <v>4</v>
      </c>
      <c r="R7" s="14">
        <f t="shared" si="2"/>
        <v>3.7103355942138663E-2</v>
      </c>
    </row>
    <row r="8" spans="1:18" x14ac:dyDescent="0.2">
      <c r="A8" s="26" t="s">
        <v>62</v>
      </c>
      <c r="B8" s="20">
        <f>'3_国税庁の表'!$T$20</f>
        <v>34224958</v>
      </c>
      <c r="C8" s="21">
        <f>'3_国税庁の表'!$U$20/'3_国税庁の表'!$T$20*100</f>
        <v>559.29162864129739</v>
      </c>
      <c r="D8" s="28">
        <f>INDEX('3_国税庁の表'!$B$6:$B$19,M8)+P8*(INDEX('3_国税庁の表'!$C$6:$C$19,M8)-INDEX('3_国税庁の表'!$B$6:$B$19,M8))</f>
        <v>495.21162638038209</v>
      </c>
      <c r="E8" s="21">
        <f>INDEX('3_国税庁の表'!$B$6:$B$19,Q8)+R8*(INDEX('3_国税庁の表'!$C$6:$C$19,Q8)-INDEX('3_国税庁の表'!$B$6:$B$19,Q8))</f>
        <v>495.34839903239418</v>
      </c>
      <c r="F8" s="21">
        <f t="shared" si="0"/>
        <v>64.080002260915307</v>
      </c>
      <c r="G8" s="12">
        <f>SUMPRODUCT('3_国税庁の表'!$T$6:$T$18,(($C8&gt;='3_国税庁の表'!$C$6:$C$18)+($C8&gt;'3_国税庁の表'!$B$6:$B$18)*($C8&lt;'3_国税庁の表'!$C$6:$C$18)*($C8-'3_国税庁の表'!$B$6:$B$18)/('3_国税庁の表'!$C$6:$C$18-'3_国税庁の表'!$B$6:$B$18))+'3_国税庁の表'!$X$6:$X$18*((($C8&gt;='3_国税庁の表'!$C$6:$C$18)+($C8&gt;'3_国税庁の表'!$B$6:$B$18)*($C8&lt;'3_国税庁の表'!$C$6:$C$18)*($C8-'3_国税庁の表'!$B$6:$B$18)/('3_国税庁の表'!$C$6:$C$18-'3_国税庁の表'!$B$6:$B$18))^2-(($C8&gt;='3_国税庁の表'!$C$6:$C$18)+($C8&gt;'3_国税庁の表'!$B$6:$B$18)*($C8&lt;'3_国税庁の表'!$C$6:$C$18)*($C8-'3_国税庁の表'!$B$6:$B$18)/('3_国税庁の表'!$C$6:$C$18-'3_国税庁の表'!$B$6:$B$18))))/'3_国税庁の表'!$T$20</f>
        <v>0.61306677016581301</v>
      </c>
      <c r="H8" s="15">
        <f>1-SUMPRODUCT('3_国税庁の表'!$T$6:$T$18,((400&gt;='3_国税庁の表'!$C$6:$C$18)+(400&gt;'3_国税庁の表'!$B$6:$B$18)*(400&lt;'3_国税庁の表'!$C$6:$C$18)*(400-'3_国税庁の表'!$B$6:$B$18)/('3_国税庁の表'!$C$6:$C$18-'3_国税庁の表'!$B$6:$B$18))+'3_国税庁の表'!$X$6:$X$18*(((400&gt;='3_国税庁の表'!$C$6:$C$18)+(400&gt;'3_国税庁の表'!$B$6:$B$18)*(400&lt;'3_国税庁の表'!$C$6:$C$18)*(400-'3_国税庁の表'!$B$6:$B$18)/('3_国税庁の表'!$C$6:$C$18-'3_国税庁の表'!$B$6:$B$18))^2-((400&gt;='3_国税庁の表'!$C$6:$C$18)+(400&gt;'3_国税庁の表'!$B$6:$B$18)*(400&lt;'3_国税庁の表'!$C$6:$C$18)*(400-'3_国税庁の表'!$B$6:$B$18)/('3_国税庁の表'!$C$6:$C$18-'3_国税庁の表'!$B$6:$B$18))))/'3_国税庁の表'!$T$20</f>
        <v>0.69340169825774511</v>
      </c>
      <c r="I8" s="15">
        <f>1-SUMPRODUCT('3_国税庁の表'!$T$6:$T$18,((500&gt;='3_国税庁の表'!$C$6:$C$18)+(500&gt;'3_国税庁の表'!$B$6:$B$18)*(500&lt;'3_国税庁の表'!$C$6:$C$18)*(500-'3_国税庁の表'!$B$6:$B$18)/('3_国税庁の表'!$C$6:$C$18-'3_国税庁の表'!$B$6:$B$18))+'3_国税庁の表'!$X$6:$X$18*(((500&gt;='3_国税庁の表'!$C$6:$C$18)+(500&gt;'3_国税庁の表'!$B$6:$B$18)*(500&lt;'3_国税庁の表'!$C$6:$C$18)*(500-'3_国税庁の表'!$B$6:$B$18)/('3_国税庁の表'!$C$6:$C$18-'3_国税庁の表'!$B$6:$B$18))^2-((500&gt;='3_国税庁の表'!$C$6:$C$18)+(500&gt;'3_国税庁の表'!$B$6:$B$18)*(500&lt;'3_国税庁の表'!$C$6:$C$18)*(500-'3_国税庁の表'!$B$6:$B$18)/('3_国税庁の表'!$C$6:$C$18-'3_国税庁の表'!$B$6:$B$18))))/'3_国税庁の表'!$T$20</f>
        <v>0.49056483867708467</v>
      </c>
      <c r="J8" s="15">
        <f>SUM('3_国税庁の表'!T16:T19)/'3_国税庁の表'!$T$20</f>
        <v>7.040166418904005E-2</v>
      </c>
      <c r="K8" s="12">
        <f>SUM('3_国税庁の表'!U16:U19)/'3_国税庁の表'!U20</f>
        <v>0.16965215661644001</v>
      </c>
      <c r="M8" s="9">
        <f>COUNTIF('3_国税庁の表'!$W$6:$W$19,"&lt;"&amp;0.5)+1</f>
        <v>5</v>
      </c>
      <c r="N8" s="14">
        <f>(0.5-IF(M8=1,0,INDEX('3_国税庁の表'!$W$6:$W$19,M8-1)))*'3_国税庁の表'!$T$20/INDEX('3_国税庁の表'!$T$6:$T$19,M8)</f>
        <v>0.95348399032394171</v>
      </c>
      <c r="O8" s="14">
        <f>INDEX('3_国税庁の表'!$X$6:$X$19,M8)</f>
        <v>-0.03</v>
      </c>
      <c r="P8" s="14">
        <f t="shared" si="1"/>
        <v>0.95211626380382053</v>
      </c>
      <c r="Q8" s="9">
        <f t="shared" si="2"/>
        <v>5</v>
      </c>
      <c r="R8" s="14">
        <f t="shared" si="2"/>
        <v>0.95348399032394171</v>
      </c>
    </row>
    <row r="9" spans="1:18" x14ac:dyDescent="0.2">
      <c r="A9" s="26" t="s">
        <v>63</v>
      </c>
      <c r="B9" s="20">
        <f>'3_国税庁の表'!$Y$20</f>
        <v>13047003</v>
      </c>
      <c r="C9" s="21">
        <f>'3_国税庁の表'!$Z$20/'3_国税庁の表'!$Y$20*100</f>
        <v>209.4611383165927</v>
      </c>
      <c r="D9" s="28">
        <f>INDEX('3_国税庁の表'!$B$6:$B$19,M9)+P9*(INDEX('3_国税庁の表'!$C$6:$C$19,M9)-INDEX('3_国税庁の表'!$B$6:$B$19,M9))</f>
        <v>163.93363680602249</v>
      </c>
      <c r="E9" s="21">
        <f>INDEX('3_国税庁の表'!$B$6:$B$19,Q9)+R9*(INDEX('3_国税庁の表'!$C$6:$C$19,Q9)-INDEX('3_国税庁の表'!$B$6:$B$19,Q9))</f>
        <v>179.42897410922723</v>
      </c>
      <c r="F9" s="21">
        <f t="shared" si="0"/>
        <v>45.527501510570204</v>
      </c>
      <c r="G9" s="12">
        <f>SUMPRODUCT('3_国税庁の表'!$Y$6:$Y$18,(($C9&gt;='3_国税庁の表'!$C$6:$C$18)+($C9&gt;'3_国税庁の表'!$B$6:$B$18)*($C9&lt;'3_国税庁の表'!$C$6:$C$18)*($C9-'3_国税庁の表'!$B$6:$B$18)/('3_国税庁の表'!$C$6:$C$18-'3_国税庁の表'!$B$6:$B$18))+'3_国税庁の表'!$AC$6:$AC$18*((($C9&gt;='3_国税庁の表'!$C$6:$C$18)+($C9&gt;'3_国税庁の表'!$B$6:$B$18)*($C9&lt;'3_国税庁の表'!$C$6:$C$18)*($C9-'3_国税庁の表'!$B$6:$B$18)/('3_国税庁の表'!$C$6:$C$18-'3_国税庁の表'!$B$6:$B$18))^2-(($C9&gt;='3_国税庁の表'!$C$6:$C$18)+($C9&gt;'3_国税庁の表'!$B$6:$B$18)*($C9&lt;'3_国税庁の表'!$C$6:$C$18)*($C9-'3_国税庁の表'!$B$6:$B$18)/('3_国税庁の表'!$C$6:$C$18-'3_国税庁の表'!$B$6:$B$18))))/'3_国税庁の表'!$Y$20</f>
        <v>0.59703541678953009</v>
      </c>
      <c r="H9" s="15">
        <f>1-SUMPRODUCT('3_国税庁の表'!$Y$6:$Y$18,((400&gt;='3_国税庁の表'!$C$6:$C$18)+(400&gt;'3_国税庁の表'!$B$6:$B$18)*(400&lt;'3_国税庁の表'!$C$6:$C$18)*(400-'3_国税庁の表'!$B$6:$B$18)/('3_国税庁の表'!$C$6:$C$18-'3_国税庁の表'!$B$6:$B$18))+'3_国税庁の表'!$AC$6:$AC$18*(((400&gt;='3_国税庁の表'!$C$6:$C$18)+(400&gt;'3_国税庁の表'!$B$6:$B$18)*(400&lt;'3_国税庁の表'!$C$6:$C$18)*(400-'3_国税庁の表'!$B$6:$B$18)/('3_国税庁の表'!$C$6:$C$18-'3_国税庁の表'!$B$6:$B$18))^2-((400&gt;='3_国税庁の表'!$C$6:$C$18)+(400&gt;'3_国税庁の表'!$B$6:$B$18)*(400&lt;'3_国税庁の表'!$C$6:$C$18)*(400-'3_国税庁の表'!$B$6:$B$18)/('3_国税庁の表'!$C$6:$C$18-'3_国税庁の表'!$B$6:$B$18))))/'3_国税庁の表'!$Y$20</f>
        <v>7.9462080295375159E-2</v>
      </c>
      <c r="I9" s="15">
        <f>1-SUMPRODUCT('3_国税庁の表'!$Y$6:$Y$18,((500&gt;='3_国税庁の表'!$C$6:$C$18)+(500&gt;'3_国税庁の表'!$B$6:$B$18)*(500&lt;'3_国税庁の表'!$C$6:$C$18)*(500-'3_国税庁の表'!$B$6:$B$18)/('3_国税庁の表'!$C$6:$C$18-'3_国税庁の表'!$B$6:$B$18))+'3_国税庁の表'!$AC$6:$AC$18*(((500&gt;='3_国税庁の表'!$C$6:$C$18)+(500&gt;'3_国税庁の表'!$B$6:$B$18)*(500&lt;'3_国税庁の表'!$C$6:$C$18)*(500-'3_国税庁の表'!$B$6:$B$18)/('3_国税庁の表'!$C$6:$C$18-'3_国税庁の表'!$B$6:$B$18))^2-((500&gt;='3_国税庁の表'!$C$6:$C$18)+(500&gt;'3_国税庁の表'!$B$6:$B$18)*(500&lt;'3_国税庁の表'!$C$6:$C$18)*(500-'3_国税庁の表'!$B$6:$B$18)/('3_国税庁の表'!$C$6:$C$18-'3_国税庁の表'!$B$6:$B$18))))/'3_国税庁の表'!$Y$20</f>
        <v>3.9848385104226614E-2</v>
      </c>
      <c r="J9" s="15">
        <f>SUM('3_国税庁の表'!Y16:Y19)/'3_国税庁の表'!$Y$20</f>
        <v>5.2871912423105901E-3</v>
      </c>
      <c r="K9" s="12">
        <f>SUM('3_国税庁の表'!Z16:Z19)/'3_国税庁の表'!Z20</f>
        <v>3.7641133851922033E-2</v>
      </c>
      <c r="M9" s="9">
        <f>COUNTIF('3_国税庁の表'!$AB$6:$AB$19,"&lt;"&amp;0.5)+1</f>
        <v>2</v>
      </c>
      <c r="N9" s="14">
        <f>(0.5-IF(M9=1,0,INDEX('3_国税庁の表'!$AB$6:$AB$19,M9-1)))*'3_国税庁の表'!$Y$20/INDEX('3_国税庁の表'!$Y$6:$Y$19,M9)</f>
        <v>0.79428974109227246</v>
      </c>
      <c r="O9" s="14">
        <f>INDEX('3_国税庁の表'!$AC$6:$AC$19,M9)</f>
        <v>-0.67199999999999926</v>
      </c>
      <c r="P9" s="14">
        <f t="shared" si="1"/>
        <v>0.63933636806022476</v>
      </c>
      <c r="Q9" s="9">
        <f t="shared" si="2"/>
        <v>2</v>
      </c>
      <c r="R9" s="14">
        <f t="shared" si="2"/>
        <v>0.79428974109227246</v>
      </c>
    </row>
    <row r="10" spans="1:18" x14ac:dyDescent="0.2">
      <c r="A10" s="26" t="s">
        <v>64</v>
      </c>
      <c r="B10" s="20">
        <f>'3_国税庁の表'!$AD$20</f>
        <v>3971439</v>
      </c>
      <c r="C10" s="21">
        <f>'3_国税庁の表'!$AE$20/'3_国税庁の表'!$AD$20*100</f>
        <v>786.26671591833588</v>
      </c>
      <c r="D10" s="28">
        <f>INDEX('3_国税庁の表'!$B$6:$B$19,M10)+P10*(INDEX('3_国税庁の表'!$C$6:$C$19,M10)-INDEX('3_国税庁の表'!$B$6:$B$19,M10))</f>
        <v>540.48257645159833</v>
      </c>
      <c r="E10" s="21">
        <f>INDEX('3_国税庁の表'!$B$6:$B$19,Q10)+R10*(INDEX('3_国税庁の表'!$C$6:$C$19,Q10)-INDEX('3_国税庁の表'!$B$6:$B$19,Q10))</f>
        <v>525.30323896289622</v>
      </c>
      <c r="F10" s="21">
        <f t="shared" si="0"/>
        <v>245.78413946673754</v>
      </c>
      <c r="G10" s="12">
        <f>SUMPRODUCT('3_国税庁の表'!$AD$6:$AD$18,(($C10&gt;='3_国税庁の表'!$C$6:$C$18)+($C10&gt;'3_国税庁の表'!$B$6:$B$18)*($C10&lt;'3_国税庁の表'!$C$6:$C$18)*($C10-'3_国税庁の表'!$B$6:$B$18)/('3_国税庁の表'!$C$6:$C$18-'3_国税庁の表'!$B$6:$B$18))+'3_国税庁の表'!$AH$6:$AH$18*((($C10&gt;='3_国税庁の表'!$C$6:$C$18)+($C10&gt;'3_国税庁の表'!$B$6:$B$18)*($C10&lt;'3_国税庁の表'!$C$6:$C$18)*($C10-'3_国税庁の表'!$B$6:$B$18)/('3_国税庁の表'!$C$6:$C$18-'3_国税庁の表'!$B$6:$B$18))^2-(($C10&gt;='3_国税庁の表'!$C$6:$C$18)+($C10&gt;'3_国税庁の表'!$B$6:$B$18)*($C10&lt;'3_国税庁の表'!$C$6:$C$18)*($C10-'3_国税庁の表'!$B$6:$B$18)/('3_国税庁の表'!$C$6:$C$18-'3_国税庁の表'!$B$6:$B$18))))/'3_国税庁の表'!$AD$20</f>
        <v>0.6772631784172205</v>
      </c>
      <c r="H10" s="15">
        <f>1-SUMPRODUCT('3_国税庁の表'!$AD$6:$AD$18,((400&gt;='3_国税庁の表'!$C$6:$C$18)+(400&gt;'3_国税庁の表'!$B$6:$B$18)*(400&lt;'3_国税庁の表'!$C$6:$C$18)*(400-'3_国税庁の表'!$B$6:$B$18)/('3_国税庁の表'!$C$6:$C$18-'3_国税庁の表'!$B$6:$B$18))+'3_国税庁の表'!$AH$6:$AH$18*(((400&gt;='3_国税庁の表'!$C$6:$C$18)+(400&gt;'3_国税庁の表'!$B$6:$B$18)*(400&lt;'3_国税庁の表'!$C$6:$C$18)*(400-'3_国税庁の表'!$B$6:$B$18)/('3_国税庁の表'!$C$6:$C$18-'3_国税庁の表'!$B$6:$B$18))^2-((400&gt;='3_国税庁の表'!$C$6:$C$18)+(400&gt;'3_国税庁の表'!$B$6:$B$18)*(400&lt;'3_国税庁の表'!$C$6:$C$18)*(400-'3_国税庁の表'!$B$6:$B$18)/('3_国税庁の表'!$C$6:$C$18-'3_国税庁の表'!$B$6:$B$18))))/'3_国税庁の表'!$AD$20</f>
        <v>0.63001748232819388</v>
      </c>
      <c r="I10" s="15">
        <f>1-SUMPRODUCT('3_国税庁の表'!$AD$6:$AD$18,((500&gt;='3_国税庁の表'!$C$6:$C$18)+(500&gt;'3_国税庁の表'!$B$6:$B$18)*(500&lt;'3_国税庁の表'!$C$6:$C$18)*(500-'3_国税庁の表'!$B$6:$B$18)/('3_国税庁の表'!$C$6:$C$18-'3_国税庁の表'!$B$6:$B$18))+'3_国税庁の表'!$AH$6:$AH$18*(((500&gt;='3_国税庁の表'!$C$6:$C$18)+(500&gt;'3_国税庁の表'!$B$6:$B$18)*(500&lt;'3_国税庁の表'!$C$6:$C$18)*(500-'3_国税庁の表'!$B$6:$B$18)/('3_国税庁の表'!$C$6:$C$18-'3_国税庁の表'!$B$6:$B$18))^2-((500&gt;='3_国税庁の表'!$C$6:$C$18)+(500&gt;'3_国税庁の表'!$B$6:$B$18)*(500&lt;'3_国税庁の表'!$C$6:$C$18)*(500-'3_国税庁の表'!$B$6:$B$18)/('3_国税庁の表'!$C$6:$C$18-'3_国税庁の表'!$B$6:$B$18))))/'3_国税庁の表'!$AD$20</f>
        <v>0.52405740085646535</v>
      </c>
      <c r="J10" s="15">
        <f>SUM('3_国税庁の表'!AD16:AD19)/'3_国税庁の表'!$AD$20</f>
        <v>0.22948432545482883</v>
      </c>
      <c r="K10" s="12">
        <f>SUM('3_国税庁の表'!AE16:AE19)/'3_国税庁の表'!AE20</f>
        <v>0.56812965101665103</v>
      </c>
      <c r="M10" s="9">
        <f>COUNTIF('3_国税庁の表'!$AG$6:$AG$19,"&lt;"&amp;0.5)+1</f>
        <v>6</v>
      </c>
      <c r="N10" s="14">
        <f>(0.5-IF(M10=1,0,INDEX('3_国税庁の表'!$AG$6:$AG$19,M10-1)))*'3_国税庁の表'!$AD$20/INDEX('3_国税庁の表'!$AD$6:$AD$19,M10)</f>
        <v>0.25303238962896235</v>
      </c>
      <c r="O10" s="14">
        <f>INDEX('3_国税庁の表'!$AH$6:$AH$19,M10)</f>
        <v>0.63</v>
      </c>
      <c r="P10" s="14">
        <f t="shared" si="1"/>
        <v>0.40482576451598307</v>
      </c>
      <c r="Q10" s="9">
        <f t="shared" si="2"/>
        <v>6</v>
      </c>
      <c r="R10" s="14">
        <f t="shared" si="2"/>
        <v>0.25303238962896235</v>
      </c>
    </row>
    <row r="12" spans="1:18" x14ac:dyDescent="0.2">
      <c r="A12" s="5" t="s">
        <v>65</v>
      </c>
    </row>
    <row r="13" spans="1:18" x14ac:dyDescent="0.2">
      <c r="A13" s="30" t="s">
        <v>66</v>
      </c>
      <c r="B13" s="31"/>
      <c r="C13" s="28">
        <f>('3_国税庁の表'!F20-'3_国税庁の表'!AE20)/('3_国税庁の表'!E20-'3_国税庁の表'!AD20)*100</f>
        <v>461.67594033087659</v>
      </c>
      <c r="D13" s="23" t="s">
        <v>67</v>
      </c>
      <c r="E13" s="21">
        <f>C13-C5</f>
        <v>-24.967608647080112</v>
      </c>
    </row>
    <row r="14" spans="1:18" x14ac:dyDescent="0.2">
      <c r="A14" s="30" t="s">
        <v>68</v>
      </c>
      <c r="B14" s="31"/>
      <c r="C14" s="28">
        <f>('3_国税庁の表'!U20+'3_国税庁の表'!Z20)/('3_国税庁の表'!T20+'3_国税庁の表'!Y20)*100</f>
        <v>462.73884428022774</v>
      </c>
      <c r="D14" s="23" t="s">
        <v>67</v>
      </c>
      <c r="E14" s="21">
        <f>C14-C5</f>
        <v>-23.90470469772896</v>
      </c>
    </row>
    <row r="15" spans="1:18" x14ac:dyDescent="0.2">
      <c r="A15" s="30" t="s">
        <v>69</v>
      </c>
      <c r="B15" s="31"/>
      <c r="C15" s="20">
        <f>'3_国税庁の表'!E20-'3_国税庁の表'!T20-'3_国税庁の表'!Y20-'3_国税庁の表'!AD20</f>
        <v>387194</v>
      </c>
    </row>
    <row r="16" spans="1:18" x14ac:dyDescent="0.2">
      <c r="A16" t="s">
        <v>70</v>
      </c>
    </row>
  </sheetData>
  <mergeCells count="3">
    <mergeCell ref="A13:B13"/>
    <mergeCell ref="A14:B14"/>
    <mergeCell ref="A15:B15"/>
  </mergeCells>
  <phoneticPr fontId="3"/>
  <conditionalFormatting sqref="F5:F10">
    <cfRule type="expression" dxfId="1" priority="1">
      <formula>AND($F5&lt;&gt;"",$F5&gt;=50)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3"/>
  <sheetViews>
    <sheetView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3" x14ac:dyDescent="0.2"/>
  <cols>
    <col min="1" max="1" width="24" customWidth="1"/>
    <col min="2" max="3" width="10" customWidth="1"/>
    <col min="4" max="4" width="6" customWidth="1"/>
    <col min="5" max="6" width="12" customWidth="1"/>
    <col min="7" max="8" width="9" customWidth="1"/>
    <col min="9" max="9" width="7" customWidth="1"/>
    <col min="10" max="11" width="12" customWidth="1"/>
    <col min="12" max="13" width="9" customWidth="1"/>
    <col min="14" max="14" width="7" customWidth="1"/>
    <col min="15" max="16" width="12" customWidth="1"/>
    <col min="17" max="18" width="9" customWidth="1"/>
    <col min="19" max="19" width="7" customWidth="1"/>
    <col min="20" max="21" width="12" customWidth="1"/>
    <col min="22" max="23" width="9" customWidth="1"/>
    <col min="24" max="24" width="7" customWidth="1"/>
    <col min="25" max="26" width="12" customWidth="1"/>
    <col min="27" max="28" width="9" customWidth="1"/>
    <col min="29" max="29" width="7" customWidth="1"/>
    <col min="30" max="31" width="12" customWidth="1"/>
    <col min="32" max="33" width="9" customWidth="1"/>
    <col min="34" max="34" width="7" customWidth="1"/>
  </cols>
  <sheetData>
    <row r="1" spans="1:34" ht="14" x14ac:dyDescent="0.2">
      <c r="A1" s="1" t="s">
        <v>71</v>
      </c>
    </row>
    <row r="2" spans="1:34" x14ac:dyDescent="0.2">
      <c r="A2" t="s">
        <v>72</v>
      </c>
    </row>
    <row r="3" spans="1:34" x14ac:dyDescent="0.2">
      <c r="A3" t="s">
        <v>73</v>
      </c>
    </row>
    <row r="4" spans="1:34" x14ac:dyDescent="0.2">
      <c r="E4" s="36" t="s">
        <v>6</v>
      </c>
      <c r="F4" s="37"/>
      <c r="G4" s="37"/>
      <c r="H4" s="37"/>
      <c r="I4" s="37"/>
      <c r="J4" s="36" t="s">
        <v>60</v>
      </c>
      <c r="K4" s="37"/>
      <c r="L4" s="37"/>
      <c r="M4" s="37"/>
      <c r="N4" s="37"/>
      <c r="O4" s="36" t="s">
        <v>61</v>
      </c>
      <c r="P4" s="37"/>
      <c r="Q4" s="37"/>
      <c r="R4" s="37"/>
      <c r="S4" s="37"/>
      <c r="T4" s="36" t="s">
        <v>62</v>
      </c>
      <c r="U4" s="37"/>
      <c r="V4" s="37"/>
      <c r="W4" s="37"/>
      <c r="X4" s="37"/>
      <c r="Y4" s="36" t="s">
        <v>63</v>
      </c>
      <c r="Z4" s="37"/>
      <c r="AA4" s="37"/>
      <c r="AB4" s="37"/>
      <c r="AC4" s="37"/>
      <c r="AD4" s="36" t="s">
        <v>64</v>
      </c>
      <c r="AE4" s="37"/>
      <c r="AF4" s="37"/>
      <c r="AG4" s="37"/>
      <c r="AH4" s="37"/>
    </row>
    <row r="5" spans="1:34" ht="26" x14ac:dyDescent="0.2">
      <c r="A5" s="7" t="s">
        <v>24</v>
      </c>
      <c r="B5" s="7" t="s">
        <v>74</v>
      </c>
      <c r="C5" s="7" t="s">
        <v>75</v>
      </c>
      <c r="D5" s="7" t="s">
        <v>76</v>
      </c>
      <c r="E5" s="7" t="s">
        <v>27</v>
      </c>
      <c r="F5" s="7" t="s">
        <v>77</v>
      </c>
      <c r="G5" s="7" t="s">
        <v>78</v>
      </c>
      <c r="H5" s="7" t="s">
        <v>79</v>
      </c>
      <c r="I5" s="7" t="s">
        <v>31</v>
      </c>
      <c r="J5" s="7" t="s">
        <v>27</v>
      </c>
      <c r="K5" s="7" t="s">
        <v>77</v>
      </c>
      <c r="L5" s="7" t="s">
        <v>78</v>
      </c>
      <c r="M5" s="7" t="s">
        <v>79</v>
      </c>
      <c r="N5" s="7" t="s">
        <v>31</v>
      </c>
      <c r="O5" s="7" t="s">
        <v>27</v>
      </c>
      <c r="P5" s="7" t="s">
        <v>77</v>
      </c>
      <c r="Q5" s="7" t="s">
        <v>78</v>
      </c>
      <c r="R5" s="7" t="s">
        <v>79</v>
      </c>
      <c r="S5" s="7" t="s">
        <v>31</v>
      </c>
      <c r="T5" s="7" t="s">
        <v>27</v>
      </c>
      <c r="U5" s="7" t="s">
        <v>77</v>
      </c>
      <c r="V5" s="7" t="s">
        <v>78</v>
      </c>
      <c r="W5" s="7" t="s">
        <v>79</v>
      </c>
      <c r="X5" s="7" t="s">
        <v>31</v>
      </c>
      <c r="Y5" s="7" t="s">
        <v>27</v>
      </c>
      <c r="Z5" s="7" t="s">
        <v>77</v>
      </c>
      <c r="AA5" s="7" t="s">
        <v>78</v>
      </c>
      <c r="AB5" s="7" t="s">
        <v>79</v>
      </c>
      <c r="AC5" s="7" t="s">
        <v>31</v>
      </c>
      <c r="AD5" s="7" t="s">
        <v>27</v>
      </c>
      <c r="AE5" s="7" t="s">
        <v>77</v>
      </c>
      <c r="AF5" s="7" t="s">
        <v>78</v>
      </c>
      <c r="AG5" s="7" t="s">
        <v>79</v>
      </c>
      <c r="AH5" s="7" t="s">
        <v>31</v>
      </c>
    </row>
    <row r="6" spans="1:34" x14ac:dyDescent="0.2">
      <c r="A6" s="19" t="s">
        <v>80</v>
      </c>
      <c r="B6" s="20">
        <v>0</v>
      </c>
      <c r="C6" s="20">
        <v>100</v>
      </c>
      <c r="D6" s="29">
        <f t="shared" ref="D6:D19" si="0">IF(C6="","",C6-B6)</f>
        <v>100</v>
      </c>
      <c r="E6" s="20">
        <v>3703056</v>
      </c>
      <c r="F6" s="20">
        <v>2969144</v>
      </c>
      <c r="G6" s="20">
        <v>802</v>
      </c>
      <c r="H6" s="22">
        <f>SUM(E$6:E6)/E$20</f>
        <v>7.1722126613534609E-2</v>
      </c>
      <c r="I6" s="14">
        <f t="shared" ref="I6:I19" si="1">IF($C6="","",MAX(-1,MIN(1,6*(G6/10-($B6+$C6)/2)/$D6)))</f>
        <v>1</v>
      </c>
      <c r="J6" s="20">
        <v>1007183</v>
      </c>
      <c r="K6" s="20">
        <v>774261</v>
      </c>
      <c r="L6" s="20">
        <v>769</v>
      </c>
      <c r="M6" s="22">
        <f>SUM(J$6:J6)/J$20</f>
        <v>3.4331559358451218E-2</v>
      </c>
      <c r="N6" s="14">
        <f t="shared" ref="N6:N19" si="2">IF($C6="","",MAX(-1,MIN(1,6*(L6/10-($B6+$C6)/2)/$D6)))</f>
        <v>1</v>
      </c>
      <c r="O6" s="20">
        <v>2695873</v>
      </c>
      <c r="P6" s="20">
        <v>2194883</v>
      </c>
      <c r="Q6" s="20">
        <v>814</v>
      </c>
      <c r="R6" s="22">
        <f>SUM(O$6:O6)/O$20</f>
        <v>0.12092559446633483</v>
      </c>
      <c r="S6" s="14">
        <f t="shared" ref="S6:S19" si="3">IF($C6="","",MAX(-1,MIN(1,6*(Q6/10-($B6+$C6)/2)/$D6)))</f>
        <v>1</v>
      </c>
      <c r="T6" s="20">
        <v>346958</v>
      </c>
      <c r="U6" s="20">
        <v>283246</v>
      </c>
      <c r="V6" s="20">
        <v>816</v>
      </c>
      <c r="W6" s="22">
        <f>SUM(T$6:T6)/T$20</f>
        <v>1.0137572703522382E-2</v>
      </c>
      <c r="X6" s="14">
        <f t="shared" ref="X6:X19" si="4">IF($C6="","",MAX(-1,MIN(1,6*(V6/10-($B6+$C6)/2)/$D6)))</f>
        <v>1</v>
      </c>
      <c r="Y6" s="20">
        <v>3062600</v>
      </c>
      <c r="Z6" s="20">
        <v>2450547</v>
      </c>
      <c r="AA6" s="20">
        <v>800</v>
      </c>
      <c r="AB6" s="22">
        <f>SUM(Y$6:Y6)/Y$20</f>
        <v>0.23473590065090044</v>
      </c>
      <c r="AC6" s="14">
        <f t="shared" ref="AC6:AC19" si="5">IF($C6="","",MAX(-1,MIN(1,6*(AA6/10-($B6+$C6)/2)/$D6)))</f>
        <v>1</v>
      </c>
      <c r="AD6" s="20">
        <v>256426</v>
      </c>
      <c r="AE6" s="20">
        <v>202841</v>
      </c>
      <c r="AF6" s="20">
        <v>791</v>
      </c>
      <c r="AG6" s="22">
        <f>SUM(AD$6:AD6)/AD$20</f>
        <v>6.4567528293900528E-2</v>
      </c>
      <c r="AH6" s="14">
        <f t="shared" ref="AH6:AH19" si="6">IF($C6="","",MAX(-1,MIN(1,6*(AF6/10-($B6+$C6)/2)/$D6)))</f>
        <v>1</v>
      </c>
    </row>
    <row r="7" spans="1:34" x14ac:dyDescent="0.2">
      <c r="A7" s="19" t="s">
        <v>81</v>
      </c>
      <c r="B7" s="20">
        <v>100</v>
      </c>
      <c r="C7" s="20">
        <v>200</v>
      </c>
      <c r="D7" s="29">
        <f t="shared" si="0"/>
        <v>100</v>
      </c>
      <c r="E7" s="20">
        <v>5824931</v>
      </c>
      <c r="F7" s="20">
        <v>8240083</v>
      </c>
      <c r="G7" s="20">
        <v>1415</v>
      </c>
      <c r="H7" s="22">
        <f>SUM(E$6:E7)/E$20</f>
        <v>0.18454149491288052</v>
      </c>
      <c r="I7" s="14">
        <f t="shared" si="1"/>
        <v>-0.51</v>
      </c>
      <c r="J7" s="20">
        <v>1694040</v>
      </c>
      <c r="K7" s="20">
        <v>2486080</v>
      </c>
      <c r="L7" s="20">
        <v>1468</v>
      </c>
      <c r="M7" s="22">
        <f>SUM(J$6:J7)/J$20</f>
        <v>9.2075817170180277E-2</v>
      </c>
      <c r="N7" s="14">
        <f t="shared" si="2"/>
        <v>-0.19199999999999931</v>
      </c>
      <c r="O7" s="20">
        <v>4130890</v>
      </c>
      <c r="P7" s="20">
        <v>5754003</v>
      </c>
      <c r="Q7" s="20">
        <v>1393</v>
      </c>
      <c r="R7" s="22">
        <f>SUM(O$6:O7)/O$20</f>
        <v>0.30622005341341352</v>
      </c>
      <c r="S7" s="14">
        <f t="shared" si="3"/>
        <v>-0.64199999999999935</v>
      </c>
      <c r="T7" s="20">
        <v>977792</v>
      </c>
      <c r="U7" s="20">
        <v>1478888</v>
      </c>
      <c r="V7" s="20">
        <v>1512</v>
      </c>
      <c r="W7" s="22">
        <f>SUM(T$6:T7)/T$20</f>
        <v>3.8707132964195312E-2</v>
      </c>
      <c r="X7" s="14">
        <f t="shared" si="4"/>
        <v>7.1999999999999315E-2</v>
      </c>
      <c r="Y7" s="20">
        <v>4357228</v>
      </c>
      <c r="Z7" s="20">
        <v>6049099</v>
      </c>
      <c r="AA7" s="20">
        <v>1388</v>
      </c>
      <c r="AB7" s="22">
        <f>SUM(Y$6:Y7)/Y$20</f>
        <v>0.56869980025297762</v>
      </c>
      <c r="AC7" s="14">
        <f t="shared" si="5"/>
        <v>-0.67199999999999926</v>
      </c>
      <c r="AD7" s="20">
        <v>408823</v>
      </c>
      <c r="AE7" s="20">
        <v>585696</v>
      </c>
      <c r="AF7" s="20">
        <v>1433</v>
      </c>
      <c r="AG7" s="22">
        <f>SUM(AD$6:AD7)/AD$20</f>
        <v>0.16750830114726678</v>
      </c>
      <c r="AH7" s="14">
        <f t="shared" si="6"/>
        <v>-0.4019999999999993</v>
      </c>
    </row>
    <row r="8" spans="1:34" x14ac:dyDescent="0.2">
      <c r="A8" s="19" t="s">
        <v>82</v>
      </c>
      <c r="B8" s="20">
        <v>200</v>
      </c>
      <c r="C8" s="20">
        <v>300</v>
      </c>
      <c r="D8" s="29">
        <f t="shared" si="0"/>
        <v>100</v>
      </c>
      <c r="E8" s="20">
        <v>6745640</v>
      </c>
      <c r="F8" s="20">
        <v>17041652</v>
      </c>
      <c r="G8" s="20">
        <v>2526</v>
      </c>
      <c r="H8" s="22">
        <f>SUM(E$6:E8)/E$20</f>
        <v>0.31519348779911383</v>
      </c>
      <c r="I8" s="14">
        <f t="shared" si="1"/>
        <v>0.15599999999999967</v>
      </c>
      <c r="J8" s="20">
        <v>2575339</v>
      </c>
      <c r="K8" s="20">
        <v>6565275</v>
      </c>
      <c r="L8" s="20">
        <v>2549</v>
      </c>
      <c r="M8" s="22">
        <f>SUM(J$6:J8)/J$20</f>
        <v>0.17986066237371767</v>
      </c>
      <c r="N8" s="14">
        <f t="shared" si="2"/>
        <v>0.29400000000000032</v>
      </c>
      <c r="O8" s="20">
        <v>4170301</v>
      </c>
      <c r="P8" s="20">
        <v>10476377</v>
      </c>
      <c r="Q8" s="20">
        <v>2512</v>
      </c>
      <c r="R8" s="22">
        <f>SUM(O$6:O8)/O$20</f>
        <v>0.49328232508887843</v>
      </c>
      <c r="S8" s="14">
        <f t="shared" si="3"/>
        <v>7.1999999999999315E-2</v>
      </c>
      <c r="T8" s="20">
        <v>2967752</v>
      </c>
      <c r="U8" s="20">
        <v>7689213</v>
      </c>
      <c r="V8" s="20">
        <v>2591</v>
      </c>
      <c r="W8" s="22">
        <f>SUM(T$6:T8)/T$20</f>
        <v>0.12542022695835009</v>
      </c>
      <c r="X8" s="14">
        <f t="shared" si="4"/>
        <v>0.54600000000000137</v>
      </c>
      <c r="Y8" s="20">
        <v>3268340</v>
      </c>
      <c r="Z8" s="20">
        <v>8054778</v>
      </c>
      <c r="AA8" s="20">
        <v>2464</v>
      </c>
      <c r="AB8" s="22">
        <f>SUM(Y$6:Y8)/Y$20</f>
        <v>0.81920483960952561</v>
      </c>
      <c r="AC8" s="14">
        <f t="shared" si="5"/>
        <v>-0.21599999999999966</v>
      </c>
      <c r="AD8" s="20">
        <v>408514</v>
      </c>
      <c r="AE8" s="20">
        <v>1040334</v>
      </c>
      <c r="AF8" s="20">
        <v>2547</v>
      </c>
      <c r="AG8" s="22">
        <f>SUM(AD$6:AD8)/AD$20</f>
        <v>0.2703712684495469</v>
      </c>
      <c r="AH8" s="14">
        <f t="shared" si="6"/>
        <v>0.28199999999999931</v>
      </c>
    </row>
    <row r="9" spans="1:34" x14ac:dyDescent="0.2">
      <c r="A9" s="19" t="s">
        <v>83</v>
      </c>
      <c r="B9" s="20">
        <v>300</v>
      </c>
      <c r="C9" s="20">
        <v>400</v>
      </c>
      <c r="D9" s="29">
        <f t="shared" si="0"/>
        <v>100</v>
      </c>
      <c r="E9" s="20">
        <v>7986672</v>
      </c>
      <c r="F9" s="20">
        <v>28077388</v>
      </c>
      <c r="G9" s="20">
        <v>3516</v>
      </c>
      <c r="H9" s="22">
        <f>SUM(E$6:E9)/E$20</f>
        <v>0.46988223687684089</v>
      </c>
      <c r="I9" s="14">
        <f t="shared" si="1"/>
        <v>9.6000000000001362E-2</v>
      </c>
      <c r="J9" s="20">
        <v>3950339</v>
      </c>
      <c r="K9" s="20">
        <v>14005696</v>
      </c>
      <c r="L9" s="20">
        <v>3545</v>
      </c>
      <c r="M9" s="22">
        <f>SUM(J$6:J9)/J$20</f>
        <v>0.31451473999864266</v>
      </c>
      <c r="N9" s="14">
        <f t="shared" si="2"/>
        <v>0.27</v>
      </c>
      <c r="O9" s="20">
        <v>4036333</v>
      </c>
      <c r="P9" s="20">
        <v>14071692</v>
      </c>
      <c r="Q9" s="20">
        <v>3486</v>
      </c>
      <c r="R9" s="22">
        <f>SUM(O$6:O9)/O$20</f>
        <v>0.67433535224894303</v>
      </c>
      <c r="S9" s="14">
        <f t="shared" si="3"/>
        <v>-8.3999999999998631E-2</v>
      </c>
      <c r="T9" s="20">
        <v>6200812</v>
      </c>
      <c r="U9" s="20">
        <v>21913568</v>
      </c>
      <c r="V9" s="20">
        <v>3534</v>
      </c>
      <c r="W9" s="22">
        <f>SUM(T$6:T9)/T$20</f>
        <v>0.30659830174225489</v>
      </c>
      <c r="X9" s="14">
        <f t="shared" si="4"/>
        <v>0.20399999999999863</v>
      </c>
      <c r="Y9" s="20">
        <v>1322093</v>
      </c>
      <c r="Z9" s="20">
        <v>4517254</v>
      </c>
      <c r="AA9" s="20">
        <v>3417</v>
      </c>
      <c r="AB9" s="22">
        <f>SUM(Y$6:Y9)/Y$20</f>
        <v>0.92053791970462484</v>
      </c>
      <c r="AC9" s="14">
        <f t="shared" si="5"/>
        <v>-0.49800000000000066</v>
      </c>
      <c r="AD9" s="20">
        <v>395600</v>
      </c>
      <c r="AE9" s="20">
        <v>1404393</v>
      </c>
      <c r="AF9" s="20">
        <v>3550</v>
      </c>
      <c r="AG9" s="22">
        <f>SUM(AD$6:AD9)/AD$20</f>
        <v>0.36998251767180612</v>
      </c>
      <c r="AH9" s="14">
        <f t="shared" si="6"/>
        <v>0.3</v>
      </c>
    </row>
    <row r="10" spans="1:34" x14ac:dyDescent="0.2">
      <c r="A10" s="19" t="s">
        <v>84</v>
      </c>
      <c r="B10" s="20">
        <v>400</v>
      </c>
      <c r="C10" s="20">
        <v>500</v>
      </c>
      <c r="D10" s="29">
        <f t="shared" si="0"/>
        <v>100</v>
      </c>
      <c r="E10" s="20">
        <v>7917759</v>
      </c>
      <c r="F10" s="20">
        <v>35566924</v>
      </c>
      <c r="G10" s="20">
        <v>4492</v>
      </c>
      <c r="H10" s="22">
        <f>SUM(E$6:E10)/E$20</f>
        <v>0.62323625407060013</v>
      </c>
      <c r="I10" s="14">
        <f t="shared" si="1"/>
        <v>-4.8000000000000681E-2</v>
      </c>
      <c r="J10" s="20">
        <v>4866714</v>
      </c>
      <c r="K10" s="20">
        <v>21939973</v>
      </c>
      <c r="L10" s="20">
        <v>4508</v>
      </c>
      <c r="M10" s="22">
        <f>SUM(J$6:J10)/J$20</f>
        <v>0.48040503061276696</v>
      </c>
      <c r="N10" s="14">
        <f t="shared" si="2"/>
        <v>4.8000000000000681E-2</v>
      </c>
      <c r="O10" s="20">
        <v>3051044</v>
      </c>
      <c r="P10" s="20">
        <v>13626950</v>
      </c>
      <c r="Q10" s="20">
        <v>4466</v>
      </c>
      <c r="R10" s="22">
        <f>SUM(O$6:O10)/O$20</f>
        <v>0.81119243321786993</v>
      </c>
      <c r="S10" s="14">
        <f t="shared" si="3"/>
        <v>-0.20399999999999863</v>
      </c>
      <c r="T10" s="20">
        <v>6942083</v>
      </c>
      <c r="U10" s="20">
        <v>31201766</v>
      </c>
      <c r="V10" s="20">
        <v>4495</v>
      </c>
      <c r="W10" s="22">
        <f>SUM(T$6:T10)/T$20</f>
        <v>0.50943516132291533</v>
      </c>
      <c r="X10" s="14">
        <f t="shared" si="4"/>
        <v>-0.03</v>
      </c>
      <c r="Y10" s="20">
        <v>516840</v>
      </c>
      <c r="Z10" s="20">
        <v>2288670</v>
      </c>
      <c r="AA10" s="20">
        <v>4428</v>
      </c>
      <c r="AB10" s="22">
        <f>SUM(Y$6:Y10)/Y$20</f>
        <v>0.96015161489577339</v>
      </c>
      <c r="AC10" s="14">
        <f t="shared" si="5"/>
        <v>-0.43199999999999933</v>
      </c>
      <c r="AD10" s="20">
        <v>420814</v>
      </c>
      <c r="AE10" s="20">
        <v>1903656</v>
      </c>
      <c r="AF10" s="20">
        <v>4524</v>
      </c>
      <c r="AG10" s="22">
        <f>SUM(AD$6:AD10)/AD$20</f>
        <v>0.47594259914353465</v>
      </c>
      <c r="AH10" s="14">
        <f t="shared" si="6"/>
        <v>0.14399999999999863</v>
      </c>
    </row>
    <row r="11" spans="1:34" x14ac:dyDescent="0.2">
      <c r="A11" s="19" t="s">
        <v>85</v>
      </c>
      <c r="B11" s="20">
        <v>500</v>
      </c>
      <c r="C11" s="20">
        <v>600</v>
      </c>
      <c r="D11" s="29">
        <f t="shared" si="0"/>
        <v>100</v>
      </c>
      <c r="E11" s="20">
        <v>6144924</v>
      </c>
      <c r="F11" s="20">
        <v>33643822</v>
      </c>
      <c r="G11" s="20">
        <v>5475</v>
      </c>
      <c r="H11" s="22">
        <f>SUM(E$6:E11)/E$20</f>
        <v>0.74225336241531525</v>
      </c>
      <c r="I11" s="14">
        <f t="shared" si="1"/>
        <v>-0.15</v>
      </c>
      <c r="J11" s="20">
        <v>4274160</v>
      </c>
      <c r="K11" s="20">
        <v>23437693</v>
      </c>
      <c r="L11" s="20">
        <v>5484</v>
      </c>
      <c r="M11" s="22">
        <f>SUM(J$6:J11)/J$20</f>
        <v>0.62609710221000192</v>
      </c>
      <c r="N11" s="14">
        <f t="shared" si="2"/>
        <v>-9.6000000000001362E-2</v>
      </c>
      <c r="O11" s="20">
        <v>1870764</v>
      </c>
      <c r="P11" s="20">
        <v>10206129</v>
      </c>
      <c r="Q11" s="20">
        <v>5456</v>
      </c>
      <c r="R11" s="22">
        <f>SUM(O$6:O11)/O$20</f>
        <v>0.89510708676654172</v>
      </c>
      <c r="S11" s="14">
        <f t="shared" si="3"/>
        <v>-0.26399999999999862</v>
      </c>
      <c r="T11" s="20">
        <v>5523257</v>
      </c>
      <c r="U11" s="20">
        <v>30192289</v>
      </c>
      <c r="V11" s="20">
        <v>5466</v>
      </c>
      <c r="W11" s="22">
        <f>SUM(T$6:T11)/T$20</f>
        <v>0.67081613365310777</v>
      </c>
      <c r="X11" s="14">
        <f t="shared" si="4"/>
        <v>-0.20399999999999863</v>
      </c>
      <c r="Y11" s="20">
        <v>217751</v>
      </c>
      <c r="Z11" s="20">
        <v>1188512</v>
      </c>
      <c r="AA11" s="20">
        <v>5458</v>
      </c>
      <c r="AB11" s="22">
        <f>SUM(Y$6:Y11)/Y$20</f>
        <v>0.97684134816248602</v>
      </c>
      <c r="AC11" s="14">
        <f t="shared" si="5"/>
        <v>-0.25200000000000272</v>
      </c>
      <c r="AD11" s="20">
        <v>377590</v>
      </c>
      <c r="AE11" s="20">
        <v>2116455</v>
      </c>
      <c r="AF11" s="20">
        <v>5605</v>
      </c>
      <c r="AG11" s="22">
        <f>SUM(AD$6:AD11)/AD$20</f>
        <v>0.57101896818760156</v>
      </c>
      <c r="AH11" s="14">
        <f t="shared" si="6"/>
        <v>0.63</v>
      </c>
    </row>
    <row r="12" spans="1:34" x14ac:dyDescent="0.2">
      <c r="A12" s="19" t="s">
        <v>86</v>
      </c>
      <c r="B12" s="20">
        <v>600</v>
      </c>
      <c r="C12" s="20">
        <v>700</v>
      </c>
      <c r="D12" s="29">
        <f t="shared" si="0"/>
        <v>100</v>
      </c>
      <c r="E12" s="20">
        <v>4035252</v>
      </c>
      <c r="F12" s="20">
        <v>26111048</v>
      </c>
      <c r="G12" s="20">
        <v>6471</v>
      </c>
      <c r="H12" s="22">
        <f>SUM(E$6:E12)/E$20</f>
        <v>0.82040958118746421</v>
      </c>
      <c r="I12" s="14">
        <f t="shared" si="1"/>
        <v>-0.17399999999999863</v>
      </c>
      <c r="J12" s="20">
        <v>3099632</v>
      </c>
      <c r="K12" s="20">
        <v>20075097</v>
      </c>
      <c r="L12" s="20">
        <v>6477</v>
      </c>
      <c r="M12" s="22">
        <f>SUM(J$6:J12)/J$20</f>
        <v>0.73175337321274403</v>
      </c>
      <c r="N12" s="14">
        <f t="shared" si="2"/>
        <v>-0.13799999999999726</v>
      </c>
      <c r="O12" s="20">
        <v>935621</v>
      </c>
      <c r="P12" s="20">
        <v>6035951</v>
      </c>
      <c r="Q12" s="20">
        <v>6451</v>
      </c>
      <c r="R12" s="22">
        <f>SUM(O$6:O12)/O$20</f>
        <v>0.93707513408189624</v>
      </c>
      <c r="S12" s="14">
        <f t="shared" si="3"/>
        <v>-0.29399999999999865</v>
      </c>
      <c r="T12" s="20">
        <v>3728163</v>
      </c>
      <c r="U12" s="20">
        <v>24113355</v>
      </c>
      <c r="V12" s="20">
        <v>6468</v>
      </c>
      <c r="W12" s="22">
        <f>SUM(T$6:T12)/T$20</f>
        <v>0.77974725345170626</v>
      </c>
      <c r="X12" s="14">
        <f t="shared" si="4"/>
        <v>-0.19200000000000272</v>
      </c>
      <c r="Y12" s="20">
        <v>95098</v>
      </c>
      <c r="Z12" s="20">
        <v>614438</v>
      </c>
      <c r="AA12" s="20">
        <v>6461</v>
      </c>
      <c r="AB12" s="22">
        <f>SUM(Y$6:Y12)/Y$20</f>
        <v>0.98413022515592274</v>
      </c>
      <c r="AC12" s="14">
        <f t="shared" si="5"/>
        <v>-0.23399999999999863</v>
      </c>
      <c r="AD12" s="20">
        <v>202112</v>
      </c>
      <c r="AE12" s="20">
        <v>1317614</v>
      </c>
      <c r="AF12" s="20">
        <v>6519</v>
      </c>
      <c r="AG12" s="22">
        <f>SUM(AD$6:AD12)/AD$20</f>
        <v>0.62191034534333778</v>
      </c>
      <c r="AH12" s="14">
        <f t="shared" si="6"/>
        <v>0.11399999999999863</v>
      </c>
    </row>
    <row r="13" spans="1:34" x14ac:dyDescent="0.2">
      <c r="A13" s="19" t="s">
        <v>87</v>
      </c>
      <c r="B13" s="20">
        <v>700</v>
      </c>
      <c r="C13" s="20">
        <v>800</v>
      </c>
      <c r="D13" s="29">
        <f t="shared" si="0"/>
        <v>100</v>
      </c>
      <c r="E13" s="20">
        <v>2776867</v>
      </c>
      <c r="F13" s="20">
        <v>20737256</v>
      </c>
      <c r="G13" s="20">
        <v>7468</v>
      </c>
      <c r="H13" s="22">
        <f>SUM(E$6:E13)/E$20</f>
        <v>0.87419294459405217</v>
      </c>
      <c r="I13" s="14">
        <f t="shared" si="1"/>
        <v>-0.19200000000000272</v>
      </c>
      <c r="J13" s="20">
        <v>2239493</v>
      </c>
      <c r="K13" s="20">
        <v>16729056</v>
      </c>
      <c r="L13" s="20">
        <v>7470</v>
      </c>
      <c r="M13" s="22">
        <f>SUM(J$6:J13)/J$20</f>
        <v>0.80809033170224998</v>
      </c>
      <c r="N13" s="14">
        <f t="shared" si="2"/>
        <v>-0.18</v>
      </c>
      <c r="O13" s="20">
        <v>537374</v>
      </c>
      <c r="P13" s="20">
        <v>4008200</v>
      </c>
      <c r="Q13" s="20">
        <v>7459</v>
      </c>
      <c r="R13" s="22">
        <f>SUM(O$6:O13)/O$20</f>
        <v>0.96117948558538036</v>
      </c>
      <c r="S13" s="14">
        <f t="shared" si="3"/>
        <v>-0.24600000000000136</v>
      </c>
      <c r="T13" s="20">
        <v>2455270</v>
      </c>
      <c r="U13" s="20">
        <v>18333174</v>
      </c>
      <c r="V13" s="20">
        <v>7467</v>
      </c>
      <c r="W13" s="22">
        <f>SUM(T$6:T13)/T$20</f>
        <v>0.85148642110824502</v>
      </c>
      <c r="X13" s="14">
        <f t="shared" si="4"/>
        <v>-0.19799999999999726</v>
      </c>
      <c r="Y13" s="20">
        <v>61297</v>
      </c>
      <c r="Z13" s="20">
        <v>456522</v>
      </c>
      <c r="AA13" s="20">
        <v>7448</v>
      </c>
      <c r="AB13" s="22">
        <f>SUM(Y$6:Y13)/Y$20</f>
        <v>0.98882839223689911</v>
      </c>
      <c r="AC13" s="14">
        <f t="shared" si="5"/>
        <v>-0.31200000000000272</v>
      </c>
      <c r="AD13" s="20">
        <v>250695</v>
      </c>
      <c r="AE13" s="20">
        <v>1875217</v>
      </c>
      <c r="AF13" s="20">
        <v>7480</v>
      </c>
      <c r="AG13" s="22">
        <f>SUM(AD$6:AD13)/AD$20</f>
        <v>0.68503481987259529</v>
      </c>
      <c r="AH13" s="14">
        <f t="shared" si="6"/>
        <v>-0.12</v>
      </c>
    </row>
    <row r="14" spans="1:34" x14ac:dyDescent="0.2">
      <c r="A14" s="19" t="s">
        <v>88</v>
      </c>
      <c r="B14" s="20">
        <v>800</v>
      </c>
      <c r="C14" s="20">
        <v>900</v>
      </c>
      <c r="D14" s="29">
        <f t="shared" si="0"/>
        <v>100</v>
      </c>
      <c r="E14" s="20">
        <v>1833950</v>
      </c>
      <c r="F14" s="20">
        <v>15555718</v>
      </c>
      <c r="G14" s="20">
        <v>8482</v>
      </c>
      <c r="H14" s="22">
        <f>SUM(E$6:E14)/E$20</f>
        <v>0.90971355084545413</v>
      </c>
      <c r="I14" s="14">
        <f t="shared" si="1"/>
        <v>-0.10799999999999726</v>
      </c>
      <c r="J14" s="20">
        <v>1535547</v>
      </c>
      <c r="K14" s="20">
        <v>13029774</v>
      </c>
      <c r="L14" s="20">
        <v>8485</v>
      </c>
      <c r="M14" s="22">
        <f>SUM(J$6:J14)/J$20</f>
        <v>0.86043208387458781</v>
      </c>
      <c r="N14" s="14">
        <f t="shared" si="2"/>
        <v>-0.09</v>
      </c>
      <c r="O14" s="20">
        <v>298403</v>
      </c>
      <c r="P14" s="20">
        <v>2525943</v>
      </c>
      <c r="Q14" s="20">
        <v>8465</v>
      </c>
      <c r="R14" s="22">
        <f>SUM(O$6:O14)/O$20</f>
        <v>0.97456459688904251</v>
      </c>
      <c r="S14" s="14">
        <f t="shared" si="3"/>
        <v>-0.21</v>
      </c>
      <c r="T14" s="20">
        <v>1584925</v>
      </c>
      <c r="U14" s="20">
        <v>13432122</v>
      </c>
      <c r="V14" s="20">
        <v>8475</v>
      </c>
      <c r="W14" s="22">
        <f>SUM(T$6:T14)/T$20</f>
        <v>0.89779546259779197</v>
      </c>
      <c r="X14" s="14">
        <f t="shared" si="4"/>
        <v>-0.15</v>
      </c>
      <c r="Y14" s="20">
        <v>47483</v>
      </c>
      <c r="Z14" s="20">
        <v>403392</v>
      </c>
      <c r="AA14" s="20">
        <v>8496</v>
      </c>
      <c r="AB14" s="22">
        <f>SUM(Y$6:Y14)/Y$20</f>
        <v>0.99246777210061188</v>
      </c>
      <c r="AC14" s="14">
        <f t="shared" si="5"/>
        <v>-2.3999999999998637E-2</v>
      </c>
      <c r="AD14" s="20">
        <v>194523</v>
      </c>
      <c r="AE14" s="20">
        <v>1659525</v>
      </c>
      <c r="AF14" s="20">
        <v>8531</v>
      </c>
      <c r="AG14" s="22">
        <f>SUM(AD$6:AD14)/AD$20</f>
        <v>0.73401530276557192</v>
      </c>
      <c r="AH14" s="14">
        <f t="shared" si="6"/>
        <v>0.18600000000000136</v>
      </c>
    </row>
    <row r="15" spans="1:34" x14ac:dyDescent="0.2">
      <c r="A15" s="19" t="s">
        <v>89</v>
      </c>
      <c r="B15" s="20">
        <v>900</v>
      </c>
      <c r="C15" s="20">
        <v>1000</v>
      </c>
      <c r="D15" s="29">
        <f t="shared" si="0"/>
        <v>100</v>
      </c>
      <c r="E15" s="20">
        <v>1266070</v>
      </c>
      <c r="F15" s="20">
        <v>11993780</v>
      </c>
      <c r="G15" s="20">
        <v>9473</v>
      </c>
      <c r="H15" s="22">
        <f>SUM(E$6:E15)/E$20</f>
        <v>0.93423525206779534</v>
      </c>
      <c r="I15" s="14">
        <f t="shared" si="1"/>
        <v>-0.16200000000000273</v>
      </c>
      <c r="J15" s="20">
        <v>1096042</v>
      </c>
      <c r="K15" s="20">
        <v>10382516</v>
      </c>
      <c r="L15" s="20">
        <v>9473</v>
      </c>
      <c r="M15" s="22">
        <f>SUM(J$6:J15)/J$20</f>
        <v>0.89779255459575324</v>
      </c>
      <c r="N15" s="14">
        <f t="shared" si="2"/>
        <v>-0.16200000000000273</v>
      </c>
      <c r="O15" s="20">
        <v>170028</v>
      </c>
      <c r="P15" s="20">
        <v>1611264</v>
      </c>
      <c r="Q15" s="20">
        <v>9476</v>
      </c>
      <c r="R15" s="22">
        <f>SUM(O$6:O15)/O$20</f>
        <v>0.98219134227946781</v>
      </c>
      <c r="S15" s="14">
        <f t="shared" si="3"/>
        <v>-0.14399999999999863</v>
      </c>
      <c r="T15" s="20">
        <v>1088454</v>
      </c>
      <c r="U15" s="20">
        <v>10305342</v>
      </c>
      <c r="V15" s="20">
        <v>9468</v>
      </c>
      <c r="W15" s="22">
        <f>SUM(T$6:T15)/T$20</f>
        <v>0.92959839424784685</v>
      </c>
      <c r="X15" s="14">
        <f t="shared" si="4"/>
        <v>-0.19200000000000272</v>
      </c>
      <c r="Y15" s="20">
        <v>29293</v>
      </c>
      <c r="Z15" s="20">
        <v>276518</v>
      </c>
      <c r="AA15" s="20">
        <v>9440</v>
      </c>
      <c r="AB15" s="22">
        <f>SUM(Y$6:Y15)/Y$20</f>
        <v>0.99471296204959869</v>
      </c>
      <c r="AC15" s="14">
        <f t="shared" si="5"/>
        <v>-0.36</v>
      </c>
      <c r="AD15" s="20">
        <v>144960</v>
      </c>
      <c r="AE15" s="20">
        <v>1379899</v>
      </c>
      <c r="AF15" s="20">
        <v>9519</v>
      </c>
      <c r="AG15" s="22">
        <f>SUM(AD$6:AD15)/AD$20</f>
        <v>0.77051592634307109</v>
      </c>
      <c r="AH15" s="14">
        <f t="shared" si="6"/>
        <v>0.11399999999999863</v>
      </c>
    </row>
    <row r="16" spans="1:34" x14ac:dyDescent="0.2">
      <c r="A16" s="19" t="s">
        <v>90</v>
      </c>
      <c r="B16" s="20">
        <v>1000</v>
      </c>
      <c r="C16" s="20">
        <v>1500</v>
      </c>
      <c r="D16" s="29">
        <f t="shared" si="0"/>
        <v>500</v>
      </c>
      <c r="E16" s="20">
        <v>2422426</v>
      </c>
      <c r="F16" s="20">
        <v>28769114</v>
      </c>
      <c r="G16" s="20">
        <v>11876</v>
      </c>
      <c r="H16" s="22">
        <f>SUM(E$6:E16)/E$20</f>
        <v>0.98115367411810139</v>
      </c>
      <c r="I16" s="14">
        <f t="shared" si="1"/>
        <v>-0.74880000000000113</v>
      </c>
      <c r="J16" s="20">
        <v>2134629</v>
      </c>
      <c r="K16" s="20">
        <v>25378211</v>
      </c>
      <c r="L16" s="20">
        <v>11889</v>
      </c>
      <c r="M16" s="22">
        <f>SUM(J$6:J16)/J$20</f>
        <v>0.97055504385715985</v>
      </c>
      <c r="N16" s="14">
        <f t="shared" si="2"/>
        <v>-0.73319999999999896</v>
      </c>
      <c r="O16" s="20">
        <v>287798</v>
      </c>
      <c r="P16" s="20">
        <v>3390903</v>
      </c>
      <c r="Q16" s="20">
        <v>11782</v>
      </c>
      <c r="R16" s="22">
        <f>SUM(O$6:O16)/O$20</f>
        <v>0.99510075761031691</v>
      </c>
      <c r="S16" s="14">
        <f t="shared" si="3"/>
        <v>-0.86159999999999948</v>
      </c>
      <c r="T16" s="20">
        <v>1917986</v>
      </c>
      <c r="U16" s="20">
        <v>22624454</v>
      </c>
      <c r="V16" s="20">
        <v>11796</v>
      </c>
      <c r="W16" s="22">
        <f>SUM(T$6:T16)/T$20</f>
        <v>0.98563895973225157</v>
      </c>
      <c r="X16" s="14">
        <f t="shared" si="4"/>
        <v>-0.84480000000000111</v>
      </c>
      <c r="Y16" s="20">
        <v>47963</v>
      </c>
      <c r="Z16" s="20">
        <v>585559</v>
      </c>
      <c r="AA16" s="20">
        <v>12209</v>
      </c>
      <c r="AB16" s="22">
        <f>SUM(Y$6:Y16)/Y$20</f>
        <v>0.99838913197153401</v>
      </c>
      <c r="AC16" s="14">
        <f t="shared" si="5"/>
        <v>-0.3491999999999989</v>
      </c>
      <c r="AD16" s="20">
        <v>451519</v>
      </c>
      <c r="AE16" s="20">
        <v>5498526</v>
      </c>
      <c r="AF16" s="20">
        <v>12178</v>
      </c>
      <c r="AG16" s="22">
        <f>SUM(AD$6:AD16)/AD$20</f>
        <v>0.88420746233292269</v>
      </c>
      <c r="AH16" s="14">
        <f t="shared" si="6"/>
        <v>-0.38640000000000052</v>
      </c>
    </row>
    <row r="17" spans="1:34" x14ac:dyDescent="0.2">
      <c r="A17" s="19" t="s">
        <v>91</v>
      </c>
      <c r="B17" s="20">
        <v>1500</v>
      </c>
      <c r="C17" s="20">
        <v>2000</v>
      </c>
      <c r="D17" s="29">
        <f t="shared" si="0"/>
        <v>500</v>
      </c>
      <c r="E17" s="20">
        <v>609530</v>
      </c>
      <c r="F17" s="20">
        <v>10475758</v>
      </c>
      <c r="G17" s="20">
        <v>17187</v>
      </c>
      <c r="H17" s="22">
        <f>SUM(E$6:E17)/E$20</f>
        <v>0.99295927139633533</v>
      </c>
      <c r="I17" s="14">
        <f t="shared" si="1"/>
        <v>-0.37559999999999943</v>
      </c>
      <c r="J17" s="20">
        <v>538899</v>
      </c>
      <c r="K17" s="20">
        <v>9258431</v>
      </c>
      <c r="L17" s="20">
        <v>17180</v>
      </c>
      <c r="M17" s="22">
        <f>SUM(J$6:J17)/J$20</f>
        <v>0.98892434020818054</v>
      </c>
      <c r="N17" s="14">
        <f t="shared" si="2"/>
        <v>-0.38400000000000001</v>
      </c>
      <c r="O17" s="20">
        <v>70631</v>
      </c>
      <c r="P17" s="20">
        <v>1217327</v>
      </c>
      <c r="Q17" s="20">
        <v>17235</v>
      </c>
      <c r="R17" s="22">
        <f>SUM(O$6:O17)/O$20</f>
        <v>0.99826896904414619</v>
      </c>
      <c r="S17" s="14">
        <f t="shared" si="3"/>
        <v>-0.318</v>
      </c>
      <c r="T17" s="20">
        <v>366172</v>
      </c>
      <c r="U17" s="20">
        <v>6229226</v>
      </c>
      <c r="V17" s="20">
        <v>17012</v>
      </c>
      <c r="W17" s="22">
        <f>SUM(T$6:T17)/T$20</f>
        <v>0.99633793560827744</v>
      </c>
      <c r="X17" s="14">
        <f t="shared" si="4"/>
        <v>-0.58559999999999945</v>
      </c>
      <c r="Y17" s="20">
        <v>14866</v>
      </c>
      <c r="Z17" s="20">
        <v>258391</v>
      </c>
      <c r="AA17" s="20">
        <v>17382</v>
      </c>
      <c r="AB17" s="22">
        <f>SUM(Y$6:Y17)/Y$20</f>
        <v>0.99952855073306879</v>
      </c>
      <c r="AC17" s="14">
        <f t="shared" si="5"/>
        <v>-0.14159999999999945</v>
      </c>
      <c r="AD17" s="20">
        <v>228106</v>
      </c>
      <c r="AE17" s="20">
        <v>3980788</v>
      </c>
      <c r="AF17" s="20">
        <v>17452</v>
      </c>
      <c r="AG17" s="22">
        <f>SUM(AD$6:AD17)/AD$20</f>
        <v>0.94164407410009321</v>
      </c>
      <c r="AH17" s="14">
        <f t="shared" si="6"/>
        <v>-5.7599999999999457E-2</v>
      </c>
    </row>
    <row r="18" spans="1:34" x14ac:dyDescent="0.2">
      <c r="A18" s="19" t="s">
        <v>92</v>
      </c>
      <c r="B18" s="20">
        <v>2000</v>
      </c>
      <c r="C18" s="20">
        <v>2500</v>
      </c>
      <c r="D18" s="29">
        <f t="shared" si="0"/>
        <v>500</v>
      </c>
      <c r="E18" s="20">
        <v>167273</v>
      </c>
      <c r="F18" s="20">
        <v>3716561</v>
      </c>
      <c r="G18" s="20">
        <v>22219</v>
      </c>
      <c r="H18" s="22">
        <f>SUM(E$6:E18)/E$20</f>
        <v>0.99619907530019891</v>
      </c>
      <c r="I18" s="14">
        <f t="shared" si="1"/>
        <v>-0.33719999999999889</v>
      </c>
      <c r="J18" s="20">
        <v>146516</v>
      </c>
      <c r="K18" s="20">
        <v>3253682</v>
      </c>
      <c r="L18" s="20">
        <v>22207</v>
      </c>
      <c r="M18" s="22">
        <f>SUM(J$6:J18)/J$20</f>
        <v>0.99391858926814558</v>
      </c>
      <c r="N18" s="14">
        <f t="shared" si="2"/>
        <v>-0.35160000000000219</v>
      </c>
      <c r="O18" s="20">
        <v>20757</v>
      </c>
      <c r="P18" s="20">
        <v>462878</v>
      </c>
      <c r="Q18" s="20">
        <v>22299</v>
      </c>
      <c r="R18" s="22">
        <f>SUM(O$6:O18)/O$20</f>
        <v>0.99920004130323925</v>
      </c>
      <c r="S18" s="14">
        <f t="shared" si="3"/>
        <v>-0.24119999999999892</v>
      </c>
      <c r="T18" s="20">
        <v>73362</v>
      </c>
      <c r="U18" s="20">
        <v>1611272</v>
      </c>
      <c r="V18" s="20">
        <v>21963</v>
      </c>
      <c r="W18" s="22">
        <f>SUM(T$6:T18)/T$20</f>
        <v>0.99848145905686725</v>
      </c>
      <c r="X18" s="14">
        <f t="shared" si="4"/>
        <v>-0.64439999999999786</v>
      </c>
      <c r="Y18" s="20">
        <v>3017</v>
      </c>
      <c r="Z18" s="20">
        <v>66778</v>
      </c>
      <c r="AA18" s="20">
        <v>22137</v>
      </c>
      <c r="AB18" s="22">
        <f>SUM(Y$6:Y18)/Y$20</f>
        <v>0.99975979157818851</v>
      </c>
      <c r="AC18" s="14">
        <f t="shared" si="5"/>
        <v>-0.43560000000000221</v>
      </c>
      <c r="AD18" s="20">
        <v>90895</v>
      </c>
      <c r="AE18" s="20">
        <v>2038511</v>
      </c>
      <c r="AF18" s="20">
        <v>22427</v>
      </c>
      <c r="AG18" s="22">
        <f>SUM(AD$6:AD18)/AD$20</f>
        <v>0.96453124421651704</v>
      </c>
      <c r="AH18" s="14">
        <f t="shared" si="6"/>
        <v>-8.7600000000002176E-2</v>
      </c>
    </row>
    <row r="19" spans="1:34" x14ac:dyDescent="0.2">
      <c r="A19" s="19" t="s">
        <v>93</v>
      </c>
      <c r="B19" s="20">
        <v>2500</v>
      </c>
      <c r="C19" s="20"/>
      <c r="D19" s="29" t="str">
        <f t="shared" si="0"/>
        <v/>
      </c>
      <c r="E19" s="20">
        <v>196243</v>
      </c>
      <c r="F19" s="20">
        <v>8358709</v>
      </c>
      <c r="G19" s="20">
        <v>42594</v>
      </c>
      <c r="H19" s="22">
        <f>SUM(E$6:E19)/E$20</f>
        <v>0.99999998063163864</v>
      </c>
      <c r="I19" s="14" t="str">
        <f t="shared" si="1"/>
        <v/>
      </c>
      <c r="J19" s="20">
        <v>178409</v>
      </c>
      <c r="K19" s="20">
        <v>7732613</v>
      </c>
      <c r="L19" s="20">
        <v>43342</v>
      </c>
      <c r="M19" s="22">
        <f>SUM(J$6:J19)/J$20</f>
        <v>0.99999996591328555</v>
      </c>
      <c r="N19" s="14" t="str">
        <f t="shared" si="2"/>
        <v/>
      </c>
      <c r="O19" s="20">
        <v>17835</v>
      </c>
      <c r="P19" s="20">
        <v>626096</v>
      </c>
      <c r="Q19" s="20">
        <v>35105</v>
      </c>
      <c r="R19" s="22">
        <f>SUM(O$6:O19)/O$20</f>
        <v>1.0000000448558202</v>
      </c>
      <c r="S19" s="14" t="str">
        <f t="shared" si="3"/>
        <v/>
      </c>
      <c r="T19" s="20">
        <v>51974</v>
      </c>
      <c r="U19" s="20">
        <v>2009410</v>
      </c>
      <c r="V19" s="20">
        <v>38662</v>
      </c>
      <c r="W19" s="22">
        <f>SUM(T$6:T19)/T$20</f>
        <v>1.0000000584368869</v>
      </c>
      <c r="X19" s="14" t="str">
        <f t="shared" si="4"/>
        <v/>
      </c>
      <c r="Y19" s="20">
        <v>3136</v>
      </c>
      <c r="Z19" s="20">
        <v>117944</v>
      </c>
      <c r="AA19" s="20">
        <v>37609</v>
      </c>
      <c r="AB19" s="22">
        <f>SUM(Y$6:Y19)/Y$20</f>
        <v>1.0000001532919092</v>
      </c>
      <c r="AC19" s="14" t="str">
        <f t="shared" si="5"/>
        <v/>
      </c>
      <c r="AD19" s="20">
        <v>140863</v>
      </c>
      <c r="AE19" s="20">
        <v>6222650</v>
      </c>
      <c r="AF19" s="20">
        <v>44175</v>
      </c>
      <c r="AG19" s="22">
        <f>SUM(AD$6:AD19)/AD$20</f>
        <v>1.0000002517978999</v>
      </c>
      <c r="AH19" s="14" t="str">
        <f t="shared" si="6"/>
        <v/>
      </c>
    </row>
    <row r="20" spans="1:34" x14ac:dyDescent="0.2">
      <c r="A20" s="2" t="s">
        <v>35</v>
      </c>
      <c r="E20" s="24">
        <v>51630594</v>
      </c>
      <c r="F20" s="24">
        <v>251256955</v>
      </c>
      <c r="G20" s="24">
        <v>4866</v>
      </c>
      <c r="J20" s="24">
        <v>29336943</v>
      </c>
      <c r="K20" s="24">
        <v>175048358</v>
      </c>
      <c r="L20" s="24">
        <v>5967</v>
      </c>
      <c r="O20" s="24">
        <v>22293651</v>
      </c>
      <c r="P20" s="24">
        <v>76208598</v>
      </c>
      <c r="Q20" s="24">
        <v>3418</v>
      </c>
      <c r="T20" s="24">
        <v>34224958</v>
      </c>
      <c r="U20" s="24">
        <v>191417325</v>
      </c>
      <c r="V20" s="24">
        <v>5593</v>
      </c>
      <c r="Y20" s="24">
        <v>13047003</v>
      </c>
      <c r="Z20" s="24">
        <v>27328401</v>
      </c>
      <c r="AA20" s="24">
        <v>2095</v>
      </c>
      <c r="AD20" s="24">
        <v>3971439</v>
      </c>
      <c r="AE20" s="24">
        <v>31226103</v>
      </c>
      <c r="AF20" s="24">
        <v>7863</v>
      </c>
    </row>
    <row r="22" spans="1:34" x14ac:dyDescent="0.2">
      <c r="A22" s="5" t="s">
        <v>94</v>
      </c>
      <c r="E22" s="20">
        <f>SUM(E6:E19)-E20</f>
        <v>-1</v>
      </c>
      <c r="F22" s="20">
        <f>SUM(F6:F19)-F20</f>
        <v>2</v>
      </c>
      <c r="J22" s="20">
        <f>SUM(J6:J19)-J20</f>
        <v>-1</v>
      </c>
      <c r="K22" s="20">
        <f>SUM(K6:K19)-K20</f>
        <v>0</v>
      </c>
      <c r="O22" s="20">
        <f>SUM(O6:O19)-O20</f>
        <v>1</v>
      </c>
      <c r="P22" s="20">
        <f>SUM(P6:P19)-P20</f>
        <v>-2</v>
      </c>
      <c r="T22" s="20">
        <f>SUM(T6:T19)-T20</f>
        <v>2</v>
      </c>
      <c r="U22" s="20">
        <f>SUM(U6:U19)-U20</f>
        <v>0</v>
      </c>
      <c r="Y22" s="20">
        <f>SUM(Y6:Y19)-Y20</f>
        <v>2</v>
      </c>
      <c r="Z22" s="20">
        <f>SUM(Z6:Z19)-Z20</f>
        <v>1</v>
      </c>
      <c r="AD22" s="20">
        <f>SUM(AD6:AD19)-AD20</f>
        <v>1</v>
      </c>
      <c r="AE22" s="20">
        <f>SUM(AE6:AE19)-AE20</f>
        <v>2</v>
      </c>
    </row>
    <row r="23" spans="1:34" x14ac:dyDescent="0.2">
      <c r="A23" t="s">
        <v>95</v>
      </c>
    </row>
  </sheetData>
  <mergeCells count="6">
    <mergeCell ref="J4:N4"/>
    <mergeCell ref="Y4:AC4"/>
    <mergeCell ref="E4:I4"/>
    <mergeCell ref="AD4:AH4"/>
    <mergeCell ref="T4:X4"/>
    <mergeCell ref="O4:S4"/>
  </mergeCells>
  <phoneticPr fontId="3"/>
  <conditionalFormatting sqref="E22:AH22">
    <cfRule type="expression" dxfId="0" priority="1">
      <formula>AND(E22&lt;&gt;"",ABS(E22)&gt;14)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9"/>
  <sheetViews>
    <sheetView workbookViewId="0"/>
  </sheetViews>
  <sheetFormatPr defaultRowHeight="13" x14ac:dyDescent="0.2"/>
  <cols>
    <col min="1" max="1" width="120" customWidth="1"/>
  </cols>
  <sheetData>
    <row r="1" spans="1:1" ht="14" x14ac:dyDescent="0.2">
      <c r="A1" s="1" t="s">
        <v>96</v>
      </c>
    </row>
    <row r="3" spans="1:1" x14ac:dyDescent="0.2">
      <c r="A3" t="s">
        <v>97</v>
      </c>
    </row>
    <row r="4" spans="1:1" x14ac:dyDescent="0.2">
      <c r="A4" t="s">
        <v>98</v>
      </c>
    </row>
    <row r="5" spans="1:1" x14ac:dyDescent="0.2">
      <c r="A5" t="s">
        <v>99</v>
      </c>
    </row>
    <row r="7" spans="1:1" x14ac:dyDescent="0.2">
      <c r="A7" t="s">
        <v>100</v>
      </c>
    </row>
    <row r="8" spans="1:1" x14ac:dyDescent="0.2">
      <c r="A8" t="s">
        <v>101</v>
      </c>
    </row>
    <row r="10" spans="1:1" x14ac:dyDescent="0.2">
      <c r="A10" t="s">
        <v>102</v>
      </c>
    </row>
    <row r="11" spans="1:1" x14ac:dyDescent="0.2">
      <c r="A11" t="s">
        <v>103</v>
      </c>
    </row>
    <row r="12" spans="1:1" x14ac:dyDescent="0.2">
      <c r="A12" t="s">
        <v>104</v>
      </c>
    </row>
    <row r="13" spans="1:1" x14ac:dyDescent="0.2">
      <c r="A13" t="s">
        <v>105</v>
      </c>
    </row>
    <row r="14" spans="1:1" x14ac:dyDescent="0.2">
      <c r="A14" t="s">
        <v>106</v>
      </c>
    </row>
    <row r="16" spans="1:1" x14ac:dyDescent="0.2">
      <c r="A16" t="s">
        <v>107</v>
      </c>
    </row>
    <row r="18" spans="1:1" x14ac:dyDescent="0.2">
      <c r="A18" t="s">
        <v>108</v>
      </c>
    </row>
    <row r="19" spans="1:1" x14ac:dyDescent="0.2">
      <c r="A19" t="s">
        <v>109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1_上位何%</vt:lpstr>
      <vt:lpstr>2_区分別</vt:lpstr>
      <vt:lpstr>3_国税庁の表</vt:lpstr>
      <vt:lpstr>4_使い方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2026-10-06T01:42:39Z</dcterms:created>
  <dcterms:modified xsi:type="dcterms:W3CDTF">2026-10-06T01:42:46Z</dcterms:modified>
</cp:coreProperties>
</file>