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期待値" sheetId="1" state="visible" r:id="rId1"/>
    <sheet xmlns:r="http://schemas.openxmlformats.org/officeDocument/2006/relationships" name="2_前年と比べる" sheetId="2" state="visible" r:id="rId2"/>
    <sheet xmlns:r="http://schemas.openxmlformats.org/officeDocument/2006/relationships" name="3_連番10枚" sheetId="3" state="visible" r:id="rId3"/>
    <sheet xmlns:r="http://schemas.openxmlformats.org/officeDocument/2006/relationships" name="4_枚数" sheetId="4" state="visible" r:id="rId4"/>
    <sheet xmlns:r="http://schemas.openxmlformats.org/officeDocument/2006/relationships" name="5_ミニと比べる" sheetId="5" state="visible" r:id="rId5"/>
    <sheet xmlns:r="http://schemas.openxmlformats.org/officeDocument/2006/relationships" name="6_売上の行き先" sheetId="6" state="visible" r:id="rId6"/>
    <sheet xmlns:r="http://schemas.openxmlformats.org/officeDocument/2006/relationships" name="7_使い方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8">
    <numFmt numFmtId="164" formatCode="#,##0&quot;円&quot;"/>
    <numFmt numFmtId="165" formatCode="#,##0&quot;枚&quot;"/>
    <numFmt numFmtId="166" formatCode="0&quot;ユニット&quot;"/>
    <numFmt numFmtId="167" formatCode="#,##0&quot;本&quot;"/>
    <numFmt numFmtId="168" formatCode="#,##0.0&quot;枚&quot;"/>
    <numFmt numFmtId="169" formatCode="#,##0.000&quot;円&quot;"/>
    <numFmt numFmtId="170" formatCode="0.000%"/>
    <numFmt numFmtId="171" formatCode="+#,##0.000&quot;円&quot;;-#,##0.000&quot;円&quot;;0&quot;円&quot;"/>
    <numFmt numFmtId="172" formatCode="0.00&quot;倍&quot;"/>
    <numFmt numFmtId="173" formatCode="0.000&quot;倍&quot;"/>
    <numFmt numFmtId="174" formatCode="000"/>
    <numFmt numFmtId="175" formatCode="00"/>
    <numFmt numFmtId="176" formatCode="0&quot;通り&quot;"/>
    <numFmt numFmtId="177" formatCode="0.0000%"/>
    <numFmt numFmtId="178" formatCode="#,##0.0&quot;円&quot;"/>
    <numFmt numFmtId="179" formatCode="0.00000%"/>
    <numFmt numFmtId="180" formatCode="#,##0&quot;人&quot;"/>
    <numFmt numFmtId="181" formatCode="0.0%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E8EDF2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pivotButton="0" quotePrefix="0" xfId="0"/>
    <xf numFmtId="0" fontId="0" fillId="0" borderId="1" applyAlignment="1" pivotButton="0" quotePrefix="0" xfId="0">
      <alignment horizontal="left" vertical="center" wrapText="1"/>
    </xf>
    <xf numFmtId="164" fontId="0" fillId="2" borderId="1" applyAlignment="1" pivotButton="0" quotePrefix="0" xfId="0">
      <alignment horizontal="center" vertical="center"/>
    </xf>
    <xf numFmtId="165" fontId="0" fillId="2" borderId="1" applyAlignment="1" pivotButton="0" quotePrefix="0" xfId="0">
      <alignment horizontal="center" vertical="center"/>
    </xf>
    <xf numFmtId="166" fontId="0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167" fontId="0" fillId="2" borderId="1" applyAlignment="1" pivotButton="0" quotePrefix="0" xfId="0">
      <alignment horizontal="center" vertical="center"/>
    </xf>
    <xf numFmtId="167" fontId="0" fillId="4" borderId="1" applyAlignment="1" pivotButton="0" quotePrefix="0" xfId="0">
      <alignment horizontal="center" vertical="center"/>
    </xf>
    <xf numFmtId="168" fontId="0" fillId="4" borderId="1" applyAlignment="1" pivotButton="0" quotePrefix="0" xfId="0">
      <alignment horizontal="center" vertical="center"/>
    </xf>
    <xf numFmtId="169" fontId="0" fillId="4" borderId="1" applyAlignment="1" pivotButton="0" quotePrefix="0" xfId="0">
      <alignment horizontal="center" vertical="center"/>
    </xf>
    <xf numFmtId="1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  <xf numFmtId="167" fontId="2" fillId="4" borderId="1" applyAlignment="1" pivotButton="0" quotePrefix="0" xfId="0">
      <alignment horizontal="center" vertical="center"/>
    </xf>
    <xf numFmtId="169" fontId="2" fillId="4" borderId="1" applyAlignment="1" pivotButton="0" quotePrefix="0" xfId="0">
      <alignment horizontal="center" vertical="center"/>
    </xf>
    <xf numFmtId="170" fontId="2" fillId="4" borderId="1" applyAlignment="1" pivotButton="0" quotePrefix="0" xfId="0">
      <alignment horizontal="center" vertical="center"/>
    </xf>
    <xf numFmtId="0" fontId="2" fillId="0" borderId="0" pivotButton="0" quotePrefix="0" xfId="0"/>
    <xf numFmtId="170" fontId="0" fillId="4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171" fontId="0" fillId="4" borderId="1" applyAlignment="1" pivotButton="0" quotePrefix="0" xfId="0">
      <alignment horizontal="center" vertical="center"/>
    </xf>
    <xf numFmtId="172" fontId="0" fillId="4" borderId="1" applyAlignment="1" pivotButton="0" quotePrefix="0" xfId="0">
      <alignment horizontal="center" vertical="center"/>
    </xf>
    <xf numFmtId="172" fontId="2" fillId="4" borderId="1" applyAlignment="1" pivotButton="0" quotePrefix="0" xfId="0">
      <alignment horizontal="center" vertical="center"/>
    </xf>
    <xf numFmtId="173" fontId="2" fillId="4" borderId="1" applyAlignment="1" pivotButton="0" quotePrefix="0" xfId="0">
      <alignment horizontal="center" vertical="center"/>
    </xf>
    <xf numFmtId="174" fontId="0" fillId="2" borderId="1" applyAlignment="1" pivotButton="0" quotePrefix="0" xfId="0">
      <alignment horizontal="center" vertical="center"/>
    </xf>
    <xf numFmtId="175" fontId="0" fillId="2" borderId="1" applyAlignment="1" pivotButton="0" quotePrefix="0" xfId="0">
      <alignment horizontal="center" vertical="center"/>
    </xf>
    <xf numFmtId="1" fontId="0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1" fontId="0" fillId="4" borderId="1" applyAlignment="1" pivotButton="0" quotePrefix="0" xfId="0">
      <alignment horizontal="center" vertical="center"/>
    </xf>
    <xf numFmtId="176" fontId="0" fillId="4" borderId="1" applyAlignment="1" pivotButton="0" quotePrefix="0" xfId="0">
      <alignment horizontal="center" vertical="center"/>
    </xf>
    <xf numFmtId="9" fontId="2" fillId="4" borderId="1" applyAlignment="1" pivotButton="0" quotePrefix="0" xfId="0">
      <alignment horizontal="center" vertical="center"/>
    </xf>
    <xf numFmtId="177" fontId="0" fillId="4" borderId="1" applyAlignment="1" pivotButton="0" quotePrefix="0" xfId="0">
      <alignment horizontal="center" vertical="center"/>
    </xf>
    <xf numFmtId="178" fontId="0" fillId="4" borderId="1" applyAlignment="1" pivotButton="0" quotePrefix="0" xfId="0">
      <alignment horizontal="center" vertical="center"/>
    </xf>
    <xf numFmtId="179" fontId="0" fillId="4" borderId="1" applyAlignment="1" pivotButton="0" quotePrefix="0" xfId="0">
      <alignment horizontal="center" vertical="center"/>
    </xf>
    <xf numFmtId="180" fontId="0" fillId="4" borderId="1" applyAlignment="1" pivotButton="0" quotePrefix="0" xfId="0">
      <alignment horizontal="center" vertical="center"/>
    </xf>
    <xf numFmtId="181" fontId="0" fillId="4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center" vertical="center"/>
    </xf>
    <xf numFmtId="181" fontId="0" fillId="2" borderId="1" applyAlignment="1" pivotButton="0" quotePrefix="0" xfId="0">
      <alignment horizontal="center" vertical="center"/>
    </xf>
    <xf numFmtId="3" fontId="0" fillId="2" borderId="1" applyAlignment="1" pivotButton="0" quotePrefix="0" xfId="0">
      <alignment horizontal="center" vertical="center"/>
    </xf>
    <xf numFmtId="181" fontId="2" fillId="4" borderId="1" applyAlignment="1" pivotButton="0" quotePrefix="0" xfId="0">
      <alignment horizontal="center" vertical="center"/>
    </xf>
    <xf numFmtId="3" fontId="2" fillId="4" borderId="1" applyAlignment="1" pivotButton="0" quotePrefix="0" xfId="0">
      <alignment horizontal="center" vertical="center"/>
    </xf>
    <xf numFmtId="178" fontId="2" fillId="4" borderId="1" applyAlignment="1" pivotButton="0" quotePrefix="0" xfId="0">
      <alignment horizontal="center" vertical="center"/>
    </xf>
    <xf numFmtId="167" fontId="0" fillId="0" borderId="0" pivotButton="0" quotePrefix="0" xfId="0"/>
    <xf numFmtId="181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8E8"/>
          <bgColor rgb="00FDE8E8"/>
        </patternFill>
      </fill>
    </dxf>
    <dxf>
      <fill>
        <patternFill patternType="solid">
          <fgColor rgb="00E3F1E6"/>
          <bgColor rgb="00E3F1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18" customWidth="1" min="3" max="3"/>
    <col width="15" customWidth="1" min="4" max="4"/>
    <col width="15" customWidth="1" min="5" max="5"/>
    <col width="16" customWidth="1" min="6" max="6"/>
    <col width="12" customWidth="1" min="7" max="7"/>
    <col width="14" customWidth="1" min="8" max="8"/>
  </cols>
  <sheetData>
    <row r="1">
      <c r="A1" s="1" t="inlineStr">
        <is>
          <t>年末ジャンボ宝くじ（第1082回、2025年）の期待値を等級ごとに数える</t>
        </is>
      </c>
    </row>
    <row r="2">
      <c r="A2" t="inlineStr">
        <is>
          <t>黄色の欄を入れる。2026年の条件が発表されたら、当せん金と本数を書き換える</t>
        </is>
      </c>
    </row>
    <row r="3">
      <c r="A3" s="2" t="inlineStr">
        <is>
          <t>1枚の値段</t>
        </is>
      </c>
      <c r="B3" s="3" t="n">
        <v>300</v>
      </c>
    </row>
    <row r="4">
      <c r="A4" s="2" t="inlineStr">
        <is>
          <t>1ユニットの枚数</t>
        </is>
      </c>
      <c r="B4" s="4" t="n">
        <v>20000000</v>
      </c>
    </row>
    <row r="5">
      <c r="A5" s="2" t="inlineStr">
        <is>
          <t>ユニット数</t>
        </is>
      </c>
      <c r="B5" s="5" t="n">
        <v>23</v>
      </c>
    </row>
    <row r="7" ht="32" customHeight="1">
      <c r="A7" s="6" t="inlineStr">
        <is>
          <t>等級</t>
        </is>
      </c>
      <c r="B7" s="6" t="inlineStr">
        <is>
          <t>当せん金</t>
        </is>
      </c>
      <c r="C7" s="6" t="inlineStr">
        <is>
          <t>本数（全ユニット）</t>
        </is>
      </c>
      <c r="D7" s="6" t="inlineStr">
        <is>
          <t>1ユニットの本数</t>
        </is>
      </c>
      <c r="E7" s="6" t="inlineStr">
        <is>
          <t>何枚に1本</t>
        </is>
      </c>
      <c r="F7" s="6" t="inlineStr">
        <is>
          <t>1枚あたりの期待値</t>
        </is>
      </c>
      <c r="G7" s="6" t="inlineStr">
        <is>
          <t>300円のうち</t>
        </is>
      </c>
      <c r="H7" s="6" t="inlineStr">
        <is>
          <t>期待値の累計</t>
        </is>
      </c>
    </row>
    <row r="8">
      <c r="A8" s="2" t="inlineStr">
        <is>
          <t>1等</t>
        </is>
      </c>
      <c r="B8" s="3" t="n">
        <v>700000000</v>
      </c>
      <c r="C8" s="7" t="n">
        <v>23</v>
      </c>
      <c r="D8" s="8">
        <f>C8/$B$5</f>
        <v/>
      </c>
      <c r="E8" s="9">
        <f>IF(D8=0,"",$B$4/D8)</f>
        <v/>
      </c>
      <c r="F8" s="10">
        <f>B8*D8/$B$4</f>
        <v/>
      </c>
      <c r="G8" s="11">
        <f>F8/$B$3</f>
        <v/>
      </c>
      <c r="H8" s="10">
        <f>SUM($F$8:F8)</f>
        <v/>
      </c>
    </row>
    <row r="9">
      <c r="A9" s="2" t="inlineStr">
        <is>
          <t>1等の前後賞</t>
        </is>
      </c>
      <c r="B9" s="3" t="n">
        <v>150000000</v>
      </c>
      <c r="C9" s="7" t="n">
        <v>46</v>
      </c>
      <c r="D9" s="8">
        <f>C9/$B$5</f>
        <v/>
      </c>
      <c r="E9" s="9">
        <f>IF(D9=0,"",$B$4/D9)</f>
        <v/>
      </c>
      <c r="F9" s="10">
        <f>B9*D9/$B$4</f>
        <v/>
      </c>
      <c r="G9" s="11">
        <f>F9/$B$3</f>
        <v/>
      </c>
      <c r="H9" s="10">
        <f>SUM($F$8:F9)</f>
        <v/>
      </c>
    </row>
    <row r="10">
      <c r="A10" s="2" t="inlineStr">
        <is>
          <t>1等の組違い賞</t>
        </is>
      </c>
      <c r="B10" s="3" t="n">
        <v>100000</v>
      </c>
      <c r="C10" s="7" t="n">
        <v>4577</v>
      </c>
      <c r="D10" s="8">
        <f>C10/$B$5</f>
        <v/>
      </c>
      <c r="E10" s="9">
        <f>IF(D10=0,"",$B$4/D10)</f>
        <v/>
      </c>
      <c r="F10" s="10">
        <f>B10*D10/$B$4</f>
        <v/>
      </c>
      <c r="G10" s="11">
        <f>F10/$B$3</f>
        <v/>
      </c>
      <c r="H10" s="10">
        <f>SUM($F$8:F10)</f>
        <v/>
      </c>
    </row>
    <row r="11">
      <c r="A11" s="2" t="inlineStr">
        <is>
          <t>2等</t>
        </is>
      </c>
      <c r="B11" s="3" t="n">
        <v>100000000</v>
      </c>
      <c r="C11" s="7" t="n">
        <v>23</v>
      </c>
      <c r="D11" s="8">
        <f>C11/$B$5</f>
        <v/>
      </c>
      <c r="E11" s="9">
        <f>IF(D11=0,"",$B$4/D11)</f>
        <v/>
      </c>
      <c r="F11" s="10">
        <f>B11*D11/$B$4</f>
        <v/>
      </c>
      <c r="G11" s="11">
        <f>F11/$B$3</f>
        <v/>
      </c>
      <c r="H11" s="10">
        <f>SUM($F$8:F11)</f>
        <v/>
      </c>
    </row>
    <row r="12">
      <c r="A12" s="2" t="inlineStr">
        <is>
          <t>3等</t>
        </is>
      </c>
      <c r="B12" s="3" t="n">
        <v>10000000</v>
      </c>
      <c r="C12" s="7" t="n">
        <v>92</v>
      </c>
      <c r="D12" s="8">
        <f>C12/$B$5</f>
        <v/>
      </c>
      <c r="E12" s="9">
        <f>IF(D12=0,"",$B$4/D12)</f>
        <v/>
      </c>
      <c r="F12" s="10">
        <f>B12*D12/$B$4</f>
        <v/>
      </c>
      <c r="G12" s="11">
        <f>F12/$B$3</f>
        <v/>
      </c>
      <c r="H12" s="10">
        <f>SUM($F$8:F12)</f>
        <v/>
      </c>
    </row>
    <row r="13">
      <c r="A13" s="2" t="inlineStr">
        <is>
          <t>4等</t>
        </is>
      </c>
      <c r="B13" s="3" t="n">
        <v>1000000</v>
      </c>
      <c r="C13" s="7" t="n">
        <v>920</v>
      </c>
      <c r="D13" s="8">
        <f>C13/$B$5</f>
        <v/>
      </c>
      <c r="E13" s="9">
        <f>IF(D13=0,"",$B$4/D13)</f>
        <v/>
      </c>
      <c r="F13" s="10">
        <f>B13*D13/$B$4</f>
        <v/>
      </c>
      <c r="G13" s="11">
        <f>F13/$B$3</f>
        <v/>
      </c>
      <c r="H13" s="10">
        <f>SUM($F$8:F13)</f>
        <v/>
      </c>
    </row>
    <row r="14">
      <c r="A14" s="2" t="inlineStr">
        <is>
          <t>5等</t>
        </is>
      </c>
      <c r="B14" s="3" t="n">
        <v>10000</v>
      </c>
      <c r="C14" s="7" t="n">
        <v>1380000</v>
      </c>
      <c r="D14" s="8">
        <f>C14/$B$5</f>
        <v/>
      </c>
      <c r="E14" s="9">
        <f>IF(D14=0,"",$B$4/D14)</f>
        <v/>
      </c>
      <c r="F14" s="10">
        <f>B14*D14/$B$4</f>
        <v/>
      </c>
      <c r="G14" s="11">
        <f>F14/$B$3</f>
        <v/>
      </c>
      <c r="H14" s="10">
        <f>SUM($F$8:F14)</f>
        <v/>
      </c>
    </row>
    <row r="15">
      <c r="A15" s="2" t="inlineStr">
        <is>
          <t>6等</t>
        </is>
      </c>
      <c r="B15" s="3" t="n">
        <v>3000</v>
      </c>
      <c r="C15" s="7" t="n">
        <v>4600000</v>
      </c>
      <c r="D15" s="8">
        <f>C15/$B$5</f>
        <v/>
      </c>
      <c r="E15" s="9">
        <f>IF(D15=0,"",$B$4/D15)</f>
        <v/>
      </c>
      <c r="F15" s="10">
        <f>B15*D15/$B$4</f>
        <v/>
      </c>
      <c r="G15" s="11">
        <f>F15/$B$3</f>
        <v/>
      </c>
      <c r="H15" s="10">
        <f>SUM($F$8:F15)</f>
        <v/>
      </c>
    </row>
    <row r="16">
      <c r="A16" s="2" t="inlineStr">
        <is>
          <t>7等</t>
        </is>
      </c>
      <c r="B16" s="3" t="n">
        <v>300</v>
      </c>
      <c r="C16" s="7" t="n">
        <v>46000000</v>
      </c>
      <c r="D16" s="8">
        <f>C16/$B$5</f>
        <v/>
      </c>
      <c r="E16" s="9">
        <f>IF(D16=0,"",$B$4/D16)</f>
        <v/>
      </c>
      <c r="F16" s="10">
        <f>B16*D16/$B$4</f>
        <v/>
      </c>
      <c r="G16" s="11">
        <f>F16/$B$3</f>
        <v/>
      </c>
      <c r="H16" s="10">
        <f>SUM($F$8:F16)</f>
        <v/>
      </c>
    </row>
    <row r="17">
      <c r="A17" s="12" t="inlineStr">
        <is>
          <t>合計</t>
        </is>
      </c>
      <c r="C17" s="13">
        <f>SUM(C8:C16)</f>
        <v/>
      </c>
      <c r="D17" s="13">
        <f>SUM(D8:D16)</f>
        <v/>
      </c>
      <c r="F17" s="14">
        <f>SUM(F8:F16)</f>
        <v/>
      </c>
      <c r="G17" s="15">
        <f>SUM(G8:G16)</f>
        <v/>
      </c>
    </row>
    <row r="19">
      <c r="A19" s="16" t="inlineStr">
        <is>
          <t>要約</t>
        </is>
      </c>
    </row>
    <row r="20">
      <c r="A20" s="2" t="inlineStr">
        <is>
          <t>1枚300円の期待値</t>
        </is>
      </c>
      <c r="B20" s="14">
        <f>F17</f>
        <v/>
      </c>
    </row>
    <row r="21">
      <c r="A21" s="2" t="inlineStr">
        <is>
          <t>還元率</t>
        </is>
      </c>
      <c r="B21" s="17">
        <f>F17/B3</f>
        <v/>
      </c>
    </row>
    <row r="22">
      <c r="A22" s="2" t="inlineStr">
        <is>
          <t>発売総額</t>
        </is>
      </c>
      <c r="B22" s="18">
        <f>B3*B4*B5</f>
        <v/>
      </c>
    </row>
    <row r="23">
      <c r="A23" s="2" t="inlineStr">
        <is>
          <t>当せん金の総額</t>
        </is>
      </c>
      <c r="B23" s="18">
        <f>SUMPRODUCT($B$8:$B$16,$C$8:$C$16)</f>
        <v/>
      </c>
    </row>
    <row r="24">
      <c r="A24" s="2" t="inlineStr">
        <is>
          <t>当せん金の総額 ÷ 発売総額</t>
        </is>
      </c>
      <c r="B24" s="17">
        <f>B23/B22</f>
        <v/>
      </c>
    </row>
    <row r="25">
      <c r="A25" s="2" t="inlineStr">
        <is>
          <t>法の上限（発売総額の5割）との差</t>
        </is>
      </c>
      <c r="B25" s="18">
        <f>B22*0.5-B23</f>
        <v/>
      </c>
    </row>
    <row r="26">
      <c r="A26" s="2" t="inlineStr">
        <is>
          <t>1枚の当せん金の上限（証票金額の250万倍）</t>
        </is>
      </c>
      <c r="B26" s="18">
        <f>B3*2500000</f>
        <v/>
      </c>
    </row>
    <row r="27">
      <c r="A27" s="2" t="inlineStr">
        <is>
          <t>1等は上限に収まるか</t>
        </is>
      </c>
      <c r="B27" s="19">
        <f>IF(B8&lt;=B26,"収まる","超える")</f>
        <v/>
      </c>
    </row>
    <row r="28">
      <c r="A28" s="2" t="inlineStr">
        <is>
          <t>1万円以上の本数</t>
        </is>
      </c>
      <c r="B28" s="8">
        <f>SUMIFS($C$8:$C$16,$B$8:$B$16,"&gt;=10000")</f>
        <v/>
      </c>
    </row>
    <row r="29">
      <c r="A29" s="2" t="inlineStr">
        <is>
          <t>100万円以上の本数</t>
        </is>
      </c>
      <c r="B29" s="8">
        <f>SUMIFS($C$8:$C$16,$B$8:$B$16,"&gt;=1000000")</f>
        <v/>
      </c>
    </row>
    <row r="30">
      <c r="A30" s="2" t="inlineStr">
        <is>
          <t>1億円以上の本数</t>
        </is>
      </c>
      <c r="B30" s="8">
        <f>SUMIFS($C$8:$C$16,$B$8:$B$16,"&gt;=100000000")</f>
        <v/>
      </c>
    </row>
    <row r="31">
      <c r="A31" s="2" t="inlineStr">
        <is>
          <t>1万円以上は何枚に1本</t>
        </is>
      </c>
      <c r="B31" s="9">
        <f>B4*B5/B28</f>
        <v/>
      </c>
    </row>
    <row r="32">
      <c r="A32" s="2" t="inlineStr">
        <is>
          <t>5等〜7等の期待値（1万円以下）</t>
        </is>
      </c>
      <c r="B32" s="10">
        <f>SUMPRODUCT(($B$8:$B$16&lt;=10000)*F8:F16)</f>
        <v/>
      </c>
    </row>
    <row r="33">
      <c r="A33" s="2" t="inlineStr">
        <is>
          <t>4等より上の期待値</t>
        </is>
      </c>
      <c r="B33" s="10">
        <f>SUMPRODUCT(($B$8:$B$16&gt;10000)*F8:F16)</f>
        <v/>
      </c>
    </row>
    <row r="34">
      <c r="A34" s="2" t="inlineStr">
        <is>
          <t>1等だけの期待値</t>
        </is>
      </c>
      <c r="B34" s="10">
        <f>F8</f>
        <v/>
      </c>
    </row>
    <row r="36">
      <c r="A36" t="inlineStr">
        <is>
          <t>組違い賞は1ユニット200組のうち1等の組を除く199組なので、合計は5割ちょうどより10万円×1本分だけ少ない。</t>
        </is>
      </c>
    </row>
    <row r="37">
      <c r="A37" t="inlineStr">
        <is>
          <t>当せん金付証票法第5条: 当せん金の総額は発売総額の5割を超えてはならない。第2項ただし書: 総務大臣の指定で1枚の当せん金は証票金額の250万倍まで。</t>
        </is>
      </c>
    </row>
  </sheetData>
  <conditionalFormatting sqref="B25">
    <cfRule type="expression" priority="1" dxfId="0">
      <formula>$B$25&lt;0</formula>
    </cfRule>
    <cfRule type="expression" priority="2" dxfId="1">
      <formula>$B$25&gt;=0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8" customWidth="1" min="3" max="3"/>
    <col width="15" customWidth="1" min="4" max="4"/>
    <col width="15" customWidth="1" min="5" max="5"/>
    <col width="16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第1031回（2024年）と第1082回（2025年）の年末ジャンボを比べる</t>
        </is>
      </c>
    </row>
    <row r="2">
      <c r="A2" t="inlineStr">
        <is>
          <t>どちらも1枚300円、1ユニット2,000万枚、23ユニット。上の表が2024年、下は1_期待値を参照する</t>
        </is>
      </c>
    </row>
    <row r="3">
      <c r="A3" s="2" t="inlineStr">
        <is>
          <t>1枚の値段</t>
        </is>
      </c>
      <c r="B3" s="3" t="n">
        <v>300</v>
      </c>
    </row>
    <row r="4">
      <c r="A4" s="2" t="inlineStr">
        <is>
          <t>1ユニットの枚数</t>
        </is>
      </c>
      <c r="B4" s="4" t="n">
        <v>20000000</v>
      </c>
    </row>
    <row r="5">
      <c r="A5" s="2" t="inlineStr">
        <is>
          <t>ユニット数</t>
        </is>
      </c>
      <c r="B5" s="5" t="n">
        <v>23</v>
      </c>
    </row>
    <row r="7" ht="32" customHeight="1">
      <c r="A7" s="6" t="inlineStr">
        <is>
          <t>等級</t>
        </is>
      </c>
      <c r="B7" s="6" t="inlineStr">
        <is>
          <t>当せん金</t>
        </is>
      </c>
      <c r="C7" s="6" t="inlineStr">
        <is>
          <t>本数（全ユニット）</t>
        </is>
      </c>
      <c r="D7" s="6" t="inlineStr">
        <is>
          <t>1ユニットの本数</t>
        </is>
      </c>
      <c r="E7" s="6" t="inlineStr">
        <is>
          <t>何枚に1本</t>
        </is>
      </c>
      <c r="F7" s="6" t="inlineStr">
        <is>
          <t>1枚あたりの期待値</t>
        </is>
      </c>
      <c r="G7" s="6" t="inlineStr">
        <is>
          <t>300円のうち</t>
        </is>
      </c>
      <c r="H7" s="6" t="inlineStr">
        <is>
          <t>期待値の累計</t>
        </is>
      </c>
    </row>
    <row r="8">
      <c r="A8" s="2" t="inlineStr">
        <is>
          <t>1等</t>
        </is>
      </c>
      <c r="B8" s="3" t="n">
        <v>700000000</v>
      </c>
      <c r="C8" s="7" t="n">
        <v>23</v>
      </c>
      <c r="D8" s="8">
        <f>C8/$B$5</f>
        <v/>
      </c>
      <c r="E8" s="9">
        <f>IF(D8=0,"",$B$4/D8)</f>
        <v/>
      </c>
      <c r="F8" s="10">
        <f>B8*D8/$B$4</f>
        <v/>
      </c>
      <c r="G8" s="11">
        <f>F8/$B$3</f>
        <v/>
      </c>
      <c r="H8" s="10">
        <f>SUM($F$8:F8)</f>
        <v/>
      </c>
    </row>
    <row r="9">
      <c r="A9" s="2" t="inlineStr">
        <is>
          <t>1等の前後賞</t>
        </is>
      </c>
      <c r="B9" s="3" t="n">
        <v>150000000</v>
      </c>
      <c r="C9" s="7" t="n">
        <v>46</v>
      </c>
      <c r="D9" s="8">
        <f>C9/$B$5</f>
        <v/>
      </c>
      <c r="E9" s="9">
        <f>IF(D9=0,"",$B$4/D9)</f>
        <v/>
      </c>
      <c r="F9" s="10">
        <f>B9*D9/$B$4</f>
        <v/>
      </c>
      <c r="G9" s="11">
        <f>F9/$B$3</f>
        <v/>
      </c>
      <c r="H9" s="10">
        <f>SUM($F$8:F9)</f>
        <v/>
      </c>
    </row>
    <row r="10">
      <c r="A10" s="2" t="inlineStr">
        <is>
          <t>1等の組違い賞</t>
        </is>
      </c>
      <c r="B10" s="3" t="n">
        <v>100000</v>
      </c>
      <c r="C10" s="7" t="n">
        <v>4577</v>
      </c>
      <c r="D10" s="8">
        <f>C10/$B$5</f>
        <v/>
      </c>
      <c r="E10" s="9">
        <f>IF(D10=0,"",$B$4/D10)</f>
        <v/>
      </c>
      <c r="F10" s="10">
        <f>B10*D10/$B$4</f>
        <v/>
      </c>
      <c r="G10" s="11">
        <f>F10/$B$3</f>
        <v/>
      </c>
      <c r="H10" s="10">
        <f>SUM($F$8:F10)</f>
        <v/>
      </c>
    </row>
    <row r="11">
      <c r="A11" s="2" t="inlineStr">
        <is>
          <t>2等</t>
        </is>
      </c>
      <c r="B11" s="3" t="n">
        <v>10000000</v>
      </c>
      <c r="C11" s="7" t="n">
        <v>184</v>
      </c>
      <c r="D11" s="8">
        <f>C11/$B$5</f>
        <v/>
      </c>
      <c r="E11" s="9">
        <f>IF(D11=0,"",$B$4/D11)</f>
        <v/>
      </c>
      <c r="F11" s="10">
        <f>B11*D11/$B$4</f>
        <v/>
      </c>
      <c r="G11" s="11">
        <f>F11/$B$3</f>
        <v/>
      </c>
      <c r="H11" s="10">
        <f>SUM($F$8:F11)</f>
        <v/>
      </c>
    </row>
    <row r="12">
      <c r="A12" s="2" t="inlineStr">
        <is>
          <t>3等</t>
        </is>
      </c>
      <c r="B12" s="3" t="n">
        <v>1000000</v>
      </c>
      <c r="C12" s="7" t="n">
        <v>9200</v>
      </c>
      <c r="D12" s="8">
        <f>C12/$B$5</f>
        <v/>
      </c>
      <c r="E12" s="9">
        <f>IF(D12=0,"",$B$4/D12)</f>
        <v/>
      </c>
      <c r="F12" s="10">
        <f>B12*D12/$B$4</f>
        <v/>
      </c>
      <c r="G12" s="11">
        <f>F12/$B$3</f>
        <v/>
      </c>
      <c r="H12" s="10">
        <f>SUM($F$8:F12)</f>
        <v/>
      </c>
    </row>
    <row r="13">
      <c r="A13" s="2" t="inlineStr">
        <is>
          <t>4等</t>
        </is>
      </c>
      <c r="B13" s="3" t="n">
        <v>50000</v>
      </c>
      <c r="C13" s="7" t="n">
        <v>46000</v>
      </c>
      <c r="D13" s="8">
        <f>C13/$B$5</f>
        <v/>
      </c>
      <c r="E13" s="9">
        <f>IF(D13=0,"",$B$4/D13)</f>
        <v/>
      </c>
      <c r="F13" s="10">
        <f>B13*D13/$B$4</f>
        <v/>
      </c>
      <c r="G13" s="11">
        <f>F13/$B$3</f>
        <v/>
      </c>
      <c r="H13" s="10">
        <f>SUM($F$8:F13)</f>
        <v/>
      </c>
    </row>
    <row r="14">
      <c r="A14" s="2" t="inlineStr">
        <is>
          <t>5等</t>
        </is>
      </c>
      <c r="B14" s="3" t="n">
        <v>10000</v>
      </c>
      <c r="C14" s="7" t="n">
        <v>460000</v>
      </c>
      <c r="D14" s="8">
        <f>C14/$B$5</f>
        <v/>
      </c>
      <c r="E14" s="9">
        <f>IF(D14=0,"",$B$4/D14)</f>
        <v/>
      </c>
      <c r="F14" s="10">
        <f>B14*D14/$B$4</f>
        <v/>
      </c>
      <c r="G14" s="11">
        <f>F14/$B$3</f>
        <v/>
      </c>
      <c r="H14" s="10">
        <f>SUM($F$8:F14)</f>
        <v/>
      </c>
    </row>
    <row r="15">
      <c r="A15" s="2" t="inlineStr">
        <is>
          <t>6等</t>
        </is>
      </c>
      <c r="B15" s="3" t="n">
        <v>3000</v>
      </c>
      <c r="C15" s="7" t="n">
        <v>4600000</v>
      </c>
      <c r="D15" s="8">
        <f>C15/$B$5</f>
        <v/>
      </c>
      <c r="E15" s="9">
        <f>IF(D15=0,"",$B$4/D15)</f>
        <v/>
      </c>
      <c r="F15" s="10">
        <f>B15*D15/$B$4</f>
        <v/>
      </c>
      <c r="G15" s="11">
        <f>F15/$B$3</f>
        <v/>
      </c>
      <c r="H15" s="10">
        <f>SUM($F$8:F15)</f>
        <v/>
      </c>
    </row>
    <row r="16">
      <c r="A16" s="2" t="inlineStr">
        <is>
          <t>7等</t>
        </is>
      </c>
      <c r="B16" s="3" t="n">
        <v>300</v>
      </c>
      <c r="C16" s="7" t="n">
        <v>46000000</v>
      </c>
      <c r="D16" s="8">
        <f>C16/$B$5</f>
        <v/>
      </c>
      <c r="E16" s="9">
        <f>IF(D16=0,"",$B$4/D16)</f>
        <v/>
      </c>
      <c r="F16" s="10">
        <f>B16*D16/$B$4</f>
        <v/>
      </c>
      <c r="G16" s="11">
        <f>F16/$B$3</f>
        <v/>
      </c>
      <c r="H16" s="10">
        <f>SUM($F$8:F16)</f>
        <v/>
      </c>
    </row>
    <row r="17">
      <c r="A17" s="12" t="inlineStr">
        <is>
          <t>合計</t>
        </is>
      </c>
      <c r="C17" s="13">
        <f>SUM(C8:C16)</f>
        <v/>
      </c>
      <c r="D17" s="13">
        <f>SUM(D8:D16)</f>
        <v/>
      </c>
      <c r="F17" s="14">
        <f>SUM(F8:F16)</f>
        <v/>
      </c>
      <c r="G17" s="15">
        <f>SUM(G8:G16)</f>
        <v/>
      </c>
    </row>
    <row r="19">
      <c r="A19" s="16" t="inlineStr">
        <is>
          <t>金額帯ごとの期待値と本数（全ユニット）</t>
        </is>
      </c>
    </row>
    <row r="20" ht="32" customHeight="1">
      <c r="A20" s="6" t="inlineStr">
        <is>
          <t>金額帯</t>
        </is>
      </c>
      <c r="B20" s="6" t="inlineStr">
        <is>
          <t>下限</t>
        </is>
      </c>
      <c r="C20" s="6" t="inlineStr">
        <is>
          <t>上限（未満）</t>
        </is>
      </c>
      <c r="D20" s="6" t="inlineStr">
        <is>
          <t>2024年 期待値</t>
        </is>
      </c>
      <c r="E20" s="6" t="inlineStr">
        <is>
          <t>2025年 期待値</t>
        </is>
      </c>
      <c r="F20" s="6" t="inlineStr">
        <is>
          <t>差</t>
        </is>
      </c>
      <c r="G20" s="6" t="inlineStr">
        <is>
          <t>2024年 本数</t>
        </is>
      </c>
      <c r="H20" s="6" t="inlineStr">
        <is>
          <t>2025年 本数</t>
        </is>
      </c>
      <c r="I20" s="6" t="inlineStr">
        <is>
          <t>本数の倍率</t>
        </is>
      </c>
    </row>
    <row r="21">
      <c r="A21" s="2" t="inlineStr">
        <is>
          <t>1億円以上</t>
        </is>
      </c>
      <c r="B21" s="3" t="n">
        <v>100000000</v>
      </c>
      <c r="C21" s="3" t="n">
        <v>1000000000000</v>
      </c>
      <c r="D21" s="10">
        <f>SUMIFS($F$8:$F$16,$B$8:$B$16,"&gt;="&amp;B21,$B$8:$B$16,"&lt;"&amp;C21)</f>
        <v/>
      </c>
      <c r="E21" s="10">
        <f>SUMIFS('1_期待値'!$F$8:$F$16,'1_期待値'!$B$8:$B$16,"&gt;="&amp;B21,'1_期待値'!$B$8:$B$16,"&lt;"&amp;C21)</f>
        <v/>
      </c>
      <c r="F21" s="20">
        <f>E21-D21</f>
        <v/>
      </c>
      <c r="G21" s="8">
        <f>SUMIFS($C$8:$C$16,$B$8:$B$16,"&gt;="&amp;B21,$B$8:$B$16,"&lt;"&amp;C21)</f>
        <v/>
      </c>
      <c r="H21" s="8">
        <f>SUMIFS('1_期待値'!$C$8:$C$16,'1_期待値'!$B$8:$B$16,"&gt;="&amp;B21,'1_期待値'!$B$8:$B$16,"&lt;"&amp;C21)</f>
        <v/>
      </c>
      <c r="I21" s="21">
        <f>IF(G21=0,"",H21/G21)</f>
        <v/>
      </c>
    </row>
    <row r="22">
      <c r="A22" s="2" t="inlineStr">
        <is>
          <t>100万円〜1億円未満</t>
        </is>
      </c>
      <c r="B22" s="3" t="n">
        <v>1000000</v>
      </c>
      <c r="C22" s="3" t="n">
        <v>100000000</v>
      </c>
      <c r="D22" s="10">
        <f>SUMIFS($F$8:$F$16,$B$8:$B$16,"&gt;="&amp;B22,$B$8:$B$16,"&lt;"&amp;C22)</f>
        <v/>
      </c>
      <c r="E22" s="10">
        <f>SUMIFS('1_期待値'!$F$8:$F$16,'1_期待値'!$B$8:$B$16,"&gt;="&amp;B22,'1_期待値'!$B$8:$B$16,"&lt;"&amp;C22)</f>
        <v/>
      </c>
      <c r="F22" s="20">
        <f>E22-D22</f>
        <v/>
      </c>
      <c r="G22" s="8">
        <f>SUMIFS($C$8:$C$16,$B$8:$B$16,"&gt;="&amp;B22,$B$8:$B$16,"&lt;"&amp;C22)</f>
        <v/>
      </c>
      <c r="H22" s="8">
        <f>SUMIFS('1_期待値'!$C$8:$C$16,'1_期待値'!$B$8:$B$16,"&gt;="&amp;B22,'1_期待値'!$B$8:$B$16,"&lt;"&amp;C22)</f>
        <v/>
      </c>
      <c r="I22" s="21">
        <f>IF(G22=0,"",H22/G22)</f>
        <v/>
      </c>
    </row>
    <row r="23">
      <c r="A23" s="2" t="inlineStr">
        <is>
          <t>1万円〜100万円未満</t>
        </is>
      </c>
      <c r="B23" s="3" t="n">
        <v>10000</v>
      </c>
      <c r="C23" s="3" t="n">
        <v>1000000</v>
      </c>
      <c r="D23" s="10">
        <f>SUMIFS($F$8:$F$16,$B$8:$B$16,"&gt;="&amp;B23,$B$8:$B$16,"&lt;"&amp;C23)</f>
        <v/>
      </c>
      <c r="E23" s="10">
        <f>SUMIFS('1_期待値'!$F$8:$F$16,'1_期待値'!$B$8:$B$16,"&gt;="&amp;B23,'1_期待値'!$B$8:$B$16,"&lt;"&amp;C23)</f>
        <v/>
      </c>
      <c r="F23" s="20">
        <f>E23-D23</f>
        <v/>
      </c>
      <c r="G23" s="8">
        <f>SUMIFS($C$8:$C$16,$B$8:$B$16,"&gt;="&amp;B23,$B$8:$B$16,"&lt;"&amp;C23)</f>
        <v/>
      </c>
      <c r="H23" s="8">
        <f>SUMIFS('1_期待値'!$C$8:$C$16,'1_期待値'!$B$8:$B$16,"&gt;="&amp;B23,'1_期待値'!$B$8:$B$16,"&lt;"&amp;C23)</f>
        <v/>
      </c>
      <c r="I23" s="21">
        <f>IF(G23=0,"",H23/G23)</f>
        <v/>
      </c>
    </row>
    <row r="24">
      <c r="A24" s="2" t="inlineStr">
        <is>
          <t>1万円未満</t>
        </is>
      </c>
      <c r="B24" s="3" t="n">
        <v>0</v>
      </c>
      <c r="C24" s="3" t="n">
        <v>10000</v>
      </c>
      <c r="D24" s="10">
        <f>SUMIFS($F$8:$F$16,$B$8:$B$16,"&gt;="&amp;B24,$B$8:$B$16,"&lt;"&amp;C24)</f>
        <v/>
      </c>
      <c r="E24" s="10">
        <f>SUMIFS('1_期待値'!$F$8:$F$16,'1_期待値'!$B$8:$B$16,"&gt;="&amp;B24,'1_期待値'!$B$8:$B$16,"&lt;"&amp;C24)</f>
        <v/>
      </c>
      <c r="F24" s="20">
        <f>E24-D24</f>
        <v/>
      </c>
      <c r="G24" s="8">
        <f>SUMIFS($C$8:$C$16,$B$8:$B$16,"&gt;="&amp;B24,$B$8:$B$16,"&lt;"&amp;C24)</f>
        <v/>
      </c>
      <c r="H24" s="8">
        <f>SUMIFS('1_期待値'!$C$8:$C$16,'1_期待値'!$B$8:$B$16,"&gt;="&amp;B24,'1_期待値'!$B$8:$B$16,"&lt;"&amp;C24)</f>
        <v/>
      </c>
      <c r="I24" s="21">
        <f>IF(G24=0,"",H24/G24)</f>
        <v/>
      </c>
    </row>
    <row r="25">
      <c r="A25" s="12" t="inlineStr">
        <is>
          <t>計</t>
        </is>
      </c>
      <c r="D25" s="14">
        <f>SUM(D21:D24)</f>
        <v/>
      </c>
      <c r="E25" s="14">
        <f>SUM(E21:E24)</f>
        <v/>
      </c>
      <c r="F25" s="14">
        <f>SUM(F21:F24)</f>
        <v/>
      </c>
      <c r="G25" s="13">
        <f>SUM(G21:G24)</f>
        <v/>
      </c>
      <c r="H25" s="13">
        <f>SUM(H21:H24)</f>
        <v/>
      </c>
    </row>
    <row r="27">
      <c r="A27" s="2" t="inlineStr">
        <is>
          <t>1万円以上の本数 2024年</t>
        </is>
      </c>
      <c r="B27" s="8">
        <f>SUMIFS($C$8:$C$16,$B$8:$B$16,"&gt;=10000")</f>
        <v/>
      </c>
    </row>
    <row r="28">
      <c r="A28" s="2" t="inlineStr">
        <is>
          <t>1万円以上の本数 2025年</t>
        </is>
      </c>
      <c r="B28" s="8">
        <f>SUMIFS('1_期待値'!$C$8:$C$16,'1_期待値'!$B$8:$B$16,"&gt;=10000")</f>
        <v/>
      </c>
    </row>
    <row r="29">
      <c r="A29" s="2" t="inlineStr">
        <is>
          <t>1万円以上の倍率</t>
        </is>
      </c>
      <c r="B29" s="22">
        <f>B28/B27</f>
        <v/>
      </c>
    </row>
    <row r="30">
      <c r="A30" s="2" t="inlineStr">
        <is>
          <t>100万円以上の本数 2024年</t>
        </is>
      </c>
      <c r="B30" s="8">
        <f>SUMIFS($C$8:$C$16,$B$8:$B$16,"&gt;=1000000")</f>
        <v/>
      </c>
    </row>
    <row r="31">
      <c r="A31" s="2" t="inlineStr">
        <is>
          <t>100万円以上の本数 2025年</t>
        </is>
      </c>
      <c r="B31" s="8">
        <f>SUMIFS('1_期待値'!$C$8:$C$16,'1_期待値'!$B$8:$B$16,"&gt;=1000000")</f>
        <v/>
      </c>
    </row>
    <row r="32">
      <c r="A32" s="2" t="inlineStr">
        <is>
          <t>100万円以上の倍率</t>
        </is>
      </c>
      <c r="B32" s="23">
        <f>B31/B30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0" customWidth="1" min="3" max="3"/>
    <col width="10" customWidth="1" min="4" max="4"/>
    <col width="12" customWidth="1" min="5" max="5"/>
    <col width="12" customWidth="1" min="6" max="6"/>
    <col width="40" customWidth="1" min="8" max="8"/>
    <col width="14" customWidth="1" min="9" max="9"/>
  </cols>
  <sheetData>
    <row r="1">
      <c r="A1" s="1" t="inlineStr">
        <is>
          <t>連番10枚（下1ケタ0〜9）で戻る額。下3ケタの「10の位までの並び」100通りを全部数える</t>
        </is>
      </c>
    </row>
    <row r="2">
      <c r="A2" t="inlineStr">
        <is>
          <t>黄色の欄に当せん番号の下ケタを入れる。初めの値は第1082回の当せん番号（5等は下3ケタ3本、6等は下2ケタ1本、7等は下1ケタ1本）</t>
        </is>
      </c>
    </row>
    <row r="3">
      <c r="A3" s="2" t="inlineStr">
        <is>
          <t>5等 下3ケタ その1</t>
        </is>
      </c>
      <c r="B3" s="24" t="n">
        <v>345</v>
      </c>
    </row>
    <row r="4">
      <c r="A4" s="2" t="inlineStr">
        <is>
          <t>5等 下3ケタ その2</t>
        </is>
      </c>
      <c r="B4" s="24" t="n">
        <v>819</v>
      </c>
    </row>
    <row r="5">
      <c r="A5" s="2" t="inlineStr">
        <is>
          <t>5等 下3ケタ その3</t>
        </is>
      </c>
      <c r="B5" s="24" t="n">
        <v>350</v>
      </c>
    </row>
    <row r="6">
      <c r="A6" s="2" t="inlineStr">
        <is>
          <t>6等 下2ケタ</t>
        </is>
      </c>
      <c r="B6" s="25" t="n">
        <v>2</v>
      </c>
    </row>
    <row r="7">
      <c r="A7" s="2" t="inlineStr">
        <is>
          <t>7等 下1ケタ</t>
        </is>
      </c>
      <c r="B7" s="26" t="n">
        <v>0</v>
      </c>
    </row>
    <row r="8">
      <c r="A8" s="2" t="inlineStr">
        <is>
          <t>5等の当せん金</t>
        </is>
      </c>
      <c r="B8" s="3" t="n">
        <v>10000</v>
      </c>
    </row>
    <row r="9">
      <c r="A9" s="2" t="inlineStr">
        <is>
          <t>6等の当せん金</t>
        </is>
      </c>
      <c r="B9" s="3" t="n">
        <v>3000</v>
      </c>
    </row>
    <row r="10">
      <c r="A10" s="2" t="inlineStr">
        <is>
          <t>7等の当せん金</t>
        </is>
      </c>
      <c r="B10" s="3" t="n">
        <v>300</v>
      </c>
    </row>
    <row r="11">
      <c r="A11" s="2" t="inlineStr">
        <is>
          <t>10枚の値段</t>
        </is>
      </c>
      <c r="B11" s="3" t="n">
        <v>3000</v>
      </c>
    </row>
    <row r="14">
      <c r="A14" s="6" t="inlineStr">
        <is>
          <t>10枚の下3ケタ</t>
        </is>
      </c>
      <c r="B14" s="6" t="inlineStr">
        <is>
          <t>5等の本数</t>
        </is>
      </c>
      <c r="C14" s="6" t="inlineStr">
        <is>
          <t>6等</t>
        </is>
      </c>
      <c r="D14" s="6" t="inlineStr">
        <is>
          <t>7等</t>
        </is>
      </c>
      <c r="E14" s="6" t="inlineStr">
        <is>
          <t>戻る額</t>
        </is>
      </c>
      <c r="F14" s="6" t="inlineStr">
        <is>
          <t>300円だけか</t>
        </is>
      </c>
      <c r="H14" s="6" t="inlineStr">
        <is>
          <t>要約（100通りのうち）</t>
        </is>
      </c>
      <c r="I14" s="6" t="inlineStr">
        <is>
          <t>値</t>
        </is>
      </c>
    </row>
    <row r="15">
      <c r="A15" s="27">
        <f>TEXT(0*10,"000")&amp;"〜"&amp;TEXT(0*10+9,"000")</f>
        <v/>
      </c>
      <c r="B15" s="28">
        <f>(INT($B$3/10)=0)+(INT($B$4/10)=0)+(INT($B$5/10)=0)</f>
        <v/>
      </c>
      <c r="C15" s="28">
        <f>IF(INT($B$6/10)=MOD(0,10),1,0)</f>
        <v/>
      </c>
      <c r="D15" s="28" t="n">
        <v>1</v>
      </c>
      <c r="E15" s="18">
        <f>B15*$B$8+C15*$B$9+D15*$B$10</f>
        <v/>
      </c>
      <c r="F15" s="19">
        <f>IF(E15=$B$10,"300円だけ","")</f>
        <v/>
      </c>
      <c r="H15" s="2" t="inlineStr">
        <is>
          <t>300円だけ戻る並び</t>
        </is>
      </c>
      <c r="I15" s="29">
        <f>COUNTIF(E15:E114,$B$10)</f>
        <v/>
      </c>
    </row>
    <row r="16">
      <c r="A16" s="27">
        <f>TEXT(1*10,"000")&amp;"〜"&amp;TEXT(1*10+9,"000")</f>
        <v/>
      </c>
      <c r="B16" s="28">
        <f>(INT($B$3/10)=1)+(INT($B$4/10)=1)+(INT($B$5/10)=1)</f>
        <v/>
      </c>
      <c r="C16" s="28">
        <f>IF(INT($B$6/10)=MOD(1,10),1,0)</f>
        <v/>
      </c>
      <c r="D16" s="28" t="n">
        <v>1</v>
      </c>
      <c r="E16" s="18">
        <f>B16*$B$8+C16*$B$9+D16*$B$10</f>
        <v/>
      </c>
      <c r="F16" s="19">
        <f>IF(E16=$B$10,"300円だけ","")</f>
        <v/>
      </c>
      <c r="H16" s="2" t="inlineStr">
        <is>
          <t>300円だけの確率</t>
        </is>
      </c>
      <c r="I16" s="30">
        <f>I15/100</f>
        <v/>
      </c>
    </row>
    <row r="17">
      <c r="A17" s="27">
        <f>TEXT(2*10,"000")&amp;"〜"&amp;TEXT(2*10+9,"000")</f>
        <v/>
      </c>
      <c r="B17" s="28">
        <f>(INT($B$3/10)=2)+(INT($B$4/10)=2)+(INT($B$5/10)=2)</f>
        <v/>
      </c>
      <c r="C17" s="28">
        <f>IF(INT($B$6/10)=MOD(2,10),1,0)</f>
        <v/>
      </c>
      <c r="D17" s="28" t="n">
        <v>1</v>
      </c>
      <c r="E17" s="18">
        <f>B17*$B$8+C17*$B$9+D17*$B$10</f>
        <v/>
      </c>
      <c r="F17" s="19">
        <f>IF(E17=$B$10,"300円だけ","")</f>
        <v/>
      </c>
      <c r="H17" s="2" t="inlineStr">
        <is>
          <t>3,000円以上戻る並び</t>
        </is>
      </c>
      <c r="I17" s="29">
        <f>COUNTIF(E15:E114,"&gt;="&amp;$B$11)</f>
        <v/>
      </c>
    </row>
    <row r="18">
      <c r="A18" s="27">
        <f>TEXT(3*10,"000")&amp;"〜"&amp;TEXT(3*10+9,"000")</f>
        <v/>
      </c>
      <c r="B18" s="28">
        <f>(INT($B$3/10)=3)+(INT($B$4/10)=3)+(INT($B$5/10)=3)</f>
        <v/>
      </c>
      <c r="C18" s="28">
        <f>IF(INT($B$6/10)=MOD(3,10),1,0)</f>
        <v/>
      </c>
      <c r="D18" s="28" t="n">
        <v>1</v>
      </c>
      <c r="E18" s="18">
        <f>B18*$B$8+C18*$B$9+D18*$B$10</f>
        <v/>
      </c>
      <c r="F18" s="19">
        <f>IF(E18=$B$10,"300円だけ","")</f>
        <v/>
      </c>
      <c r="H18" s="2" t="inlineStr">
        <is>
          <t>5等〜7等で戻る額の平均</t>
        </is>
      </c>
      <c r="I18" s="18">
        <f>AVERAGE(E15:E114)</f>
        <v/>
      </c>
    </row>
    <row r="19">
      <c r="A19" s="27">
        <f>TEXT(4*10,"000")&amp;"〜"&amp;TEXT(4*10+9,"000")</f>
        <v/>
      </c>
      <c r="B19" s="28">
        <f>(INT($B$3/10)=4)+(INT($B$4/10)=4)+(INT($B$5/10)=4)</f>
        <v/>
      </c>
      <c r="C19" s="28">
        <f>IF(INT($B$6/10)=MOD(4,10),1,0)</f>
        <v/>
      </c>
      <c r="D19" s="28" t="n">
        <v>1</v>
      </c>
      <c r="E19" s="18">
        <f>B19*$B$8+C19*$B$9+D19*$B$10</f>
        <v/>
      </c>
      <c r="F19" s="19">
        <f>IF(E19=$B$10,"300円だけ","")</f>
        <v/>
      </c>
      <c r="H19" s="2" t="inlineStr">
        <is>
          <t>10枚の期待値（1_期待値の10倍）</t>
        </is>
      </c>
      <c r="I19" s="10">
        <f>'1_期待値'!F17*10</f>
        <v/>
      </c>
    </row>
    <row r="20">
      <c r="A20" s="27">
        <f>TEXT(5*10,"000")&amp;"〜"&amp;TEXT(5*10+9,"000")</f>
        <v/>
      </c>
      <c r="B20" s="28">
        <f>(INT($B$3/10)=5)+(INT($B$4/10)=5)+(INT($B$5/10)=5)</f>
        <v/>
      </c>
      <c r="C20" s="28">
        <f>IF(INT($B$6/10)=MOD(5,10),1,0)</f>
        <v/>
      </c>
      <c r="D20" s="28" t="n">
        <v>1</v>
      </c>
      <c r="E20" s="18">
        <f>B20*$B$8+C20*$B$9+D20*$B$10</f>
        <v/>
      </c>
      <c r="F20" s="19">
        <f>IF(E20=$B$10,"300円だけ","")</f>
        <v/>
      </c>
      <c r="H20" s="2" t="inlineStr">
        <is>
          <t>うち4等より上の分</t>
        </is>
      </c>
      <c r="I20" s="10">
        <f>I19-I18</f>
        <v/>
      </c>
    </row>
    <row r="21">
      <c r="A21" s="27">
        <f>TEXT(6*10,"000")&amp;"〜"&amp;TEXT(6*10+9,"000")</f>
        <v/>
      </c>
      <c r="B21" s="28">
        <f>(INT($B$3/10)=6)+(INT($B$4/10)=6)+(INT($B$5/10)=6)</f>
        <v/>
      </c>
      <c r="C21" s="28">
        <f>IF(INT($B$6/10)=MOD(6,10),1,0)</f>
        <v/>
      </c>
      <c r="D21" s="28" t="n">
        <v>1</v>
      </c>
      <c r="E21" s="18">
        <f>B21*$B$8+C21*$B$9+D21*$B$10</f>
        <v/>
      </c>
      <c r="F21" s="19">
        <f>IF(E21=$B$10,"300円だけ","")</f>
        <v/>
      </c>
      <c r="H21" s="2" t="inlineStr">
        <is>
          <t>4等より上が10枚のどれかに当たる確率</t>
        </is>
      </c>
      <c r="I21" s="31">
        <f>10*SUMIFS('1_期待値'!D8:D16,'1_期待値'!B8:B16,"&gt;10000")/'1_期待値'!B4</f>
        <v/>
      </c>
    </row>
    <row r="22">
      <c r="A22" s="27">
        <f>TEXT(7*10,"000")&amp;"〜"&amp;TEXT(7*10+9,"000")</f>
        <v/>
      </c>
      <c r="B22" s="28">
        <f>(INT($B$3/10)=7)+(INT($B$4/10)=7)+(INT($B$5/10)=7)</f>
        <v/>
      </c>
      <c r="C22" s="28">
        <f>IF(INT($B$6/10)=MOD(7,10),1,0)</f>
        <v/>
      </c>
      <c r="D22" s="28" t="n">
        <v>1</v>
      </c>
      <c r="E22" s="18">
        <f>B22*$B$8+C22*$B$9+D22*$B$10</f>
        <v/>
      </c>
      <c r="F22" s="19">
        <f>IF(E22=$B$10,"300円だけ","")</f>
        <v/>
      </c>
    </row>
    <row r="23">
      <c r="A23" s="27">
        <f>TEXT(8*10,"000")&amp;"〜"&amp;TEXT(8*10+9,"000")</f>
        <v/>
      </c>
      <c r="B23" s="28">
        <f>(INT($B$3/10)=8)+(INT($B$4/10)=8)+(INT($B$5/10)=8)</f>
        <v/>
      </c>
      <c r="C23" s="28">
        <f>IF(INT($B$6/10)=MOD(8,10),1,0)</f>
        <v/>
      </c>
      <c r="D23" s="28" t="n">
        <v>1</v>
      </c>
      <c r="E23" s="18">
        <f>B23*$B$8+C23*$B$9+D23*$B$10</f>
        <v/>
      </c>
      <c r="F23" s="19">
        <f>IF(E23=$B$10,"300円だけ","")</f>
        <v/>
      </c>
      <c r="H23" t="inlineStr">
        <is>
          <t>6等は下2ケタなので、10枚の10の位が当せん番号の10の位と同じなら1枚当たる。</t>
        </is>
      </c>
    </row>
    <row r="24">
      <c r="A24" s="27">
        <f>TEXT(9*10,"000")&amp;"〜"&amp;TEXT(9*10+9,"000")</f>
        <v/>
      </c>
      <c r="B24" s="28">
        <f>(INT($B$3/10)=9)+(INT($B$4/10)=9)+(INT($B$5/10)=9)</f>
        <v/>
      </c>
      <c r="C24" s="28">
        <f>IF(INT($B$6/10)=MOD(9,10),1,0)</f>
        <v/>
      </c>
      <c r="D24" s="28" t="n">
        <v>1</v>
      </c>
      <c r="E24" s="18">
        <f>B24*$B$8+C24*$B$9+D24*$B$10</f>
        <v/>
      </c>
      <c r="F24" s="19">
        <f>IF(E24=$B$10,"300円だけ","")</f>
        <v/>
      </c>
      <c r="H24" t="inlineStr">
        <is>
          <t>5等の3本が同じ10の位に入る年は、5等の並びが減る。</t>
        </is>
      </c>
    </row>
    <row r="25">
      <c r="A25" s="27">
        <f>TEXT(10*10,"000")&amp;"〜"&amp;TEXT(10*10+9,"000")</f>
        <v/>
      </c>
      <c r="B25" s="28">
        <f>(INT($B$3/10)=10)+(INT($B$4/10)=10)+(INT($B$5/10)=10)</f>
        <v/>
      </c>
      <c r="C25" s="28">
        <f>IF(INT($B$6/10)=MOD(10,10),1,0)</f>
        <v/>
      </c>
      <c r="D25" s="28" t="n">
        <v>1</v>
      </c>
      <c r="E25" s="18">
        <f>B25*$B$8+C25*$B$9+D25*$B$10</f>
        <v/>
      </c>
      <c r="F25" s="19">
        <f>IF(E25=$B$10,"300円だけ","")</f>
        <v/>
      </c>
    </row>
    <row r="26">
      <c r="A26" s="27">
        <f>TEXT(11*10,"000")&amp;"〜"&amp;TEXT(11*10+9,"000")</f>
        <v/>
      </c>
      <c r="B26" s="28">
        <f>(INT($B$3/10)=11)+(INT($B$4/10)=11)+(INT($B$5/10)=11)</f>
        <v/>
      </c>
      <c r="C26" s="28">
        <f>IF(INT($B$6/10)=MOD(11,10),1,0)</f>
        <v/>
      </c>
      <c r="D26" s="28" t="n">
        <v>1</v>
      </c>
      <c r="E26" s="18">
        <f>B26*$B$8+C26*$B$9+D26*$B$10</f>
        <v/>
      </c>
      <c r="F26" s="19">
        <f>IF(E26=$B$10,"300円だけ","")</f>
        <v/>
      </c>
    </row>
    <row r="27">
      <c r="A27" s="27">
        <f>TEXT(12*10,"000")&amp;"〜"&amp;TEXT(12*10+9,"000")</f>
        <v/>
      </c>
      <c r="B27" s="28">
        <f>(INT($B$3/10)=12)+(INT($B$4/10)=12)+(INT($B$5/10)=12)</f>
        <v/>
      </c>
      <c r="C27" s="28">
        <f>IF(INT($B$6/10)=MOD(12,10),1,0)</f>
        <v/>
      </c>
      <c r="D27" s="28" t="n">
        <v>1</v>
      </c>
      <c r="E27" s="18">
        <f>B27*$B$8+C27*$B$9+D27*$B$10</f>
        <v/>
      </c>
      <c r="F27" s="19">
        <f>IF(E27=$B$10,"300円だけ","")</f>
        <v/>
      </c>
    </row>
    <row r="28">
      <c r="A28" s="27">
        <f>TEXT(13*10,"000")&amp;"〜"&amp;TEXT(13*10+9,"000")</f>
        <v/>
      </c>
      <c r="B28" s="28">
        <f>(INT($B$3/10)=13)+(INT($B$4/10)=13)+(INT($B$5/10)=13)</f>
        <v/>
      </c>
      <c r="C28" s="28">
        <f>IF(INT($B$6/10)=MOD(13,10),1,0)</f>
        <v/>
      </c>
      <c r="D28" s="28" t="n">
        <v>1</v>
      </c>
      <c r="E28" s="18">
        <f>B28*$B$8+C28*$B$9+D28*$B$10</f>
        <v/>
      </c>
      <c r="F28" s="19">
        <f>IF(E28=$B$10,"300円だけ","")</f>
        <v/>
      </c>
    </row>
    <row r="29">
      <c r="A29" s="27">
        <f>TEXT(14*10,"000")&amp;"〜"&amp;TEXT(14*10+9,"000")</f>
        <v/>
      </c>
      <c r="B29" s="28">
        <f>(INT($B$3/10)=14)+(INT($B$4/10)=14)+(INT($B$5/10)=14)</f>
        <v/>
      </c>
      <c r="C29" s="28">
        <f>IF(INT($B$6/10)=MOD(14,10),1,0)</f>
        <v/>
      </c>
      <c r="D29" s="28" t="n">
        <v>1</v>
      </c>
      <c r="E29" s="18">
        <f>B29*$B$8+C29*$B$9+D29*$B$10</f>
        <v/>
      </c>
      <c r="F29" s="19">
        <f>IF(E29=$B$10,"300円だけ","")</f>
        <v/>
      </c>
    </row>
    <row r="30">
      <c r="A30" s="27">
        <f>TEXT(15*10,"000")&amp;"〜"&amp;TEXT(15*10+9,"000")</f>
        <v/>
      </c>
      <c r="B30" s="28">
        <f>(INT($B$3/10)=15)+(INT($B$4/10)=15)+(INT($B$5/10)=15)</f>
        <v/>
      </c>
      <c r="C30" s="28">
        <f>IF(INT($B$6/10)=MOD(15,10),1,0)</f>
        <v/>
      </c>
      <c r="D30" s="28" t="n">
        <v>1</v>
      </c>
      <c r="E30" s="18">
        <f>B30*$B$8+C30*$B$9+D30*$B$10</f>
        <v/>
      </c>
      <c r="F30" s="19">
        <f>IF(E30=$B$10,"300円だけ","")</f>
        <v/>
      </c>
    </row>
    <row r="31">
      <c r="A31" s="27">
        <f>TEXT(16*10,"000")&amp;"〜"&amp;TEXT(16*10+9,"000")</f>
        <v/>
      </c>
      <c r="B31" s="28">
        <f>(INT($B$3/10)=16)+(INT($B$4/10)=16)+(INT($B$5/10)=16)</f>
        <v/>
      </c>
      <c r="C31" s="28">
        <f>IF(INT($B$6/10)=MOD(16,10),1,0)</f>
        <v/>
      </c>
      <c r="D31" s="28" t="n">
        <v>1</v>
      </c>
      <c r="E31" s="18">
        <f>B31*$B$8+C31*$B$9+D31*$B$10</f>
        <v/>
      </c>
      <c r="F31" s="19">
        <f>IF(E31=$B$10,"300円だけ","")</f>
        <v/>
      </c>
    </row>
    <row r="32">
      <c r="A32" s="27">
        <f>TEXT(17*10,"000")&amp;"〜"&amp;TEXT(17*10+9,"000")</f>
        <v/>
      </c>
      <c r="B32" s="28">
        <f>(INT($B$3/10)=17)+(INT($B$4/10)=17)+(INT($B$5/10)=17)</f>
        <v/>
      </c>
      <c r="C32" s="28">
        <f>IF(INT($B$6/10)=MOD(17,10),1,0)</f>
        <v/>
      </c>
      <c r="D32" s="28" t="n">
        <v>1</v>
      </c>
      <c r="E32" s="18">
        <f>B32*$B$8+C32*$B$9+D32*$B$10</f>
        <v/>
      </c>
      <c r="F32" s="19">
        <f>IF(E32=$B$10,"300円だけ","")</f>
        <v/>
      </c>
    </row>
    <row r="33">
      <c r="A33" s="27">
        <f>TEXT(18*10,"000")&amp;"〜"&amp;TEXT(18*10+9,"000")</f>
        <v/>
      </c>
      <c r="B33" s="28">
        <f>(INT($B$3/10)=18)+(INT($B$4/10)=18)+(INT($B$5/10)=18)</f>
        <v/>
      </c>
      <c r="C33" s="28">
        <f>IF(INT($B$6/10)=MOD(18,10),1,0)</f>
        <v/>
      </c>
      <c r="D33" s="28" t="n">
        <v>1</v>
      </c>
      <c r="E33" s="18">
        <f>B33*$B$8+C33*$B$9+D33*$B$10</f>
        <v/>
      </c>
      <c r="F33" s="19">
        <f>IF(E33=$B$10,"300円だけ","")</f>
        <v/>
      </c>
    </row>
    <row r="34">
      <c r="A34" s="27">
        <f>TEXT(19*10,"000")&amp;"〜"&amp;TEXT(19*10+9,"000")</f>
        <v/>
      </c>
      <c r="B34" s="28">
        <f>(INT($B$3/10)=19)+(INT($B$4/10)=19)+(INT($B$5/10)=19)</f>
        <v/>
      </c>
      <c r="C34" s="28">
        <f>IF(INT($B$6/10)=MOD(19,10),1,0)</f>
        <v/>
      </c>
      <c r="D34" s="28" t="n">
        <v>1</v>
      </c>
      <c r="E34" s="18">
        <f>B34*$B$8+C34*$B$9+D34*$B$10</f>
        <v/>
      </c>
      <c r="F34" s="19">
        <f>IF(E34=$B$10,"300円だけ","")</f>
        <v/>
      </c>
    </row>
    <row r="35">
      <c r="A35" s="27">
        <f>TEXT(20*10,"000")&amp;"〜"&amp;TEXT(20*10+9,"000")</f>
        <v/>
      </c>
      <c r="B35" s="28">
        <f>(INT($B$3/10)=20)+(INT($B$4/10)=20)+(INT($B$5/10)=20)</f>
        <v/>
      </c>
      <c r="C35" s="28">
        <f>IF(INT($B$6/10)=MOD(20,10),1,0)</f>
        <v/>
      </c>
      <c r="D35" s="28" t="n">
        <v>1</v>
      </c>
      <c r="E35" s="18">
        <f>B35*$B$8+C35*$B$9+D35*$B$10</f>
        <v/>
      </c>
      <c r="F35" s="19">
        <f>IF(E35=$B$10,"300円だけ","")</f>
        <v/>
      </c>
    </row>
    <row r="36">
      <c r="A36" s="27">
        <f>TEXT(21*10,"000")&amp;"〜"&amp;TEXT(21*10+9,"000")</f>
        <v/>
      </c>
      <c r="B36" s="28">
        <f>(INT($B$3/10)=21)+(INT($B$4/10)=21)+(INT($B$5/10)=21)</f>
        <v/>
      </c>
      <c r="C36" s="28">
        <f>IF(INT($B$6/10)=MOD(21,10),1,0)</f>
        <v/>
      </c>
      <c r="D36" s="28" t="n">
        <v>1</v>
      </c>
      <c r="E36" s="18">
        <f>B36*$B$8+C36*$B$9+D36*$B$10</f>
        <v/>
      </c>
      <c r="F36" s="19">
        <f>IF(E36=$B$10,"300円だけ","")</f>
        <v/>
      </c>
    </row>
    <row r="37">
      <c r="A37" s="27">
        <f>TEXT(22*10,"000")&amp;"〜"&amp;TEXT(22*10+9,"000")</f>
        <v/>
      </c>
      <c r="B37" s="28">
        <f>(INT($B$3/10)=22)+(INT($B$4/10)=22)+(INT($B$5/10)=22)</f>
        <v/>
      </c>
      <c r="C37" s="28">
        <f>IF(INT($B$6/10)=MOD(22,10),1,0)</f>
        <v/>
      </c>
      <c r="D37" s="28" t="n">
        <v>1</v>
      </c>
      <c r="E37" s="18">
        <f>B37*$B$8+C37*$B$9+D37*$B$10</f>
        <v/>
      </c>
      <c r="F37" s="19">
        <f>IF(E37=$B$10,"300円だけ","")</f>
        <v/>
      </c>
    </row>
    <row r="38">
      <c r="A38" s="27">
        <f>TEXT(23*10,"000")&amp;"〜"&amp;TEXT(23*10+9,"000")</f>
        <v/>
      </c>
      <c r="B38" s="28">
        <f>(INT($B$3/10)=23)+(INT($B$4/10)=23)+(INT($B$5/10)=23)</f>
        <v/>
      </c>
      <c r="C38" s="28">
        <f>IF(INT($B$6/10)=MOD(23,10),1,0)</f>
        <v/>
      </c>
      <c r="D38" s="28" t="n">
        <v>1</v>
      </c>
      <c r="E38" s="18">
        <f>B38*$B$8+C38*$B$9+D38*$B$10</f>
        <v/>
      </c>
      <c r="F38" s="19">
        <f>IF(E38=$B$10,"300円だけ","")</f>
        <v/>
      </c>
    </row>
    <row r="39">
      <c r="A39" s="27">
        <f>TEXT(24*10,"000")&amp;"〜"&amp;TEXT(24*10+9,"000")</f>
        <v/>
      </c>
      <c r="B39" s="28">
        <f>(INT($B$3/10)=24)+(INT($B$4/10)=24)+(INT($B$5/10)=24)</f>
        <v/>
      </c>
      <c r="C39" s="28">
        <f>IF(INT($B$6/10)=MOD(24,10),1,0)</f>
        <v/>
      </c>
      <c r="D39" s="28" t="n">
        <v>1</v>
      </c>
      <c r="E39" s="18">
        <f>B39*$B$8+C39*$B$9+D39*$B$10</f>
        <v/>
      </c>
      <c r="F39" s="19">
        <f>IF(E39=$B$10,"300円だけ","")</f>
        <v/>
      </c>
    </row>
    <row r="40">
      <c r="A40" s="27">
        <f>TEXT(25*10,"000")&amp;"〜"&amp;TEXT(25*10+9,"000")</f>
        <v/>
      </c>
      <c r="B40" s="28">
        <f>(INT($B$3/10)=25)+(INT($B$4/10)=25)+(INT($B$5/10)=25)</f>
        <v/>
      </c>
      <c r="C40" s="28">
        <f>IF(INT($B$6/10)=MOD(25,10),1,0)</f>
        <v/>
      </c>
      <c r="D40" s="28" t="n">
        <v>1</v>
      </c>
      <c r="E40" s="18">
        <f>B40*$B$8+C40*$B$9+D40*$B$10</f>
        <v/>
      </c>
      <c r="F40" s="19">
        <f>IF(E40=$B$10,"300円だけ","")</f>
        <v/>
      </c>
    </row>
    <row r="41">
      <c r="A41" s="27">
        <f>TEXT(26*10,"000")&amp;"〜"&amp;TEXT(26*10+9,"000")</f>
        <v/>
      </c>
      <c r="B41" s="28">
        <f>(INT($B$3/10)=26)+(INT($B$4/10)=26)+(INT($B$5/10)=26)</f>
        <v/>
      </c>
      <c r="C41" s="28">
        <f>IF(INT($B$6/10)=MOD(26,10),1,0)</f>
        <v/>
      </c>
      <c r="D41" s="28" t="n">
        <v>1</v>
      </c>
      <c r="E41" s="18">
        <f>B41*$B$8+C41*$B$9+D41*$B$10</f>
        <v/>
      </c>
      <c r="F41" s="19">
        <f>IF(E41=$B$10,"300円だけ","")</f>
        <v/>
      </c>
    </row>
    <row r="42">
      <c r="A42" s="27">
        <f>TEXT(27*10,"000")&amp;"〜"&amp;TEXT(27*10+9,"000")</f>
        <v/>
      </c>
      <c r="B42" s="28">
        <f>(INT($B$3/10)=27)+(INT($B$4/10)=27)+(INT($B$5/10)=27)</f>
        <v/>
      </c>
      <c r="C42" s="28">
        <f>IF(INT($B$6/10)=MOD(27,10),1,0)</f>
        <v/>
      </c>
      <c r="D42" s="28" t="n">
        <v>1</v>
      </c>
      <c r="E42" s="18">
        <f>B42*$B$8+C42*$B$9+D42*$B$10</f>
        <v/>
      </c>
      <c r="F42" s="19">
        <f>IF(E42=$B$10,"300円だけ","")</f>
        <v/>
      </c>
    </row>
    <row r="43">
      <c r="A43" s="27">
        <f>TEXT(28*10,"000")&amp;"〜"&amp;TEXT(28*10+9,"000")</f>
        <v/>
      </c>
      <c r="B43" s="28">
        <f>(INT($B$3/10)=28)+(INT($B$4/10)=28)+(INT($B$5/10)=28)</f>
        <v/>
      </c>
      <c r="C43" s="28">
        <f>IF(INT($B$6/10)=MOD(28,10),1,0)</f>
        <v/>
      </c>
      <c r="D43" s="28" t="n">
        <v>1</v>
      </c>
      <c r="E43" s="18">
        <f>B43*$B$8+C43*$B$9+D43*$B$10</f>
        <v/>
      </c>
      <c r="F43" s="19">
        <f>IF(E43=$B$10,"300円だけ","")</f>
        <v/>
      </c>
    </row>
    <row r="44">
      <c r="A44" s="27">
        <f>TEXT(29*10,"000")&amp;"〜"&amp;TEXT(29*10+9,"000")</f>
        <v/>
      </c>
      <c r="B44" s="28">
        <f>(INT($B$3/10)=29)+(INT($B$4/10)=29)+(INT($B$5/10)=29)</f>
        <v/>
      </c>
      <c r="C44" s="28">
        <f>IF(INT($B$6/10)=MOD(29,10),1,0)</f>
        <v/>
      </c>
      <c r="D44" s="28" t="n">
        <v>1</v>
      </c>
      <c r="E44" s="18">
        <f>B44*$B$8+C44*$B$9+D44*$B$10</f>
        <v/>
      </c>
      <c r="F44" s="19">
        <f>IF(E44=$B$10,"300円だけ","")</f>
        <v/>
      </c>
    </row>
    <row r="45">
      <c r="A45" s="27">
        <f>TEXT(30*10,"000")&amp;"〜"&amp;TEXT(30*10+9,"000")</f>
        <v/>
      </c>
      <c r="B45" s="28">
        <f>(INT($B$3/10)=30)+(INT($B$4/10)=30)+(INT($B$5/10)=30)</f>
        <v/>
      </c>
      <c r="C45" s="28">
        <f>IF(INT($B$6/10)=MOD(30,10),1,0)</f>
        <v/>
      </c>
      <c r="D45" s="28" t="n">
        <v>1</v>
      </c>
      <c r="E45" s="18">
        <f>B45*$B$8+C45*$B$9+D45*$B$10</f>
        <v/>
      </c>
      <c r="F45" s="19">
        <f>IF(E45=$B$10,"300円だけ","")</f>
        <v/>
      </c>
    </row>
    <row r="46">
      <c r="A46" s="27">
        <f>TEXT(31*10,"000")&amp;"〜"&amp;TEXT(31*10+9,"000")</f>
        <v/>
      </c>
      <c r="B46" s="28">
        <f>(INT($B$3/10)=31)+(INT($B$4/10)=31)+(INT($B$5/10)=31)</f>
        <v/>
      </c>
      <c r="C46" s="28">
        <f>IF(INT($B$6/10)=MOD(31,10),1,0)</f>
        <v/>
      </c>
      <c r="D46" s="28" t="n">
        <v>1</v>
      </c>
      <c r="E46" s="18">
        <f>B46*$B$8+C46*$B$9+D46*$B$10</f>
        <v/>
      </c>
      <c r="F46" s="19">
        <f>IF(E46=$B$10,"300円だけ","")</f>
        <v/>
      </c>
    </row>
    <row r="47">
      <c r="A47" s="27">
        <f>TEXT(32*10,"000")&amp;"〜"&amp;TEXT(32*10+9,"000")</f>
        <v/>
      </c>
      <c r="B47" s="28">
        <f>(INT($B$3/10)=32)+(INT($B$4/10)=32)+(INT($B$5/10)=32)</f>
        <v/>
      </c>
      <c r="C47" s="28">
        <f>IF(INT($B$6/10)=MOD(32,10),1,0)</f>
        <v/>
      </c>
      <c r="D47" s="28" t="n">
        <v>1</v>
      </c>
      <c r="E47" s="18">
        <f>B47*$B$8+C47*$B$9+D47*$B$10</f>
        <v/>
      </c>
      <c r="F47" s="19">
        <f>IF(E47=$B$10,"300円だけ","")</f>
        <v/>
      </c>
    </row>
    <row r="48">
      <c r="A48" s="27">
        <f>TEXT(33*10,"000")&amp;"〜"&amp;TEXT(33*10+9,"000")</f>
        <v/>
      </c>
      <c r="B48" s="28">
        <f>(INT($B$3/10)=33)+(INT($B$4/10)=33)+(INT($B$5/10)=33)</f>
        <v/>
      </c>
      <c r="C48" s="28">
        <f>IF(INT($B$6/10)=MOD(33,10),1,0)</f>
        <v/>
      </c>
      <c r="D48" s="28" t="n">
        <v>1</v>
      </c>
      <c r="E48" s="18">
        <f>B48*$B$8+C48*$B$9+D48*$B$10</f>
        <v/>
      </c>
      <c r="F48" s="19">
        <f>IF(E48=$B$10,"300円だけ","")</f>
        <v/>
      </c>
    </row>
    <row r="49">
      <c r="A49" s="27">
        <f>TEXT(34*10,"000")&amp;"〜"&amp;TEXT(34*10+9,"000")</f>
        <v/>
      </c>
      <c r="B49" s="28">
        <f>(INT($B$3/10)=34)+(INT($B$4/10)=34)+(INT($B$5/10)=34)</f>
        <v/>
      </c>
      <c r="C49" s="28">
        <f>IF(INT($B$6/10)=MOD(34,10),1,0)</f>
        <v/>
      </c>
      <c r="D49" s="28" t="n">
        <v>1</v>
      </c>
      <c r="E49" s="18">
        <f>B49*$B$8+C49*$B$9+D49*$B$10</f>
        <v/>
      </c>
      <c r="F49" s="19">
        <f>IF(E49=$B$10,"300円だけ","")</f>
        <v/>
      </c>
    </row>
    <row r="50">
      <c r="A50" s="27">
        <f>TEXT(35*10,"000")&amp;"〜"&amp;TEXT(35*10+9,"000")</f>
        <v/>
      </c>
      <c r="B50" s="28">
        <f>(INT($B$3/10)=35)+(INT($B$4/10)=35)+(INT($B$5/10)=35)</f>
        <v/>
      </c>
      <c r="C50" s="28">
        <f>IF(INT($B$6/10)=MOD(35,10),1,0)</f>
        <v/>
      </c>
      <c r="D50" s="28" t="n">
        <v>1</v>
      </c>
      <c r="E50" s="18">
        <f>B50*$B$8+C50*$B$9+D50*$B$10</f>
        <v/>
      </c>
      <c r="F50" s="19">
        <f>IF(E50=$B$10,"300円だけ","")</f>
        <v/>
      </c>
    </row>
    <row r="51">
      <c r="A51" s="27">
        <f>TEXT(36*10,"000")&amp;"〜"&amp;TEXT(36*10+9,"000")</f>
        <v/>
      </c>
      <c r="B51" s="28">
        <f>(INT($B$3/10)=36)+(INT($B$4/10)=36)+(INT($B$5/10)=36)</f>
        <v/>
      </c>
      <c r="C51" s="28">
        <f>IF(INT($B$6/10)=MOD(36,10),1,0)</f>
        <v/>
      </c>
      <c r="D51" s="28" t="n">
        <v>1</v>
      </c>
      <c r="E51" s="18">
        <f>B51*$B$8+C51*$B$9+D51*$B$10</f>
        <v/>
      </c>
      <c r="F51" s="19">
        <f>IF(E51=$B$10,"300円だけ","")</f>
        <v/>
      </c>
    </row>
    <row r="52">
      <c r="A52" s="27">
        <f>TEXT(37*10,"000")&amp;"〜"&amp;TEXT(37*10+9,"000")</f>
        <v/>
      </c>
      <c r="B52" s="28">
        <f>(INT($B$3/10)=37)+(INT($B$4/10)=37)+(INT($B$5/10)=37)</f>
        <v/>
      </c>
      <c r="C52" s="28">
        <f>IF(INT($B$6/10)=MOD(37,10),1,0)</f>
        <v/>
      </c>
      <c r="D52" s="28" t="n">
        <v>1</v>
      </c>
      <c r="E52" s="18">
        <f>B52*$B$8+C52*$B$9+D52*$B$10</f>
        <v/>
      </c>
      <c r="F52" s="19">
        <f>IF(E52=$B$10,"300円だけ","")</f>
        <v/>
      </c>
    </row>
    <row r="53">
      <c r="A53" s="27">
        <f>TEXT(38*10,"000")&amp;"〜"&amp;TEXT(38*10+9,"000")</f>
        <v/>
      </c>
      <c r="B53" s="28">
        <f>(INT($B$3/10)=38)+(INT($B$4/10)=38)+(INT($B$5/10)=38)</f>
        <v/>
      </c>
      <c r="C53" s="28">
        <f>IF(INT($B$6/10)=MOD(38,10),1,0)</f>
        <v/>
      </c>
      <c r="D53" s="28" t="n">
        <v>1</v>
      </c>
      <c r="E53" s="18">
        <f>B53*$B$8+C53*$B$9+D53*$B$10</f>
        <v/>
      </c>
      <c r="F53" s="19">
        <f>IF(E53=$B$10,"300円だけ","")</f>
        <v/>
      </c>
    </row>
    <row r="54">
      <c r="A54" s="27">
        <f>TEXT(39*10,"000")&amp;"〜"&amp;TEXT(39*10+9,"000")</f>
        <v/>
      </c>
      <c r="B54" s="28">
        <f>(INT($B$3/10)=39)+(INT($B$4/10)=39)+(INT($B$5/10)=39)</f>
        <v/>
      </c>
      <c r="C54" s="28">
        <f>IF(INT($B$6/10)=MOD(39,10),1,0)</f>
        <v/>
      </c>
      <c r="D54" s="28" t="n">
        <v>1</v>
      </c>
      <c r="E54" s="18">
        <f>B54*$B$8+C54*$B$9+D54*$B$10</f>
        <v/>
      </c>
      <c r="F54" s="19">
        <f>IF(E54=$B$10,"300円だけ","")</f>
        <v/>
      </c>
    </row>
    <row r="55">
      <c r="A55" s="27">
        <f>TEXT(40*10,"000")&amp;"〜"&amp;TEXT(40*10+9,"000")</f>
        <v/>
      </c>
      <c r="B55" s="28">
        <f>(INT($B$3/10)=40)+(INT($B$4/10)=40)+(INT($B$5/10)=40)</f>
        <v/>
      </c>
      <c r="C55" s="28">
        <f>IF(INT($B$6/10)=MOD(40,10),1,0)</f>
        <v/>
      </c>
      <c r="D55" s="28" t="n">
        <v>1</v>
      </c>
      <c r="E55" s="18">
        <f>B55*$B$8+C55*$B$9+D55*$B$10</f>
        <v/>
      </c>
      <c r="F55" s="19">
        <f>IF(E55=$B$10,"300円だけ","")</f>
        <v/>
      </c>
    </row>
    <row r="56">
      <c r="A56" s="27">
        <f>TEXT(41*10,"000")&amp;"〜"&amp;TEXT(41*10+9,"000")</f>
        <v/>
      </c>
      <c r="B56" s="28">
        <f>(INT($B$3/10)=41)+(INT($B$4/10)=41)+(INT($B$5/10)=41)</f>
        <v/>
      </c>
      <c r="C56" s="28">
        <f>IF(INT($B$6/10)=MOD(41,10),1,0)</f>
        <v/>
      </c>
      <c r="D56" s="28" t="n">
        <v>1</v>
      </c>
      <c r="E56" s="18">
        <f>B56*$B$8+C56*$B$9+D56*$B$10</f>
        <v/>
      </c>
      <c r="F56" s="19">
        <f>IF(E56=$B$10,"300円だけ","")</f>
        <v/>
      </c>
    </row>
    <row r="57">
      <c r="A57" s="27">
        <f>TEXT(42*10,"000")&amp;"〜"&amp;TEXT(42*10+9,"000")</f>
        <v/>
      </c>
      <c r="B57" s="28">
        <f>(INT($B$3/10)=42)+(INT($B$4/10)=42)+(INT($B$5/10)=42)</f>
        <v/>
      </c>
      <c r="C57" s="28">
        <f>IF(INT($B$6/10)=MOD(42,10),1,0)</f>
        <v/>
      </c>
      <c r="D57" s="28" t="n">
        <v>1</v>
      </c>
      <c r="E57" s="18">
        <f>B57*$B$8+C57*$B$9+D57*$B$10</f>
        <v/>
      </c>
      <c r="F57" s="19">
        <f>IF(E57=$B$10,"300円だけ","")</f>
        <v/>
      </c>
    </row>
    <row r="58">
      <c r="A58" s="27">
        <f>TEXT(43*10,"000")&amp;"〜"&amp;TEXT(43*10+9,"000")</f>
        <v/>
      </c>
      <c r="B58" s="28">
        <f>(INT($B$3/10)=43)+(INT($B$4/10)=43)+(INT($B$5/10)=43)</f>
        <v/>
      </c>
      <c r="C58" s="28">
        <f>IF(INT($B$6/10)=MOD(43,10),1,0)</f>
        <v/>
      </c>
      <c r="D58" s="28" t="n">
        <v>1</v>
      </c>
      <c r="E58" s="18">
        <f>B58*$B$8+C58*$B$9+D58*$B$10</f>
        <v/>
      </c>
      <c r="F58" s="19">
        <f>IF(E58=$B$10,"300円だけ","")</f>
        <v/>
      </c>
    </row>
    <row r="59">
      <c r="A59" s="27">
        <f>TEXT(44*10,"000")&amp;"〜"&amp;TEXT(44*10+9,"000")</f>
        <v/>
      </c>
      <c r="B59" s="28">
        <f>(INT($B$3/10)=44)+(INT($B$4/10)=44)+(INT($B$5/10)=44)</f>
        <v/>
      </c>
      <c r="C59" s="28">
        <f>IF(INT($B$6/10)=MOD(44,10),1,0)</f>
        <v/>
      </c>
      <c r="D59" s="28" t="n">
        <v>1</v>
      </c>
      <c r="E59" s="18">
        <f>B59*$B$8+C59*$B$9+D59*$B$10</f>
        <v/>
      </c>
      <c r="F59" s="19">
        <f>IF(E59=$B$10,"300円だけ","")</f>
        <v/>
      </c>
    </row>
    <row r="60">
      <c r="A60" s="27">
        <f>TEXT(45*10,"000")&amp;"〜"&amp;TEXT(45*10+9,"000")</f>
        <v/>
      </c>
      <c r="B60" s="28">
        <f>(INT($B$3/10)=45)+(INT($B$4/10)=45)+(INT($B$5/10)=45)</f>
        <v/>
      </c>
      <c r="C60" s="28">
        <f>IF(INT($B$6/10)=MOD(45,10),1,0)</f>
        <v/>
      </c>
      <c r="D60" s="28" t="n">
        <v>1</v>
      </c>
      <c r="E60" s="18">
        <f>B60*$B$8+C60*$B$9+D60*$B$10</f>
        <v/>
      </c>
      <c r="F60" s="19">
        <f>IF(E60=$B$10,"300円だけ","")</f>
        <v/>
      </c>
    </row>
    <row r="61">
      <c r="A61" s="27">
        <f>TEXT(46*10,"000")&amp;"〜"&amp;TEXT(46*10+9,"000")</f>
        <v/>
      </c>
      <c r="B61" s="28">
        <f>(INT($B$3/10)=46)+(INT($B$4/10)=46)+(INT($B$5/10)=46)</f>
        <v/>
      </c>
      <c r="C61" s="28">
        <f>IF(INT($B$6/10)=MOD(46,10),1,0)</f>
        <v/>
      </c>
      <c r="D61" s="28" t="n">
        <v>1</v>
      </c>
      <c r="E61" s="18">
        <f>B61*$B$8+C61*$B$9+D61*$B$10</f>
        <v/>
      </c>
      <c r="F61" s="19">
        <f>IF(E61=$B$10,"300円だけ","")</f>
        <v/>
      </c>
    </row>
    <row r="62">
      <c r="A62" s="27">
        <f>TEXT(47*10,"000")&amp;"〜"&amp;TEXT(47*10+9,"000")</f>
        <v/>
      </c>
      <c r="B62" s="28">
        <f>(INT($B$3/10)=47)+(INT($B$4/10)=47)+(INT($B$5/10)=47)</f>
        <v/>
      </c>
      <c r="C62" s="28">
        <f>IF(INT($B$6/10)=MOD(47,10),1,0)</f>
        <v/>
      </c>
      <c r="D62" s="28" t="n">
        <v>1</v>
      </c>
      <c r="E62" s="18">
        <f>B62*$B$8+C62*$B$9+D62*$B$10</f>
        <v/>
      </c>
      <c r="F62" s="19">
        <f>IF(E62=$B$10,"300円だけ","")</f>
        <v/>
      </c>
    </row>
    <row r="63">
      <c r="A63" s="27">
        <f>TEXT(48*10,"000")&amp;"〜"&amp;TEXT(48*10+9,"000")</f>
        <v/>
      </c>
      <c r="B63" s="28">
        <f>(INT($B$3/10)=48)+(INT($B$4/10)=48)+(INT($B$5/10)=48)</f>
        <v/>
      </c>
      <c r="C63" s="28">
        <f>IF(INT($B$6/10)=MOD(48,10),1,0)</f>
        <v/>
      </c>
      <c r="D63" s="28" t="n">
        <v>1</v>
      </c>
      <c r="E63" s="18">
        <f>B63*$B$8+C63*$B$9+D63*$B$10</f>
        <v/>
      </c>
      <c r="F63" s="19">
        <f>IF(E63=$B$10,"300円だけ","")</f>
        <v/>
      </c>
    </row>
    <row r="64">
      <c r="A64" s="27">
        <f>TEXT(49*10,"000")&amp;"〜"&amp;TEXT(49*10+9,"000")</f>
        <v/>
      </c>
      <c r="B64" s="28">
        <f>(INT($B$3/10)=49)+(INT($B$4/10)=49)+(INT($B$5/10)=49)</f>
        <v/>
      </c>
      <c r="C64" s="28">
        <f>IF(INT($B$6/10)=MOD(49,10),1,0)</f>
        <v/>
      </c>
      <c r="D64" s="28" t="n">
        <v>1</v>
      </c>
      <c r="E64" s="18">
        <f>B64*$B$8+C64*$B$9+D64*$B$10</f>
        <v/>
      </c>
      <c r="F64" s="19">
        <f>IF(E64=$B$10,"300円だけ","")</f>
        <v/>
      </c>
    </row>
    <row r="65">
      <c r="A65" s="27">
        <f>TEXT(50*10,"000")&amp;"〜"&amp;TEXT(50*10+9,"000")</f>
        <v/>
      </c>
      <c r="B65" s="28">
        <f>(INT($B$3/10)=50)+(INT($B$4/10)=50)+(INT($B$5/10)=50)</f>
        <v/>
      </c>
      <c r="C65" s="28">
        <f>IF(INT($B$6/10)=MOD(50,10),1,0)</f>
        <v/>
      </c>
      <c r="D65" s="28" t="n">
        <v>1</v>
      </c>
      <c r="E65" s="18">
        <f>B65*$B$8+C65*$B$9+D65*$B$10</f>
        <v/>
      </c>
      <c r="F65" s="19">
        <f>IF(E65=$B$10,"300円だけ","")</f>
        <v/>
      </c>
    </row>
    <row r="66">
      <c r="A66" s="27">
        <f>TEXT(51*10,"000")&amp;"〜"&amp;TEXT(51*10+9,"000")</f>
        <v/>
      </c>
      <c r="B66" s="28">
        <f>(INT($B$3/10)=51)+(INT($B$4/10)=51)+(INT($B$5/10)=51)</f>
        <v/>
      </c>
      <c r="C66" s="28">
        <f>IF(INT($B$6/10)=MOD(51,10),1,0)</f>
        <v/>
      </c>
      <c r="D66" s="28" t="n">
        <v>1</v>
      </c>
      <c r="E66" s="18">
        <f>B66*$B$8+C66*$B$9+D66*$B$10</f>
        <v/>
      </c>
      <c r="F66" s="19">
        <f>IF(E66=$B$10,"300円だけ","")</f>
        <v/>
      </c>
    </row>
    <row r="67">
      <c r="A67" s="27">
        <f>TEXT(52*10,"000")&amp;"〜"&amp;TEXT(52*10+9,"000")</f>
        <v/>
      </c>
      <c r="B67" s="28">
        <f>(INT($B$3/10)=52)+(INT($B$4/10)=52)+(INT($B$5/10)=52)</f>
        <v/>
      </c>
      <c r="C67" s="28">
        <f>IF(INT($B$6/10)=MOD(52,10),1,0)</f>
        <v/>
      </c>
      <c r="D67" s="28" t="n">
        <v>1</v>
      </c>
      <c r="E67" s="18">
        <f>B67*$B$8+C67*$B$9+D67*$B$10</f>
        <v/>
      </c>
      <c r="F67" s="19">
        <f>IF(E67=$B$10,"300円だけ","")</f>
        <v/>
      </c>
    </row>
    <row r="68">
      <c r="A68" s="27">
        <f>TEXT(53*10,"000")&amp;"〜"&amp;TEXT(53*10+9,"000")</f>
        <v/>
      </c>
      <c r="B68" s="28">
        <f>(INT($B$3/10)=53)+(INT($B$4/10)=53)+(INT($B$5/10)=53)</f>
        <v/>
      </c>
      <c r="C68" s="28">
        <f>IF(INT($B$6/10)=MOD(53,10),1,0)</f>
        <v/>
      </c>
      <c r="D68" s="28" t="n">
        <v>1</v>
      </c>
      <c r="E68" s="18">
        <f>B68*$B$8+C68*$B$9+D68*$B$10</f>
        <v/>
      </c>
      <c r="F68" s="19">
        <f>IF(E68=$B$10,"300円だけ","")</f>
        <v/>
      </c>
    </row>
    <row r="69">
      <c r="A69" s="27">
        <f>TEXT(54*10,"000")&amp;"〜"&amp;TEXT(54*10+9,"000")</f>
        <v/>
      </c>
      <c r="B69" s="28">
        <f>(INT($B$3/10)=54)+(INT($B$4/10)=54)+(INT($B$5/10)=54)</f>
        <v/>
      </c>
      <c r="C69" s="28">
        <f>IF(INT($B$6/10)=MOD(54,10),1,0)</f>
        <v/>
      </c>
      <c r="D69" s="28" t="n">
        <v>1</v>
      </c>
      <c r="E69" s="18">
        <f>B69*$B$8+C69*$B$9+D69*$B$10</f>
        <v/>
      </c>
      <c r="F69" s="19">
        <f>IF(E69=$B$10,"300円だけ","")</f>
        <v/>
      </c>
    </row>
    <row r="70">
      <c r="A70" s="27">
        <f>TEXT(55*10,"000")&amp;"〜"&amp;TEXT(55*10+9,"000")</f>
        <v/>
      </c>
      <c r="B70" s="28">
        <f>(INT($B$3/10)=55)+(INT($B$4/10)=55)+(INT($B$5/10)=55)</f>
        <v/>
      </c>
      <c r="C70" s="28">
        <f>IF(INT($B$6/10)=MOD(55,10),1,0)</f>
        <v/>
      </c>
      <c r="D70" s="28" t="n">
        <v>1</v>
      </c>
      <c r="E70" s="18">
        <f>B70*$B$8+C70*$B$9+D70*$B$10</f>
        <v/>
      </c>
      <c r="F70" s="19">
        <f>IF(E70=$B$10,"300円だけ","")</f>
        <v/>
      </c>
    </row>
    <row r="71">
      <c r="A71" s="27">
        <f>TEXT(56*10,"000")&amp;"〜"&amp;TEXT(56*10+9,"000")</f>
        <v/>
      </c>
      <c r="B71" s="28">
        <f>(INT($B$3/10)=56)+(INT($B$4/10)=56)+(INT($B$5/10)=56)</f>
        <v/>
      </c>
      <c r="C71" s="28">
        <f>IF(INT($B$6/10)=MOD(56,10),1,0)</f>
        <v/>
      </c>
      <c r="D71" s="28" t="n">
        <v>1</v>
      </c>
      <c r="E71" s="18">
        <f>B71*$B$8+C71*$B$9+D71*$B$10</f>
        <v/>
      </c>
      <c r="F71" s="19">
        <f>IF(E71=$B$10,"300円だけ","")</f>
        <v/>
      </c>
    </row>
    <row r="72">
      <c r="A72" s="27">
        <f>TEXT(57*10,"000")&amp;"〜"&amp;TEXT(57*10+9,"000")</f>
        <v/>
      </c>
      <c r="B72" s="28">
        <f>(INT($B$3/10)=57)+(INT($B$4/10)=57)+(INT($B$5/10)=57)</f>
        <v/>
      </c>
      <c r="C72" s="28">
        <f>IF(INT($B$6/10)=MOD(57,10),1,0)</f>
        <v/>
      </c>
      <c r="D72" s="28" t="n">
        <v>1</v>
      </c>
      <c r="E72" s="18">
        <f>B72*$B$8+C72*$B$9+D72*$B$10</f>
        <v/>
      </c>
      <c r="F72" s="19">
        <f>IF(E72=$B$10,"300円だけ","")</f>
        <v/>
      </c>
    </row>
    <row r="73">
      <c r="A73" s="27">
        <f>TEXT(58*10,"000")&amp;"〜"&amp;TEXT(58*10+9,"000")</f>
        <v/>
      </c>
      <c r="B73" s="28">
        <f>(INT($B$3/10)=58)+(INT($B$4/10)=58)+(INT($B$5/10)=58)</f>
        <v/>
      </c>
      <c r="C73" s="28">
        <f>IF(INT($B$6/10)=MOD(58,10),1,0)</f>
        <v/>
      </c>
      <c r="D73" s="28" t="n">
        <v>1</v>
      </c>
      <c r="E73" s="18">
        <f>B73*$B$8+C73*$B$9+D73*$B$10</f>
        <v/>
      </c>
      <c r="F73" s="19">
        <f>IF(E73=$B$10,"300円だけ","")</f>
        <v/>
      </c>
    </row>
    <row r="74">
      <c r="A74" s="27">
        <f>TEXT(59*10,"000")&amp;"〜"&amp;TEXT(59*10+9,"000")</f>
        <v/>
      </c>
      <c r="B74" s="28">
        <f>(INT($B$3/10)=59)+(INT($B$4/10)=59)+(INT($B$5/10)=59)</f>
        <v/>
      </c>
      <c r="C74" s="28">
        <f>IF(INT($B$6/10)=MOD(59,10),1,0)</f>
        <v/>
      </c>
      <c r="D74" s="28" t="n">
        <v>1</v>
      </c>
      <c r="E74" s="18">
        <f>B74*$B$8+C74*$B$9+D74*$B$10</f>
        <v/>
      </c>
      <c r="F74" s="19">
        <f>IF(E74=$B$10,"300円だけ","")</f>
        <v/>
      </c>
    </row>
    <row r="75">
      <c r="A75" s="27">
        <f>TEXT(60*10,"000")&amp;"〜"&amp;TEXT(60*10+9,"000")</f>
        <v/>
      </c>
      <c r="B75" s="28">
        <f>(INT($B$3/10)=60)+(INT($B$4/10)=60)+(INT($B$5/10)=60)</f>
        <v/>
      </c>
      <c r="C75" s="28">
        <f>IF(INT($B$6/10)=MOD(60,10),1,0)</f>
        <v/>
      </c>
      <c r="D75" s="28" t="n">
        <v>1</v>
      </c>
      <c r="E75" s="18">
        <f>B75*$B$8+C75*$B$9+D75*$B$10</f>
        <v/>
      </c>
      <c r="F75" s="19">
        <f>IF(E75=$B$10,"300円だけ","")</f>
        <v/>
      </c>
    </row>
    <row r="76">
      <c r="A76" s="27">
        <f>TEXT(61*10,"000")&amp;"〜"&amp;TEXT(61*10+9,"000")</f>
        <v/>
      </c>
      <c r="B76" s="28">
        <f>(INT($B$3/10)=61)+(INT($B$4/10)=61)+(INT($B$5/10)=61)</f>
        <v/>
      </c>
      <c r="C76" s="28">
        <f>IF(INT($B$6/10)=MOD(61,10),1,0)</f>
        <v/>
      </c>
      <c r="D76" s="28" t="n">
        <v>1</v>
      </c>
      <c r="E76" s="18">
        <f>B76*$B$8+C76*$B$9+D76*$B$10</f>
        <v/>
      </c>
      <c r="F76" s="19">
        <f>IF(E76=$B$10,"300円だけ","")</f>
        <v/>
      </c>
    </row>
    <row r="77">
      <c r="A77" s="27">
        <f>TEXT(62*10,"000")&amp;"〜"&amp;TEXT(62*10+9,"000")</f>
        <v/>
      </c>
      <c r="B77" s="28">
        <f>(INT($B$3/10)=62)+(INT($B$4/10)=62)+(INT($B$5/10)=62)</f>
        <v/>
      </c>
      <c r="C77" s="28">
        <f>IF(INT($B$6/10)=MOD(62,10),1,0)</f>
        <v/>
      </c>
      <c r="D77" s="28" t="n">
        <v>1</v>
      </c>
      <c r="E77" s="18">
        <f>B77*$B$8+C77*$B$9+D77*$B$10</f>
        <v/>
      </c>
      <c r="F77" s="19">
        <f>IF(E77=$B$10,"300円だけ","")</f>
        <v/>
      </c>
    </row>
    <row r="78">
      <c r="A78" s="27">
        <f>TEXT(63*10,"000")&amp;"〜"&amp;TEXT(63*10+9,"000")</f>
        <v/>
      </c>
      <c r="B78" s="28">
        <f>(INT($B$3/10)=63)+(INT($B$4/10)=63)+(INT($B$5/10)=63)</f>
        <v/>
      </c>
      <c r="C78" s="28">
        <f>IF(INT($B$6/10)=MOD(63,10),1,0)</f>
        <v/>
      </c>
      <c r="D78" s="28" t="n">
        <v>1</v>
      </c>
      <c r="E78" s="18">
        <f>B78*$B$8+C78*$B$9+D78*$B$10</f>
        <v/>
      </c>
      <c r="F78" s="19">
        <f>IF(E78=$B$10,"300円だけ","")</f>
        <v/>
      </c>
    </row>
    <row r="79">
      <c r="A79" s="27">
        <f>TEXT(64*10,"000")&amp;"〜"&amp;TEXT(64*10+9,"000")</f>
        <v/>
      </c>
      <c r="B79" s="28">
        <f>(INT($B$3/10)=64)+(INT($B$4/10)=64)+(INT($B$5/10)=64)</f>
        <v/>
      </c>
      <c r="C79" s="28">
        <f>IF(INT($B$6/10)=MOD(64,10),1,0)</f>
        <v/>
      </c>
      <c r="D79" s="28" t="n">
        <v>1</v>
      </c>
      <c r="E79" s="18">
        <f>B79*$B$8+C79*$B$9+D79*$B$10</f>
        <v/>
      </c>
      <c r="F79" s="19">
        <f>IF(E79=$B$10,"300円だけ","")</f>
        <v/>
      </c>
    </row>
    <row r="80">
      <c r="A80" s="27">
        <f>TEXT(65*10,"000")&amp;"〜"&amp;TEXT(65*10+9,"000")</f>
        <v/>
      </c>
      <c r="B80" s="28">
        <f>(INT($B$3/10)=65)+(INT($B$4/10)=65)+(INT($B$5/10)=65)</f>
        <v/>
      </c>
      <c r="C80" s="28">
        <f>IF(INT($B$6/10)=MOD(65,10),1,0)</f>
        <v/>
      </c>
      <c r="D80" s="28" t="n">
        <v>1</v>
      </c>
      <c r="E80" s="18">
        <f>B80*$B$8+C80*$B$9+D80*$B$10</f>
        <v/>
      </c>
      <c r="F80" s="19">
        <f>IF(E80=$B$10,"300円だけ","")</f>
        <v/>
      </c>
    </row>
    <row r="81">
      <c r="A81" s="27">
        <f>TEXT(66*10,"000")&amp;"〜"&amp;TEXT(66*10+9,"000")</f>
        <v/>
      </c>
      <c r="B81" s="28">
        <f>(INT($B$3/10)=66)+(INT($B$4/10)=66)+(INT($B$5/10)=66)</f>
        <v/>
      </c>
      <c r="C81" s="28">
        <f>IF(INT($B$6/10)=MOD(66,10),1,0)</f>
        <v/>
      </c>
      <c r="D81" s="28" t="n">
        <v>1</v>
      </c>
      <c r="E81" s="18">
        <f>B81*$B$8+C81*$B$9+D81*$B$10</f>
        <v/>
      </c>
      <c r="F81" s="19">
        <f>IF(E81=$B$10,"300円だけ","")</f>
        <v/>
      </c>
    </row>
    <row r="82">
      <c r="A82" s="27">
        <f>TEXT(67*10,"000")&amp;"〜"&amp;TEXT(67*10+9,"000")</f>
        <v/>
      </c>
      <c r="B82" s="28">
        <f>(INT($B$3/10)=67)+(INT($B$4/10)=67)+(INT($B$5/10)=67)</f>
        <v/>
      </c>
      <c r="C82" s="28">
        <f>IF(INT($B$6/10)=MOD(67,10),1,0)</f>
        <v/>
      </c>
      <c r="D82" s="28" t="n">
        <v>1</v>
      </c>
      <c r="E82" s="18">
        <f>B82*$B$8+C82*$B$9+D82*$B$10</f>
        <v/>
      </c>
      <c r="F82" s="19">
        <f>IF(E82=$B$10,"300円だけ","")</f>
        <v/>
      </c>
    </row>
    <row r="83">
      <c r="A83" s="27">
        <f>TEXT(68*10,"000")&amp;"〜"&amp;TEXT(68*10+9,"000")</f>
        <v/>
      </c>
      <c r="B83" s="28">
        <f>(INT($B$3/10)=68)+(INT($B$4/10)=68)+(INT($B$5/10)=68)</f>
        <v/>
      </c>
      <c r="C83" s="28">
        <f>IF(INT($B$6/10)=MOD(68,10),1,0)</f>
        <v/>
      </c>
      <c r="D83" s="28" t="n">
        <v>1</v>
      </c>
      <c r="E83" s="18">
        <f>B83*$B$8+C83*$B$9+D83*$B$10</f>
        <v/>
      </c>
      <c r="F83" s="19">
        <f>IF(E83=$B$10,"300円だけ","")</f>
        <v/>
      </c>
    </row>
    <row r="84">
      <c r="A84" s="27">
        <f>TEXT(69*10,"000")&amp;"〜"&amp;TEXT(69*10+9,"000")</f>
        <v/>
      </c>
      <c r="B84" s="28">
        <f>(INT($B$3/10)=69)+(INT($B$4/10)=69)+(INT($B$5/10)=69)</f>
        <v/>
      </c>
      <c r="C84" s="28">
        <f>IF(INT($B$6/10)=MOD(69,10),1,0)</f>
        <v/>
      </c>
      <c r="D84" s="28" t="n">
        <v>1</v>
      </c>
      <c r="E84" s="18">
        <f>B84*$B$8+C84*$B$9+D84*$B$10</f>
        <v/>
      </c>
      <c r="F84" s="19">
        <f>IF(E84=$B$10,"300円だけ","")</f>
        <v/>
      </c>
    </row>
    <row r="85">
      <c r="A85" s="27">
        <f>TEXT(70*10,"000")&amp;"〜"&amp;TEXT(70*10+9,"000")</f>
        <v/>
      </c>
      <c r="B85" s="28">
        <f>(INT($B$3/10)=70)+(INT($B$4/10)=70)+(INT($B$5/10)=70)</f>
        <v/>
      </c>
      <c r="C85" s="28">
        <f>IF(INT($B$6/10)=MOD(70,10),1,0)</f>
        <v/>
      </c>
      <c r="D85" s="28" t="n">
        <v>1</v>
      </c>
      <c r="E85" s="18">
        <f>B85*$B$8+C85*$B$9+D85*$B$10</f>
        <v/>
      </c>
      <c r="F85" s="19">
        <f>IF(E85=$B$10,"300円だけ","")</f>
        <v/>
      </c>
    </row>
    <row r="86">
      <c r="A86" s="27">
        <f>TEXT(71*10,"000")&amp;"〜"&amp;TEXT(71*10+9,"000")</f>
        <v/>
      </c>
      <c r="B86" s="28">
        <f>(INT($B$3/10)=71)+(INT($B$4/10)=71)+(INT($B$5/10)=71)</f>
        <v/>
      </c>
      <c r="C86" s="28">
        <f>IF(INT($B$6/10)=MOD(71,10),1,0)</f>
        <v/>
      </c>
      <c r="D86" s="28" t="n">
        <v>1</v>
      </c>
      <c r="E86" s="18">
        <f>B86*$B$8+C86*$B$9+D86*$B$10</f>
        <v/>
      </c>
      <c r="F86" s="19">
        <f>IF(E86=$B$10,"300円だけ","")</f>
        <v/>
      </c>
    </row>
    <row r="87">
      <c r="A87" s="27">
        <f>TEXT(72*10,"000")&amp;"〜"&amp;TEXT(72*10+9,"000")</f>
        <v/>
      </c>
      <c r="B87" s="28">
        <f>(INT($B$3/10)=72)+(INT($B$4/10)=72)+(INT($B$5/10)=72)</f>
        <v/>
      </c>
      <c r="C87" s="28">
        <f>IF(INT($B$6/10)=MOD(72,10),1,0)</f>
        <v/>
      </c>
      <c r="D87" s="28" t="n">
        <v>1</v>
      </c>
      <c r="E87" s="18">
        <f>B87*$B$8+C87*$B$9+D87*$B$10</f>
        <v/>
      </c>
      <c r="F87" s="19">
        <f>IF(E87=$B$10,"300円だけ","")</f>
        <v/>
      </c>
    </row>
    <row r="88">
      <c r="A88" s="27">
        <f>TEXT(73*10,"000")&amp;"〜"&amp;TEXT(73*10+9,"000")</f>
        <v/>
      </c>
      <c r="B88" s="28">
        <f>(INT($B$3/10)=73)+(INT($B$4/10)=73)+(INT($B$5/10)=73)</f>
        <v/>
      </c>
      <c r="C88" s="28">
        <f>IF(INT($B$6/10)=MOD(73,10),1,0)</f>
        <v/>
      </c>
      <c r="D88" s="28" t="n">
        <v>1</v>
      </c>
      <c r="E88" s="18">
        <f>B88*$B$8+C88*$B$9+D88*$B$10</f>
        <v/>
      </c>
      <c r="F88" s="19">
        <f>IF(E88=$B$10,"300円だけ","")</f>
        <v/>
      </c>
    </row>
    <row r="89">
      <c r="A89" s="27">
        <f>TEXT(74*10,"000")&amp;"〜"&amp;TEXT(74*10+9,"000")</f>
        <v/>
      </c>
      <c r="B89" s="28">
        <f>(INT($B$3/10)=74)+(INT($B$4/10)=74)+(INT($B$5/10)=74)</f>
        <v/>
      </c>
      <c r="C89" s="28">
        <f>IF(INT($B$6/10)=MOD(74,10),1,0)</f>
        <v/>
      </c>
      <c r="D89" s="28" t="n">
        <v>1</v>
      </c>
      <c r="E89" s="18">
        <f>B89*$B$8+C89*$B$9+D89*$B$10</f>
        <v/>
      </c>
      <c r="F89" s="19">
        <f>IF(E89=$B$10,"300円だけ","")</f>
        <v/>
      </c>
    </row>
    <row r="90">
      <c r="A90" s="27">
        <f>TEXT(75*10,"000")&amp;"〜"&amp;TEXT(75*10+9,"000")</f>
        <v/>
      </c>
      <c r="B90" s="28">
        <f>(INT($B$3/10)=75)+(INT($B$4/10)=75)+(INT($B$5/10)=75)</f>
        <v/>
      </c>
      <c r="C90" s="28">
        <f>IF(INT($B$6/10)=MOD(75,10),1,0)</f>
        <v/>
      </c>
      <c r="D90" s="28" t="n">
        <v>1</v>
      </c>
      <c r="E90" s="18">
        <f>B90*$B$8+C90*$B$9+D90*$B$10</f>
        <v/>
      </c>
      <c r="F90" s="19">
        <f>IF(E90=$B$10,"300円だけ","")</f>
        <v/>
      </c>
    </row>
    <row r="91">
      <c r="A91" s="27">
        <f>TEXT(76*10,"000")&amp;"〜"&amp;TEXT(76*10+9,"000")</f>
        <v/>
      </c>
      <c r="B91" s="28">
        <f>(INT($B$3/10)=76)+(INT($B$4/10)=76)+(INT($B$5/10)=76)</f>
        <v/>
      </c>
      <c r="C91" s="28">
        <f>IF(INT($B$6/10)=MOD(76,10),1,0)</f>
        <v/>
      </c>
      <c r="D91" s="28" t="n">
        <v>1</v>
      </c>
      <c r="E91" s="18">
        <f>B91*$B$8+C91*$B$9+D91*$B$10</f>
        <v/>
      </c>
      <c r="F91" s="19">
        <f>IF(E91=$B$10,"300円だけ","")</f>
        <v/>
      </c>
    </row>
    <row r="92">
      <c r="A92" s="27">
        <f>TEXT(77*10,"000")&amp;"〜"&amp;TEXT(77*10+9,"000")</f>
        <v/>
      </c>
      <c r="B92" s="28">
        <f>(INT($B$3/10)=77)+(INT($B$4/10)=77)+(INT($B$5/10)=77)</f>
        <v/>
      </c>
      <c r="C92" s="28">
        <f>IF(INT($B$6/10)=MOD(77,10),1,0)</f>
        <v/>
      </c>
      <c r="D92" s="28" t="n">
        <v>1</v>
      </c>
      <c r="E92" s="18">
        <f>B92*$B$8+C92*$B$9+D92*$B$10</f>
        <v/>
      </c>
      <c r="F92" s="19">
        <f>IF(E92=$B$10,"300円だけ","")</f>
        <v/>
      </c>
    </row>
    <row r="93">
      <c r="A93" s="27">
        <f>TEXT(78*10,"000")&amp;"〜"&amp;TEXT(78*10+9,"000")</f>
        <v/>
      </c>
      <c r="B93" s="28">
        <f>(INT($B$3/10)=78)+(INT($B$4/10)=78)+(INT($B$5/10)=78)</f>
        <v/>
      </c>
      <c r="C93" s="28">
        <f>IF(INT($B$6/10)=MOD(78,10),1,0)</f>
        <v/>
      </c>
      <c r="D93" s="28" t="n">
        <v>1</v>
      </c>
      <c r="E93" s="18">
        <f>B93*$B$8+C93*$B$9+D93*$B$10</f>
        <v/>
      </c>
      <c r="F93" s="19">
        <f>IF(E93=$B$10,"300円だけ","")</f>
        <v/>
      </c>
    </row>
    <row r="94">
      <c r="A94" s="27">
        <f>TEXT(79*10,"000")&amp;"〜"&amp;TEXT(79*10+9,"000")</f>
        <v/>
      </c>
      <c r="B94" s="28">
        <f>(INT($B$3/10)=79)+(INT($B$4/10)=79)+(INT($B$5/10)=79)</f>
        <v/>
      </c>
      <c r="C94" s="28">
        <f>IF(INT($B$6/10)=MOD(79,10),1,0)</f>
        <v/>
      </c>
      <c r="D94" s="28" t="n">
        <v>1</v>
      </c>
      <c r="E94" s="18">
        <f>B94*$B$8+C94*$B$9+D94*$B$10</f>
        <v/>
      </c>
      <c r="F94" s="19">
        <f>IF(E94=$B$10,"300円だけ","")</f>
        <v/>
      </c>
    </row>
    <row r="95">
      <c r="A95" s="27">
        <f>TEXT(80*10,"000")&amp;"〜"&amp;TEXT(80*10+9,"000")</f>
        <v/>
      </c>
      <c r="B95" s="28">
        <f>(INT($B$3/10)=80)+(INT($B$4/10)=80)+(INT($B$5/10)=80)</f>
        <v/>
      </c>
      <c r="C95" s="28">
        <f>IF(INT($B$6/10)=MOD(80,10),1,0)</f>
        <v/>
      </c>
      <c r="D95" s="28" t="n">
        <v>1</v>
      </c>
      <c r="E95" s="18">
        <f>B95*$B$8+C95*$B$9+D95*$B$10</f>
        <v/>
      </c>
      <c r="F95" s="19">
        <f>IF(E95=$B$10,"300円だけ","")</f>
        <v/>
      </c>
    </row>
    <row r="96">
      <c r="A96" s="27">
        <f>TEXT(81*10,"000")&amp;"〜"&amp;TEXT(81*10+9,"000")</f>
        <v/>
      </c>
      <c r="B96" s="28">
        <f>(INT($B$3/10)=81)+(INT($B$4/10)=81)+(INT($B$5/10)=81)</f>
        <v/>
      </c>
      <c r="C96" s="28">
        <f>IF(INT($B$6/10)=MOD(81,10),1,0)</f>
        <v/>
      </c>
      <c r="D96" s="28" t="n">
        <v>1</v>
      </c>
      <c r="E96" s="18">
        <f>B96*$B$8+C96*$B$9+D96*$B$10</f>
        <v/>
      </c>
      <c r="F96" s="19">
        <f>IF(E96=$B$10,"300円だけ","")</f>
        <v/>
      </c>
    </row>
    <row r="97">
      <c r="A97" s="27">
        <f>TEXT(82*10,"000")&amp;"〜"&amp;TEXT(82*10+9,"000")</f>
        <v/>
      </c>
      <c r="B97" s="28">
        <f>(INT($B$3/10)=82)+(INT($B$4/10)=82)+(INT($B$5/10)=82)</f>
        <v/>
      </c>
      <c r="C97" s="28">
        <f>IF(INT($B$6/10)=MOD(82,10),1,0)</f>
        <v/>
      </c>
      <c r="D97" s="28" t="n">
        <v>1</v>
      </c>
      <c r="E97" s="18">
        <f>B97*$B$8+C97*$B$9+D97*$B$10</f>
        <v/>
      </c>
      <c r="F97" s="19">
        <f>IF(E97=$B$10,"300円だけ","")</f>
        <v/>
      </c>
    </row>
    <row r="98">
      <c r="A98" s="27">
        <f>TEXT(83*10,"000")&amp;"〜"&amp;TEXT(83*10+9,"000")</f>
        <v/>
      </c>
      <c r="B98" s="28">
        <f>(INT($B$3/10)=83)+(INT($B$4/10)=83)+(INT($B$5/10)=83)</f>
        <v/>
      </c>
      <c r="C98" s="28">
        <f>IF(INT($B$6/10)=MOD(83,10),1,0)</f>
        <v/>
      </c>
      <c r="D98" s="28" t="n">
        <v>1</v>
      </c>
      <c r="E98" s="18">
        <f>B98*$B$8+C98*$B$9+D98*$B$10</f>
        <v/>
      </c>
      <c r="F98" s="19">
        <f>IF(E98=$B$10,"300円だけ","")</f>
        <v/>
      </c>
    </row>
    <row r="99">
      <c r="A99" s="27">
        <f>TEXT(84*10,"000")&amp;"〜"&amp;TEXT(84*10+9,"000")</f>
        <v/>
      </c>
      <c r="B99" s="28">
        <f>(INT($B$3/10)=84)+(INT($B$4/10)=84)+(INT($B$5/10)=84)</f>
        <v/>
      </c>
      <c r="C99" s="28">
        <f>IF(INT($B$6/10)=MOD(84,10),1,0)</f>
        <v/>
      </c>
      <c r="D99" s="28" t="n">
        <v>1</v>
      </c>
      <c r="E99" s="18">
        <f>B99*$B$8+C99*$B$9+D99*$B$10</f>
        <v/>
      </c>
      <c r="F99" s="19">
        <f>IF(E99=$B$10,"300円だけ","")</f>
        <v/>
      </c>
    </row>
    <row r="100">
      <c r="A100" s="27">
        <f>TEXT(85*10,"000")&amp;"〜"&amp;TEXT(85*10+9,"000")</f>
        <v/>
      </c>
      <c r="B100" s="28">
        <f>(INT($B$3/10)=85)+(INT($B$4/10)=85)+(INT($B$5/10)=85)</f>
        <v/>
      </c>
      <c r="C100" s="28">
        <f>IF(INT($B$6/10)=MOD(85,10),1,0)</f>
        <v/>
      </c>
      <c r="D100" s="28" t="n">
        <v>1</v>
      </c>
      <c r="E100" s="18">
        <f>B100*$B$8+C100*$B$9+D100*$B$10</f>
        <v/>
      </c>
      <c r="F100" s="19">
        <f>IF(E100=$B$10,"300円だけ","")</f>
        <v/>
      </c>
    </row>
    <row r="101">
      <c r="A101" s="27">
        <f>TEXT(86*10,"000")&amp;"〜"&amp;TEXT(86*10+9,"000")</f>
        <v/>
      </c>
      <c r="B101" s="28">
        <f>(INT($B$3/10)=86)+(INT($B$4/10)=86)+(INT($B$5/10)=86)</f>
        <v/>
      </c>
      <c r="C101" s="28">
        <f>IF(INT($B$6/10)=MOD(86,10),1,0)</f>
        <v/>
      </c>
      <c r="D101" s="28" t="n">
        <v>1</v>
      </c>
      <c r="E101" s="18">
        <f>B101*$B$8+C101*$B$9+D101*$B$10</f>
        <v/>
      </c>
      <c r="F101" s="19">
        <f>IF(E101=$B$10,"300円だけ","")</f>
        <v/>
      </c>
    </row>
    <row r="102">
      <c r="A102" s="27">
        <f>TEXT(87*10,"000")&amp;"〜"&amp;TEXT(87*10+9,"000")</f>
        <v/>
      </c>
      <c r="B102" s="28">
        <f>(INT($B$3/10)=87)+(INT($B$4/10)=87)+(INT($B$5/10)=87)</f>
        <v/>
      </c>
      <c r="C102" s="28">
        <f>IF(INT($B$6/10)=MOD(87,10),1,0)</f>
        <v/>
      </c>
      <c r="D102" s="28" t="n">
        <v>1</v>
      </c>
      <c r="E102" s="18">
        <f>B102*$B$8+C102*$B$9+D102*$B$10</f>
        <v/>
      </c>
      <c r="F102" s="19">
        <f>IF(E102=$B$10,"300円だけ","")</f>
        <v/>
      </c>
    </row>
    <row r="103">
      <c r="A103" s="27">
        <f>TEXT(88*10,"000")&amp;"〜"&amp;TEXT(88*10+9,"000")</f>
        <v/>
      </c>
      <c r="B103" s="28">
        <f>(INT($B$3/10)=88)+(INT($B$4/10)=88)+(INT($B$5/10)=88)</f>
        <v/>
      </c>
      <c r="C103" s="28">
        <f>IF(INT($B$6/10)=MOD(88,10),1,0)</f>
        <v/>
      </c>
      <c r="D103" s="28" t="n">
        <v>1</v>
      </c>
      <c r="E103" s="18">
        <f>B103*$B$8+C103*$B$9+D103*$B$10</f>
        <v/>
      </c>
      <c r="F103" s="19">
        <f>IF(E103=$B$10,"300円だけ","")</f>
        <v/>
      </c>
    </row>
    <row r="104">
      <c r="A104" s="27">
        <f>TEXT(89*10,"000")&amp;"〜"&amp;TEXT(89*10+9,"000")</f>
        <v/>
      </c>
      <c r="B104" s="28">
        <f>(INT($B$3/10)=89)+(INT($B$4/10)=89)+(INT($B$5/10)=89)</f>
        <v/>
      </c>
      <c r="C104" s="28">
        <f>IF(INT($B$6/10)=MOD(89,10),1,0)</f>
        <v/>
      </c>
      <c r="D104" s="28" t="n">
        <v>1</v>
      </c>
      <c r="E104" s="18">
        <f>B104*$B$8+C104*$B$9+D104*$B$10</f>
        <v/>
      </c>
      <c r="F104" s="19">
        <f>IF(E104=$B$10,"300円だけ","")</f>
        <v/>
      </c>
    </row>
    <row r="105">
      <c r="A105" s="27">
        <f>TEXT(90*10,"000")&amp;"〜"&amp;TEXT(90*10+9,"000")</f>
        <v/>
      </c>
      <c r="B105" s="28">
        <f>(INT($B$3/10)=90)+(INT($B$4/10)=90)+(INT($B$5/10)=90)</f>
        <v/>
      </c>
      <c r="C105" s="28">
        <f>IF(INT($B$6/10)=MOD(90,10),1,0)</f>
        <v/>
      </c>
      <c r="D105" s="28" t="n">
        <v>1</v>
      </c>
      <c r="E105" s="18">
        <f>B105*$B$8+C105*$B$9+D105*$B$10</f>
        <v/>
      </c>
      <c r="F105" s="19">
        <f>IF(E105=$B$10,"300円だけ","")</f>
        <v/>
      </c>
    </row>
    <row r="106">
      <c r="A106" s="27">
        <f>TEXT(91*10,"000")&amp;"〜"&amp;TEXT(91*10+9,"000")</f>
        <v/>
      </c>
      <c r="B106" s="28">
        <f>(INT($B$3/10)=91)+(INT($B$4/10)=91)+(INT($B$5/10)=91)</f>
        <v/>
      </c>
      <c r="C106" s="28">
        <f>IF(INT($B$6/10)=MOD(91,10),1,0)</f>
        <v/>
      </c>
      <c r="D106" s="28" t="n">
        <v>1</v>
      </c>
      <c r="E106" s="18">
        <f>B106*$B$8+C106*$B$9+D106*$B$10</f>
        <v/>
      </c>
      <c r="F106" s="19">
        <f>IF(E106=$B$10,"300円だけ","")</f>
        <v/>
      </c>
    </row>
    <row r="107">
      <c r="A107" s="27">
        <f>TEXT(92*10,"000")&amp;"〜"&amp;TEXT(92*10+9,"000")</f>
        <v/>
      </c>
      <c r="B107" s="28">
        <f>(INT($B$3/10)=92)+(INT($B$4/10)=92)+(INT($B$5/10)=92)</f>
        <v/>
      </c>
      <c r="C107" s="28">
        <f>IF(INT($B$6/10)=MOD(92,10),1,0)</f>
        <v/>
      </c>
      <c r="D107" s="28" t="n">
        <v>1</v>
      </c>
      <c r="E107" s="18">
        <f>B107*$B$8+C107*$B$9+D107*$B$10</f>
        <v/>
      </c>
      <c r="F107" s="19">
        <f>IF(E107=$B$10,"300円だけ","")</f>
        <v/>
      </c>
    </row>
    <row r="108">
      <c r="A108" s="27">
        <f>TEXT(93*10,"000")&amp;"〜"&amp;TEXT(93*10+9,"000")</f>
        <v/>
      </c>
      <c r="B108" s="28">
        <f>(INT($B$3/10)=93)+(INT($B$4/10)=93)+(INT($B$5/10)=93)</f>
        <v/>
      </c>
      <c r="C108" s="28">
        <f>IF(INT($B$6/10)=MOD(93,10),1,0)</f>
        <v/>
      </c>
      <c r="D108" s="28" t="n">
        <v>1</v>
      </c>
      <c r="E108" s="18">
        <f>B108*$B$8+C108*$B$9+D108*$B$10</f>
        <v/>
      </c>
      <c r="F108" s="19">
        <f>IF(E108=$B$10,"300円だけ","")</f>
        <v/>
      </c>
    </row>
    <row r="109">
      <c r="A109" s="27">
        <f>TEXT(94*10,"000")&amp;"〜"&amp;TEXT(94*10+9,"000")</f>
        <v/>
      </c>
      <c r="B109" s="28">
        <f>(INT($B$3/10)=94)+(INT($B$4/10)=94)+(INT($B$5/10)=94)</f>
        <v/>
      </c>
      <c r="C109" s="28">
        <f>IF(INT($B$6/10)=MOD(94,10),1,0)</f>
        <v/>
      </c>
      <c r="D109" s="28" t="n">
        <v>1</v>
      </c>
      <c r="E109" s="18">
        <f>B109*$B$8+C109*$B$9+D109*$B$10</f>
        <v/>
      </c>
      <c r="F109" s="19">
        <f>IF(E109=$B$10,"300円だけ","")</f>
        <v/>
      </c>
    </row>
    <row r="110">
      <c r="A110" s="27">
        <f>TEXT(95*10,"000")&amp;"〜"&amp;TEXT(95*10+9,"000")</f>
        <v/>
      </c>
      <c r="B110" s="28">
        <f>(INT($B$3/10)=95)+(INT($B$4/10)=95)+(INT($B$5/10)=95)</f>
        <v/>
      </c>
      <c r="C110" s="28">
        <f>IF(INT($B$6/10)=MOD(95,10),1,0)</f>
        <v/>
      </c>
      <c r="D110" s="28" t="n">
        <v>1</v>
      </c>
      <c r="E110" s="18">
        <f>B110*$B$8+C110*$B$9+D110*$B$10</f>
        <v/>
      </c>
      <c r="F110" s="19">
        <f>IF(E110=$B$10,"300円だけ","")</f>
        <v/>
      </c>
    </row>
    <row r="111">
      <c r="A111" s="27">
        <f>TEXT(96*10,"000")&amp;"〜"&amp;TEXT(96*10+9,"000")</f>
        <v/>
      </c>
      <c r="B111" s="28">
        <f>(INT($B$3/10)=96)+(INT($B$4/10)=96)+(INT($B$5/10)=96)</f>
        <v/>
      </c>
      <c r="C111" s="28">
        <f>IF(INT($B$6/10)=MOD(96,10),1,0)</f>
        <v/>
      </c>
      <c r="D111" s="28" t="n">
        <v>1</v>
      </c>
      <c r="E111" s="18">
        <f>B111*$B$8+C111*$B$9+D111*$B$10</f>
        <v/>
      </c>
      <c r="F111" s="19">
        <f>IF(E111=$B$10,"300円だけ","")</f>
        <v/>
      </c>
    </row>
    <row r="112">
      <c r="A112" s="27">
        <f>TEXT(97*10,"000")&amp;"〜"&amp;TEXT(97*10+9,"000")</f>
        <v/>
      </c>
      <c r="B112" s="28">
        <f>(INT($B$3/10)=97)+(INT($B$4/10)=97)+(INT($B$5/10)=97)</f>
        <v/>
      </c>
      <c r="C112" s="28">
        <f>IF(INT($B$6/10)=MOD(97,10),1,0)</f>
        <v/>
      </c>
      <c r="D112" s="28" t="n">
        <v>1</v>
      </c>
      <c r="E112" s="18">
        <f>B112*$B$8+C112*$B$9+D112*$B$10</f>
        <v/>
      </c>
      <c r="F112" s="19">
        <f>IF(E112=$B$10,"300円だけ","")</f>
        <v/>
      </c>
    </row>
    <row r="113">
      <c r="A113" s="27">
        <f>TEXT(98*10,"000")&amp;"〜"&amp;TEXT(98*10+9,"000")</f>
        <v/>
      </c>
      <c r="B113" s="28">
        <f>(INT($B$3/10)=98)+(INT($B$4/10)=98)+(INT($B$5/10)=98)</f>
        <v/>
      </c>
      <c r="C113" s="28">
        <f>IF(INT($B$6/10)=MOD(98,10),1,0)</f>
        <v/>
      </c>
      <c r="D113" s="28" t="n">
        <v>1</v>
      </c>
      <c r="E113" s="18">
        <f>B113*$B$8+C113*$B$9+D113*$B$10</f>
        <v/>
      </c>
      <c r="F113" s="19">
        <f>IF(E113=$B$10,"300円だけ","")</f>
        <v/>
      </c>
    </row>
    <row r="114">
      <c r="A114" s="27">
        <f>TEXT(99*10,"000")&amp;"〜"&amp;TEXT(99*10+9,"000")</f>
        <v/>
      </c>
      <c r="B114" s="28">
        <f>(INT($B$3/10)=99)+(INT($B$4/10)=99)+(INT($B$5/10)=99)</f>
        <v/>
      </c>
      <c r="C114" s="28">
        <f>IF(INT($B$6/10)=MOD(99,10),1,0)</f>
        <v/>
      </c>
      <c r="D114" s="28" t="n">
        <v>1</v>
      </c>
      <c r="E114" s="18">
        <f>B114*$B$8+C114*$B$9+D114*$B$10</f>
        <v/>
      </c>
      <c r="F114" s="19">
        <f>IF(E114=$B$10,"300円だけ","")</f>
        <v/>
      </c>
    </row>
  </sheetData>
  <conditionalFormatting sqref="A15:F114">
    <cfRule type="expression" priority="1" dxfId="1">
      <formula>$E15&gt;$B$10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4" customWidth="1" min="3" max="3"/>
    <col width="16" customWidth="1" min="4" max="4"/>
    <col width="16" customWidth="1" min="5" max="5"/>
    <col width="14" customWidth="1" min="6" max="6"/>
    <col width="16" customWidth="1" min="7" max="7"/>
    <col width="16" customWidth="1" min="8" max="8"/>
  </cols>
  <sheetData>
    <row r="1">
      <c r="A1" s="1" t="inlineStr">
        <is>
          <t>買う枚数ごとの期待値と、確実に戻る額</t>
        </is>
      </c>
    </row>
    <row r="2">
      <c r="A2" t="inlineStr">
        <is>
          <t>A列の枚数は10枚単位で入れ替えてよい。1万円以上の確率は、くじが互いに無関係とみた近似</t>
        </is>
      </c>
    </row>
    <row r="4" ht="32" customHeight="1">
      <c r="A4" s="6" t="inlineStr">
        <is>
          <t>枚数</t>
        </is>
      </c>
      <c r="B4" s="6" t="inlineStr">
        <is>
          <t>払う額</t>
        </is>
      </c>
      <c r="C4" s="6" t="inlineStr">
        <is>
          <t>期待値</t>
        </is>
      </c>
      <c r="D4" s="6" t="inlineStr">
        <is>
          <t>確実に戻る（7等）</t>
        </is>
      </c>
      <c r="E4" s="6" t="inlineStr">
        <is>
          <t>期待値 − 払う額</t>
        </is>
      </c>
      <c r="F4" s="6" t="inlineStr">
        <is>
          <t>1等が当たる確率</t>
        </is>
      </c>
      <c r="G4" s="6" t="inlineStr">
        <is>
          <t>1等は何人に1人</t>
        </is>
      </c>
      <c r="H4" s="6" t="inlineStr">
        <is>
          <t>1万円以上が1本以上</t>
        </is>
      </c>
    </row>
    <row r="5">
      <c r="A5" s="4" t="n">
        <v>10</v>
      </c>
      <c r="B5" s="18">
        <f>A5*'1_期待値'!$B$3</f>
        <v/>
      </c>
      <c r="C5" s="32">
        <f>A5*'1_期待値'!$F$17</f>
        <v/>
      </c>
      <c r="D5" s="18">
        <f>INT(A5/10)*'1_期待値'!$B$16</f>
        <v/>
      </c>
      <c r="E5" s="32">
        <f>C5-B5</f>
        <v/>
      </c>
      <c r="F5" s="33">
        <f>A5/'1_期待値'!$B$4</f>
        <v/>
      </c>
      <c r="G5" s="34">
        <f>'1_期待値'!$B$4/A5</f>
        <v/>
      </c>
      <c r="H5" s="35">
        <f>1-(1-1/'1_期待値'!$B$31)^A5</f>
        <v/>
      </c>
    </row>
    <row r="6">
      <c r="A6" s="4" t="n">
        <v>30</v>
      </c>
      <c r="B6" s="18">
        <f>A6*'1_期待値'!$B$3</f>
        <v/>
      </c>
      <c r="C6" s="32">
        <f>A6*'1_期待値'!$F$17</f>
        <v/>
      </c>
      <c r="D6" s="18">
        <f>INT(A6/10)*'1_期待値'!$B$16</f>
        <v/>
      </c>
      <c r="E6" s="32">
        <f>C6-B6</f>
        <v/>
      </c>
      <c r="F6" s="33">
        <f>A6/'1_期待値'!$B$4</f>
        <v/>
      </c>
      <c r="G6" s="34">
        <f>'1_期待値'!$B$4/A6</f>
        <v/>
      </c>
      <c r="H6" s="35">
        <f>1-(1-1/'1_期待値'!$B$31)^A6</f>
        <v/>
      </c>
    </row>
    <row r="7">
      <c r="A7" s="4" t="n">
        <v>50</v>
      </c>
      <c r="B7" s="18">
        <f>A7*'1_期待値'!$B$3</f>
        <v/>
      </c>
      <c r="C7" s="32">
        <f>A7*'1_期待値'!$F$17</f>
        <v/>
      </c>
      <c r="D7" s="18">
        <f>INT(A7/10)*'1_期待値'!$B$16</f>
        <v/>
      </c>
      <c r="E7" s="32">
        <f>C7-B7</f>
        <v/>
      </c>
      <c r="F7" s="33">
        <f>A7/'1_期待値'!$B$4</f>
        <v/>
      </c>
      <c r="G7" s="34">
        <f>'1_期待値'!$B$4/A7</f>
        <v/>
      </c>
      <c r="H7" s="35">
        <f>1-(1-1/'1_期待値'!$B$31)^A7</f>
        <v/>
      </c>
    </row>
    <row r="8">
      <c r="A8" s="4" t="n">
        <v>100</v>
      </c>
      <c r="B8" s="18">
        <f>A8*'1_期待値'!$B$3</f>
        <v/>
      </c>
      <c r="C8" s="32">
        <f>A8*'1_期待値'!$F$17</f>
        <v/>
      </c>
      <c r="D8" s="18">
        <f>INT(A8/10)*'1_期待値'!$B$16</f>
        <v/>
      </c>
      <c r="E8" s="32">
        <f>C8-B8</f>
        <v/>
      </c>
      <c r="F8" s="33">
        <f>A8/'1_期待値'!$B$4</f>
        <v/>
      </c>
      <c r="G8" s="34">
        <f>'1_期待値'!$B$4/A8</f>
        <v/>
      </c>
      <c r="H8" s="35">
        <f>1-(1-1/'1_期待値'!$B$31)^A8</f>
        <v/>
      </c>
    </row>
    <row r="9">
      <c r="A9" s="4" t="n">
        <v>300</v>
      </c>
      <c r="B9" s="18">
        <f>A9*'1_期待値'!$B$3</f>
        <v/>
      </c>
      <c r="C9" s="32">
        <f>A9*'1_期待値'!$F$17</f>
        <v/>
      </c>
      <c r="D9" s="18">
        <f>INT(A9/10)*'1_期待値'!$B$16</f>
        <v/>
      </c>
      <c r="E9" s="32">
        <f>C9-B9</f>
        <v/>
      </c>
      <c r="F9" s="33">
        <f>A9/'1_期待値'!$B$4</f>
        <v/>
      </c>
      <c r="G9" s="34">
        <f>'1_期待値'!$B$4/A9</f>
        <v/>
      </c>
      <c r="H9" s="35">
        <f>1-(1-1/'1_期待値'!$B$31)^A9</f>
        <v/>
      </c>
    </row>
    <row r="10">
      <c r="A10" s="4" t="n">
        <v>1000</v>
      </c>
      <c r="B10" s="18">
        <f>A10*'1_期待値'!$B$3</f>
        <v/>
      </c>
      <c r="C10" s="32">
        <f>A10*'1_期待値'!$F$17</f>
        <v/>
      </c>
      <c r="D10" s="18">
        <f>INT(A10/10)*'1_期待値'!$B$16</f>
        <v/>
      </c>
      <c r="E10" s="32">
        <f>C10-B10</f>
        <v/>
      </c>
      <c r="F10" s="33">
        <f>A10/'1_期待値'!$B$4</f>
        <v/>
      </c>
      <c r="G10" s="34">
        <f>'1_期待値'!$B$4/A10</f>
        <v/>
      </c>
      <c r="H10" s="35">
        <f>1-(1-1/'1_期待値'!$B$31)^A10</f>
        <v/>
      </c>
    </row>
    <row r="12">
      <c r="A12" t="inlineStr">
        <is>
          <t>1等は1ユニット（2,000万枚）に1本。同じユニットの違う番号を買えば、当たる確率は枚数÷2,000万になる。</t>
        </is>
      </c>
    </row>
    <row r="13">
      <c r="A13" t="inlineStr">
        <is>
          <t>確実に戻るのは7等（下1ケタ）だけ。10枚ごとに300円。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8" customWidth="1" min="3" max="3"/>
    <col width="15" customWidth="1" min="4" max="4"/>
    <col width="15" customWidth="1" min="5" max="5"/>
    <col width="16" customWidth="1" min="6" max="6"/>
    <col width="12" customWidth="1" min="7" max="7"/>
    <col width="14" customWidth="1" min="8" max="8"/>
  </cols>
  <sheetData>
    <row r="1">
      <c r="A1" s="1" t="inlineStr">
        <is>
          <t>年末ジャンボミニ（第1083回、2025年）。1ユニット1,000万枚、15ユニット</t>
        </is>
      </c>
    </row>
    <row r="2">
      <c r="A2" t="inlineStr">
        <is>
          <t>同じ300円で、どちらが1万円以上に当たりやすいか</t>
        </is>
      </c>
    </row>
    <row r="3">
      <c r="A3" s="2" t="inlineStr">
        <is>
          <t>1枚の値段</t>
        </is>
      </c>
      <c r="B3" s="3" t="n">
        <v>300</v>
      </c>
    </row>
    <row r="4">
      <c r="A4" s="2" t="inlineStr">
        <is>
          <t>1ユニットの枚数</t>
        </is>
      </c>
      <c r="B4" s="4" t="n">
        <v>10000000</v>
      </c>
    </row>
    <row r="5">
      <c r="A5" s="2" t="inlineStr">
        <is>
          <t>ユニット数</t>
        </is>
      </c>
      <c r="B5" s="5" t="n">
        <v>15</v>
      </c>
    </row>
    <row r="7" ht="32" customHeight="1">
      <c r="A7" s="6" t="inlineStr">
        <is>
          <t>等級</t>
        </is>
      </c>
      <c r="B7" s="6" t="inlineStr">
        <is>
          <t>当せん金</t>
        </is>
      </c>
      <c r="C7" s="6" t="inlineStr">
        <is>
          <t>本数（全ユニット）</t>
        </is>
      </c>
      <c r="D7" s="6" t="inlineStr">
        <is>
          <t>1ユニットの本数</t>
        </is>
      </c>
      <c r="E7" s="6" t="inlineStr">
        <is>
          <t>何枚に1本</t>
        </is>
      </c>
      <c r="F7" s="6" t="inlineStr">
        <is>
          <t>1枚あたりの期待値</t>
        </is>
      </c>
      <c r="G7" s="6" t="inlineStr">
        <is>
          <t>300円のうち</t>
        </is>
      </c>
      <c r="H7" s="6" t="inlineStr">
        <is>
          <t>期待値の累計</t>
        </is>
      </c>
    </row>
    <row r="8">
      <c r="A8" s="2" t="inlineStr">
        <is>
          <t>1等</t>
        </is>
      </c>
      <c r="B8" s="3" t="n">
        <v>30000000</v>
      </c>
      <c r="C8" s="7" t="n">
        <v>150</v>
      </c>
      <c r="D8" s="8">
        <f>C8/$B$5</f>
        <v/>
      </c>
      <c r="E8" s="9">
        <f>IF(D8=0,"",$B$4/D8)</f>
        <v/>
      </c>
      <c r="F8" s="10">
        <f>B8*D8/$B$4</f>
        <v/>
      </c>
      <c r="G8" s="11">
        <f>F8/$B$3</f>
        <v/>
      </c>
      <c r="H8" s="10">
        <f>SUM($F$8:F8)</f>
        <v/>
      </c>
    </row>
    <row r="9">
      <c r="A9" s="2" t="inlineStr">
        <is>
          <t>1等の前後賞</t>
        </is>
      </c>
      <c r="B9" s="3" t="n">
        <v>10000000</v>
      </c>
      <c r="C9" s="7" t="n">
        <v>300</v>
      </c>
      <c r="D9" s="8">
        <f>C9/$B$5</f>
        <v/>
      </c>
      <c r="E9" s="9">
        <f>IF(D9=0,"",$B$4/D9)</f>
        <v/>
      </c>
      <c r="F9" s="10">
        <f>B9*D9/$B$4</f>
        <v/>
      </c>
      <c r="G9" s="11">
        <f>F9/$B$3</f>
        <v/>
      </c>
      <c r="H9" s="10">
        <f>SUM($F$8:F9)</f>
        <v/>
      </c>
    </row>
    <row r="10">
      <c r="A10" s="2" t="inlineStr">
        <is>
          <t>2等</t>
        </is>
      </c>
      <c r="B10" s="3" t="n">
        <v>1000000</v>
      </c>
      <c r="C10" s="7" t="n">
        <v>150</v>
      </c>
      <c r="D10" s="8">
        <f>C10/$B$5</f>
        <v/>
      </c>
      <c r="E10" s="9">
        <f>IF(D10=0,"",$B$4/D10)</f>
        <v/>
      </c>
      <c r="F10" s="10">
        <f>B10*D10/$B$4</f>
        <v/>
      </c>
      <c r="G10" s="11">
        <f>F10/$B$3</f>
        <v/>
      </c>
      <c r="H10" s="10">
        <f>SUM($F$8:F10)</f>
        <v/>
      </c>
    </row>
    <row r="11">
      <c r="A11" s="2" t="inlineStr">
        <is>
          <t>3等</t>
        </is>
      </c>
      <c r="B11" s="3" t="n">
        <v>30000</v>
      </c>
      <c r="C11" s="7" t="n">
        <v>45000</v>
      </c>
      <c r="D11" s="8">
        <f>C11/$B$5</f>
        <v/>
      </c>
      <c r="E11" s="9">
        <f>IF(D11=0,"",$B$4/D11)</f>
        <v/>
      </c>
      <c r="F11" s="10">
        <f>B11*D11/$B$4</f>
        <v/>
      </c>
      <c r="G11" s="11">
        <f>F11/$B$3</f>
        <v/>
      </c>
      <c r="H11" s="10">
        <f>SUM($F$8:F11)</f>
        <v/>
      </c>
    </row>
    <row r="12">
      <c r="A12" s="2" t="inlineStr">
        <is>
          <t>4等</t>
        </is>
      </c>
      <c r="B12" s="3" t="n">
        <v>10000</v>
      </c>
      <c r="C12" s="7" t="n">
        <v>450000</v>
      </c>
      <c r="D12" s="8">
        <f>C12/$B$5</f>
        <v/>
      </c>
      <c r="E12" s="9">
        <f>IF(D12=0,"",$B$4/D12)</f>
        <v/>
      </c>
      <c r="F12" s="10">
        <f>B12*D12/$B$4</f>
        <v/>
      </c>
      <c r="G12" s="11">
        <f>F12/$B$3</f>
        <v/>
      </c>
      <c r="H12" s="10">
        <f>SUM($F$8:F12)</f>
        <v/>
      </c>
    </row>
    <row r="13">
      <c r="A13" s="2" t="inlineStr">
        <is>
          <t>5等</t>
        </is>
      </c>
      <c r="B13" s="3" t="n">
        <v>3000</v>
      </c>
      <c r="C13" s="7" t="n">
        <v>1500000</v>
      </c>
      <c r="D13" s="8">
        <f>C13/$B$5</f>
        <v/>
      </c>
      <c r="E13" s="9">
        <f>IF(D13=0,"",$B$4/D13)</f>
        <v/>
      </c>
      <c r="F13" s="10">
        <f>B13*D13/$B$4</f>
        <v/>
      </c>
      <c r="G13" s="11">
        <f>F13/$B$3</f>
        <v/>
      </c>
      <c r="H13" s="10">
        <f>SUM($F$8:F13)</f>
        <v/>
      </c>
    </row>
    <row r="14">
      <c r="A14" s="2" t="inlineStr">
        <is>
          <t>6等</t>
        </is>
      </c>
      <c r="B14" s="3" t="n">
        <v>300</v>
      </c>
      <c r="C14" s="7" t="n">
        <v>15000000</v>
      </c>
      <c r="D14" s="8">
        <f>C14/$B$5</f>
        <v/>
      </c>
      <c r="E14" s="9">
        <f>IF(D14=0,"",$B$4/D14)</f>
        <v/>
      </c>
      <c r="F14" s="10">
        <f>B14*D14/$B$4</f>
        <v/>
      </c>
      <c r="G14" s="11">
        <f>F14/$B$3</f>
        <v/>
      </c>
      <c r="H14" s="10">
        <f>SUM($F$8:F14)</f>
        <v/>
      </c>
    </row>
    <row r="15">
      <c r="A15" s="12" t="inlineStr">
        <is>
          <t>合計</t>
        </is>
      </c>
      <c r="C15" s="13">
        <f>SUM(C8:C14)</f>
        <v/>
      </c>
      <c r="D15" s="13">
        <f>SUM(D8:D14)</f>
        <v/>
      </c>
      <c r="F15" s="14">
        <f>SUM(F8:F14)</f>
        <v/>
      </c>
      <c r="G15" s="15">
        <f>SUM(G8:G14)</f>
        <v/>
      </c>
    </row>
    <row r="17">
      <c r="A17" s="6" t="inlineStr"/>
      <c r="B17" s="6" t="inlineStr">
        <is>
          <t>年末ジャンボ</t>
        </is>
      </c>
      <c r="C17" s="6" t="inlineStr">
        <is>
          <t>年末ジャンボミニ</t>
        </is>
      </c>
    </row>
    <row r="18">
      <c r="A18" s="2" t="inlineStr">
        <is>
          <t>1枚の期待値</t>
        </is>
      </c>
      <c r="B18" s="10">
        <f>'1_期待値'!F17</f>
        <v/>
      </c>
      <c r="C18" s="10">
        <f>F15</f>
        <v/>
      </c>
    </row>
    <row r="19">
      <c r="A19" s="2" t="inlineStr">
        <is>
          <t>1万円以上は何枚に1本</t>
        </is>
      </c>
      <c r="B19" s="9">
        <f>'1_期待値'!B4/SUMIFS('1_期待値'!D8:D16,'1_期待値'!B8:B16,"&gt;=10000")</f>
        <v/>
      </c>
      <c r="C19" s="9">
        <f>B4/SUMIFS($D$8:$D$14,$B$8:$B$14,"&gt;=10000")</f>
        <v/>
      </c>
    </row>
    <row r="20">
      <c r="A20" s="2" t="inlineStr">
        <is>
          <t>3,000円以上は何枚に1本</t>
        </is>
      </c>
      <c r="B20" s="9">
        <f>'1_期待値'!B4/SUMIFS('1_期待値'!D8:D16,'1_期待値'!B8:B16,"&gt;=3000")</f>
        <v/>
      </c>
      <c r="C20" s="9">
        <f>B4/SUMIFS($D$8:$D$14,$B$8:$B$14,"&gt;=3000")</f>
        <v/>
      </c>
    </row>
    <row r="21">
      <c r="A21" s="2" t="inlineStr">
        <is>
          <t>100万円以上は何枚に1本</t>
        </is>
      </c>
      <c r="B21" s="36">
        <f>'1_期待値'!B4/SUMIFS('1_期待値'!D8:D16,'1_期待値'!B8:B16,"&gt;=1000000")</f>
        <v/>
      </c>
      <c r="C21" s="36">
        <f>B4/SUMIFS($D$8:$D$14,$B$8:$B$14,"&gt;=1000000")</f>
        <v/>
      </c>
    </row>
    <row r="22">
      <c r="A22" s="2" t="inlineStr">
        <is>
          <t>1等は何枚に1本</t>
        </is>
      </c>
      <c r="B22" s="36">
        <f>'1_期待値'!B4</f>
        <v/>
      </c>
      <c r="C22" s="36">
        <f>B4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4" customWidth="1" min="3" max="3"/>
    <col width="14" customWidth="1" min="4" max="4"/>
  </cols>
  <sheetData>
    <row r="1">
      <c r="A1" s="1" t="inlineStr">
        <is>
          <t>宝くじ全体の売上の振り分け（令和6年度、販売実績額7,598億円）を、1枚300円に直す</t>
        </is>
      </c>
    </row>
    <row r="2">
      <c r="A2" t="inlineStr">
        <is>
          <t>宝くじ全体の実績で、年末ジャンボだけの内訳ではない。時効になった当せん金は収益金と同じく発売元へ納められる</t>
        </is>
      </c>
    </row>
    <row r="4">
      <c r="A4" s="6" t="inlineStr">
        <is>
          <t>行き先</t>
        </is>
      </c>
      <c r="B4" s="6" t="inlineStr">
        <is>
          <t>割合</t>
        </is>
      </c>
      <c r="C4" s="6" t="inlineStr">
        <is>
          <t>金額（億円）</t>
        </is>
      </c>
      <c r="D4" s="6" t="inlineStr">
        <is>
          <t>300円のうち</t>
        </is>
      </c>
    </row>
    <row r="5">
      <c r="A5" s="2" t="inlineStr">
        <is>
          <t>当せん金</t>
        </is>
      </c>
      <c r="B5" s="37" t="n">
        <v>0.465</v>
      </c>
      <c r="C5" s="38" t="n">
        <v>3529</v>
      </c>
      <c r="D5" s="32">
        <f>300*B5</f>
        <v/>
      </c>
    </row>
    <row r="6">
      <c r="A6" s="2" t="inlineStr">
        <is>
          <t>収益金（全国都道府県と20指定都市へ）</t>
        </is>
      </c>
      <c r="B6" s="37" t="n">
        <v>0.362</v>
      </c>
      <c r="C6" s="38" t="n">
        <v>2750</v>
      </c>
      <c r="D6" s="32">
        <f>300*B6</f>
        <v/>
      </c>
    </row>
    <row r="7">
      <c r="A7" s="2" t="inlineStr">
        <is>
          <t>印刷経費、売りさばき手数料など</t>
        </is>
      </c>
      <c r="B7" s="37" t="n">
        <v>0.16</v>
      </c>
      <c r="C7" s="38" t="n">
        <v>1218</v>
      </c>
      <c r="D7" s="32">
        <f>300*B7</f>
        <v/>
      </c>
    </row>
    <row r="8">
      <c r="A8" s="2" t="inlineStr">
        <is>
          <t>社会貢献広報費</t>
        </is>
      </c>
      <c r="B8" s="37" t="n">
        <v>0.013</v>
      </c>
      <c r="C8" s="38" t="n">
        <v>101</v>
      </c>
      <c r="D8" s="32">
        <f>300*B8</f>
        <v/>
      </c>
    </row>
    <row r="9">
      <c r="A9" s="12" t="inlineStr">
        <is>
          <t>計</t>
        </is>
      </c>
      <c r="B9" s="39">
        <f>SUM(B5:B8)</f>
        <v/>
      </c>
      <c r="C9" s="40">
        <f>SUM(C5:C8)</f>
        <v/>
      </c>
      <c r="D9" s="41">
        <f>SUM(D5:D8)</f>
        <v/>
      </c>
    </row>
    <row r="10">
      <c r="A10">
        <f>IF(ABS(C9-7598)&lt;=1,"金額の計は販売実績額7,598億円と合う（端数1億円以内）","販売実績額と合わない")</f>
        <v/>
      </c>
    </row>
    <row r="12">
      <c r="A12" t="inlineStr">
        <is>
          <t>当せん金の割合が5割より低いのは、売れ残りと、受け取られずに時効になった分があるためとみている（内訳は確認していない）。</t>
        </is>
      </c>
    </row>
    <row r="14">
      <c r="A14" s="16" t="inlineStr">
        <is>
          <t>ジャンボ宝くじの1億円以上の未換金本数（宝くじ公式サイト、2026年9月30日現在）</t>
        </is>
      </c>
    </row>
    <row r="15">
      <c r="A15" s="6" t="inlineStr">
        <is>
          <t>くじ</t>
        </is>
      </c>
      <c r="B15" s="6" t="inlineStr">
        <is>
          <t>支払期限</t>
        </is>
      </c>
      <c r="C15" s="6" t="inlineStr">
        <is>
          <t>1億円以上の未換金</t>
        </is>
      </c>
    </row>
    <row r="16">
      <c r="A16" s="2" t="inlineStr">
        <is>
          <t>ハロウィンジャンボ（第1076回）</t>
        </is>
      </c>
      <c r="B16" s="27" t="inlineStr">
        <is>
          <t>2026-11-03</t>
        </is>
      </c>
      <c r="C16" s="7" t="n">
        <v>1</v>
      </c>
    </row>
    <row r="17">
      <c r="A17" s="2" t="inlineStr">
        <is>
          <t>年末ジャンボ（第1082回）</t>
        </is>
      </c>
      <c r="B17" s="27" t="inlineStr">
        <is>
          <t>2027-01-07</t>
        </is>
      </c>
      <c r="C17" s="7" t="n">
        <v>15</v>
      </c>
    </row>
    <row r="18">
      <c r="A18" s="2" t="inlineStr">
        <is>
          <t>バレンタインジャンボ（第1092回）</t>
        </is>
      </c>
      <c r="B18" s="27" t="inlineStr">
        <is>
          <t>2027-03-22</t>
        </is>
      </c>
      <c r="C18" s="7" t="n">
        <v>2</v>
      </c>
    </row>
    <row r="19">
      <c r="A19" s="2" t="inlineStr">
        <is>
          <t>ドリームジャンボ（第1106回）</t>
        </is>
      </c>
      <c r="B19" s="27" t="inlineStr">
        <is>
          <t>2027-06-15</t>
        </is>
      </c>
      <c r="C19" s="7" t="n">
        <v>7</v>
      </c>
    </row>
    <row r="20">
      <c r="A20" s="2" t="inlineStr">
        <is>
          <t>サマージャンボプレミアム（第1114回）</t>
        </is>
      </c>
      <c r="B20" s="27" t="inlineStr">
        <is>
          <t>2027-08-16</t>
        </is>
      </c>
      <c r="C20" s="7" t="n">
        <v>5</v>
      </c>
    </row>
    <row r="21">
      <c r="A21" s="2" t="inlineStr">
        <is>
          <t>サマージャンボ（第1115回）</t>
        </is>
      </c>
      <c r="B21" s="27" t="inlineStr">
        <is>
          <t>2027-08-16</t>
        </is>
      </c>
      <c r="C21" s="7" t="n">
        <v>14</v>
      </c>
    </row>
    <row r="22">
      <c r="A22" s="12" t="inlineStr">
        <is>
          <t>計</t>
        </is>
      </c>
      <c r="C22" s="13">
        <f>SUM(C16:C21)</f>
        <v/>
      </c>
    </row>
    <row r="24">
      <c r="A24" t="inlineStr">
        <is>
          <t>第1082回の1億円以上（1等、前後賞、2等）の本数（23ユニット全部が売れた場合）</t>
        </is>
      </c>
      <c r="C24" s="42">
        <f>SUMIFS('1_期待値'!C8:C16,'1_期待値'!B8:B16,"&gt;=100000000")</f>
        <v/>
      </c>
    </row>
    <row r="25">
      <c r="A25" t="inlineStr">
        <is>
          <t>そのうち未換金の割合（全部売れたとみた場合）</t>
        </is>
      </c>
      <c r="C25" s="43">
        <f>C17/C24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使い方</t>
        </is>
      </c>
    </row>
    <row r="3">
      <c r="A3" t="inlineStr">
        <is>
          <t>1_期待値: 当せん金と本数（全ユニット）、ユニット数を入れると、1枚あたりの期待値が等級ごとに出る。2026年の条件が出たらB列とC列を書き換える。</t>
        </is>
      </c>
    </row>
    <row r="4">
      <c r="A4" t="inlineStr">
        <is>
          <t>2_前年と比べる: 2024年の表は入力済み。金額帯の下限と上限を変えると、帯の切り方を変えられる。</t>
        </is>
      </c>
    </row>
    <row r="5">
      <c r="A5" t="inlineStr">
        <is>
          <t>3_連番10枚: 当せん番号の下ケタを入れると、連番10枚の下3ケタ100通りのうち何通りが300円だけかを数える。</t>
        </is>
      </c>
    </row>
    <row r="6">
      <c r="A6" t="inlineStr">
        <is>
          <t>4_枚数: A列の枚数を入れ替える。1等の確率は、同じユニットの違う番号を買ったときの値。</t>
        </is>
      </c>
    </row>
    <row r="7">
      <c r="A7" t="inlineStr">
        <is>
          <t>5_ミニと比べる: 年末ジャンボミニの当せん金と本数。</t>
        </is>
      </c>
    </row>
    <row r="8">
      <c r="A8" t="inlineStr">
        <is>
          <t>6_売上の行き先: 宝くじ全体の振り分けと、1億円以上の未換金本数。</t>
        </is>
      </c>
    </row>
    <row r="9">
      <c r="A9" t="inlineStr"/>
    </row>
    <row r="10">
      <c r="A10" t="inlineStr">
        <is>
          <t>期待値は「全部が売れて、全部が受け取られた」ときの平均。1人が買って戻る額の見込みではない。</t>
        </is>
      </c>
    </row>
    <row r="11">
      <c r="A11" t="inlineStr">
        <is>
          <t>当せん金には所得税がかからない（当せん金付証票法第13条）。</t>
        </is>
      </c>
    </row>
    <row r="12">
      <c r="A12" t="inlineStr"/>
    </row>
    <row r="13">
      <c r="A13" t="inlineStr">
        <is>
          <t>出典</t>
        </is>
      </c>
    </row>
    <row r="14">
      <c r="A14" t="inlineStr">
        <is>
          <t>宝くじ公式サイト 宝ニュース 2025年11月5日 第1082回・第1083回の当せん金・本数 https://www.takarakuji-official.jp/news/recent/?newsId=251101 （2026年10月6日確認）</t>
        </is>
      </c>
    </row>
    <row r="15">
      <c r="A15" t="inlineStr">
        <is>
          <t>宝くじ公式サイト 宝ニュース 第1031回・第1032回の当せん金・本数 https://www.takarakuji-official.jp/news/recent/?newsId=241101 （2026年10月6日確認）</t>
        </is>
      </c>
    </row>
    <row r="16">
      <c r="A16" t="inlineStr">
        <is>
          <t>宝くじ公式サイト 収益金の使い道 https://www.takarakuji-official.jp/about/proceeds/ （2026年10月6日確認）</t>
        </is>
      </c>
    </row>
    <row r="17">
      <c r="A17" t="inlineStr">
        <is>
          <t>宝くじ公式サイト 時効当せん金について https://www.takarakuji-official.jp/check/period.html （2026年10月6日確認）</t>
        </is>
      </c>
    </row>
    <row r="18">
      <c r="A18" t="inlineStr">
        <is>
          <t>e-Gov法令検索 当せん金付証票法 第5条・第13条 https://laws.e-gov.go.jp/law/323AC0000000144 （2026年10月6日確認）</t>
        </is>
      </c>
    </row>
    <row r="19">
      <c r="A19" t="inlineStr">
        <is>
          <t>第1082回の5等・6等・7等の当せん番号（下3ケタ345・819・350、下2ケタ02、下1ケタ0）は新聞社の当せん番号一覧で見た。</t>
        </is>
      </c>
    </row>
    <row r="20">
      <c r="A20" t="inlineStr"/>
    </row>
    <row r="21">
      <c r="A21" t="inlineStr">
        <is>
          <t>Microsoft 365のExcel（バージョン16）で確認、2026年10月6日。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2026-10-06T04:45:41Z</dcterms:created>
  <dcterms:modified xmlns:dcterms="http://purl.org/dc/terms/" xmlns:xsi="http://www.w3.org/2001/XMLSchema-instance" xsi:type="dcterms:W3CDTF">2026-10-06T04:45:41Z</dcterms:modified>
</cp:coreProperties>
</file>