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_会議の値段" sheetId="1" state="visible" r:id="rId1"/>
    <sheet xmlns:r="http://schemas.openxmlformats.org/officeDocument/2006/relationships" name="2_役職の違う10人" sheetId="2" state="visible" r:id="rId2"/>
    <sheet xmlns:r="http://schemas.openxmlformats.org/officeDocument/2006/relationships" name="3_年収別" sheetId="3" state="visible" r:id="rId3"/>
    <sheet xmlns:r="http://schemas.openxmlformats.org/officeDocument/2006/relationships" name="4_延びた会議" sheetId="4" state="visible" r:id="rId4"/>
    <sheet xmlns:r="http://schemas.openxmlformats.org/officeDocument/2006/relationships" name="5_使い方" sheetId="5" state="visible" r:id="rId5"/>
    <sheet xmlns:r="http://schemas.openxmlformats.org/officeDocument/2006/relationships" name="料率" sheetId="6" state="visible" r:id="rId6"/>
    <sheet xmlns:r="http://schemas.openxmlformats.org/officeDocument/2006/relationships" name="標準報酬" sheetId="7" state="visible" r:id="rId7"/>
  </sheets>
  <definedNames/>
  <calcPr calcId="124519" fullCalcOnLoad="1"/>
</workbook>
</file>

<file path=xl/styles.xml><?xml version="1.0" encoding="utf-8"?>
<styleSheet xmlns="http://schemas.openxmlformats.org/spreadsheetml/2006/main">
  <numFmts count="5">
    <numFmt numFmtId="164" formatCode="0.000%"/>
    <numFmt numFmtId="165" formatCode="0.0%"/>
    <numFmt numFmtId="166" formatCode="#,##0.0"/>
    <numFmt numFmtId="167" formatCode="+#,##0;-#,##0;0"/>
    <numFmt numFmtId="168" formatCode="+0.0%;-0.0%;0.0%"/>
  </numFmts>
  <fonts count="3">
    <font>
      <name val="Calibri"/>
      <family val="2"/>
      <color theme="1"/>
      <sz val="11"/>
      <scheme val="minor"/>
    </font>
    <font>
      <b val="1"/>
    </font>
    <font>
      <b val="1"/>
      <sz val="12"/>
    </font>
  </fonts>
  <fills count="5">
    <fill>
      <patternFill/>
    </fill>
    <fill>
      <patternFill patternType="gray125"/>
    </fill>
    <fill>
      <patternFill patternType="solid">
        <fgColor rgb="00E8EDF2"/>
      </patternFill>
    </fill>
    <fill>
      <patternFill patternType="solid">
        <fgColor rgb="00FFF7CC"/>
      </patternFill>
    </fill>
    <fill>
      <patternFill patternType="solid">
        <fgColor rgb="00F2F2F2"/>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6">
    <xf numFmtId="0" fontId="0" fillId="0" borderId="0" pivotButton="0" quotePrefix="0" xfId="0"/>
    <xf numFmtId="0" fontId="2" fillId="0" borderId="0" pivotButton="0" quotePrefix="0" xfId="0"/>
    <xf numFmtId="0" fontId="1" fillId="0" borderId="1" pivotButton="0" quotePrefix="0" xfId="0"/>
    <xf numFmtId="3" fontId="0" fillId="3" borderId="1" pivotButton="0" quotePrefix="0" xfId="0"/>
    <xf numFmtId="0" fontId="0" fillId="3" borderId="1" pivotButton="0" quotePrefix="0" xfId="0"/>
    <xf numFmtId="165" fontId="0" fillId="3" borderId="1" pivotButton="0" quotePrefix="0" xfId="0"/>
    <xf numFmtId="166" fontId="0" fillId="3" borderId="1" pivotButton="0" quotePrefix="0" xfId="0"/>
    <xf numFmtId="0" fontId="1" fillId="2" borderId="1" applyAlignment="1" pivotButton="0" quotePrefix="0" xfId="0">
      <alignment horizontal="center" vertical="center" wrapText="1"/>
    </xf>
    <xf numFmtId="3" fontId="1" fillId="4" borderId="1" pivotButton="0" quotePrefix="0" xfId="0"/>
    <xf numFmtId="0" fontId="0" fillId="0" borderId="1" pivotButton="0" quotePrefix="0" xfId="0"/>
    <xf numFmtId="3" fontId="0" fillId="4" borderId="1" pivotButton="0" quotePrefix="0" xfId="0"/>
    <xf numFmtId="167" fontId="0" fillId="4" borderId="1" pivotButton="0" quotePrefix="0" xfId="0"/>
    <xf numFmtId="168" fontId="0" fillId="4" borderId="1" pivotButton="0" quotePrefix="0" xfId="0"/>
    <xf numFmtId="10" fontId="0" fillId="4" borderId="1" pivotButton="0" quotePrefix="0" xfId="0"/>
    <xf numFmtId="0" fontId="1" fillId="0" borderId="0" pivotButton="0" quotePrefix="0" xfId="0"/>
    <xf numFmtId="10" fontId="1" fillId="4" borderId="1" pivotButton="0" quotePrefix="0" xfId="0"/>
    <xf numFmtId="10" fontId="0" fillId="3" borderId="1" pivotButton="0" quotePrefix="0" xfId="0"/>
    <xf numFmtId="0" fontId="0" fillId="4" borderId="1" pivotButton="0" quotePrefix="0" xfId="0"/>
    <xf numFmtId="9" fontId="0" fillId="3" borderId="1" pivotButton="0" quotePrefix="0" xfId="0"/>
    <xf numFmtId="166" fontId="0" fillId="0" borderId="1" pivotButton="0" quotePrefix="0" xfId="0"/>
    <xf numFmtId="166" fontId="1" fillId="0" borderId="1" pivotButton="0" quotePrefix="0" xfId="0"/>
    <xf numFmtId="3" fontId="0" fillId="0" borderId="1" pivotButton="0" quotePrefix="0" xfId="0"/>
    <xf numFmtId="3" fontId="1" fillId="0" borderId="1" pivotButton="0" quotePrefix="0" xfId="0"/>
    <xf numFmtId="10" fontId="0" fillId="0" borderId="1" pivotButton="0" quotePrefix="0" xfId="0"/>
    <xf numFmtId="164" fontId="0" fillId="0" borderId="1" pivotButton="0" quotePrefix="0" xfId="0"/>
    <xf numFmtId="0" fontId="1" fillId="2" borderId="0" applyAlignment="1" pivotButton="0" quotePrefix="0" xfId="0">
      <alignment horizontal="center" vertical="center" wrapText="1"/>
    </xf>
  </cellXfs>
  <cellStyles count="1">
    <cellStyle name="Normal" xfId="0" builtinId="0" hidden="0"/>
  </cellStyles>
  <dxfs count="2">
    <dxf>
      <fill>
        <patternFill patternType="solid">
          <fgColor rgb="00FDE8E8"/>
          <bgColor rgb="00FDE8E8"/>
        </patternFill>
      </fill>
    </dxf>
    <dxf>
      <fill>
        <patternFill patternType="solid">
          <fgColor rgb="00E6F4EA"/>
          <bgColor rgb="00E6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6"/>
  <sheetViews>
    <sheetView workbookViewId="0">
      <pane xSplit="1" ySplit="21" topLeftCell="B22"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3" customWidth="1" min="3" max="3"/>
    <col width="10" customWidth="1" min="4" max="4"/>
    <col width="9" customWidth="1" min="5" max="5"/>
    <col width="13"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1" customWidth="1" min="15" max="15"/>
    <col width="13" customWidth="1" min="16" max="16"/>
    <col width="11" customWidth="1" min="17" max="17"/>
    <col width="11" customWidth="1" min="18" max="18"/>
    <col width="12" customWidth="1" min="19" max="19"/>
  </cols>
  <sheetData>
    <row r="1">
      <c r="A1" s="1" t="inlineStr">
        <is>
          <t>会議の値段（給与＋会社が払う保険料を、1時間あたりにして参加者の分を足す）</t>
        </is>
      </c>
    </row>
    <row r="2">
      <c r="A2" t="inlineStr">
        <is>
          <t>初期値は毎月勤労統計調査 令和7年分確報の一般労働者の平均（月給368,111円、賞与は1か月平均97,812円×12を年2回に分けた586,872円）の人が10人。黄色い欄を自分の会議に書き換える</t>
        </is>
      </c>
    </row>
    <row r="3">
      <c r="A3" s="2" t="inlineStr">
        <is>
          <t>会議の長さ（分）</t>
        </is>
      </c>
      <c r="B3" s="3" t="n">
        <v>60</v>
      </c>
    </row>
    <row r="4">
      <c r="A4" s="2" t="inlineStr">
        <is>
          <t>年に何回開くか</t>
        </is>
      </c>
      <c r="B4" s="3" t="n">
        <v>52</v>
      </c>
    </row>
    <row r="5">
      <c r="A5" s="2" t="inlineStr">
        <is>
          <t>都道府県（協会けんぽの支部）</t>
        </is>
      </c>
      <c r="B5" s="4" t="inlineStr">
        <is>
          <t>東京都</t>
        </is>
      </c>
    </row>
    <row r="6">
      <c r="A6" s="2" t="inlineStr">
        <is>
          <t>事業の種類（雇用保険）</t>
        </is>
      </c>
      <c r="B6" s="4" t="inlineStr">
        <is>
          <t>一般の事業</t>
        </is>
      </c>
    </row>
    <row r="7">
      <c r="A7" s="2" t="inlineStr">
        <is>
          <t>労災保険率</t>
        </is>
      </c>
      <c r="B7" s="5" t="n">
        <v>0.003</v>
      </c>
    </row>
    <row r="8">
      <c r="A8" s="2" t="inlineStr">
        <is>
          <t>1人の年間の労働時間</t>
        </is>
      </c>
      <c r="B8" s="6" t="n">
        <v>1926</v>
      </c>
      <c r="C8" t="inlineStr">
        <is>
          <t>初期値は毎月勤労統計調査 令和7年分確報の一般労働者の総実労働時間160.5時間×12</t>
        </is>
      </c>
    </row>
    <row r="10">
      <c r="A10" s="7" t="inlineStr">
        <is>
          <t>出し方</t>
        </is>
      </c>
      <c r="B10" s="7" t="inlineStr">
        <is>
          <t>この会議の値段</t>
        </is>
      </c>
      <c r="C10" s="7" t="inlineStr">
        <is>
          <t>正しい額との差</t>
        </is>
      </c>
      <c r="D10" s="7" t="inlineStr">
        <is>
          <t>差の割合</t>
        </is>
      </c>
    </row>
    <row r="11">
      <c r="A11" s="2" t="inlineStr">
        <is>
          <t>正しい額（給与＋会社負担 ÷ 年間の労働時間）</t>
        </is>
      </c>
      <c r="B11" s="8">
        <f>SUM($S$22:$S$41)</f>
        <v/>
      </c>
    </row>
    <row r="12">
      <c r="A12" s="2" t="inlineStr">
        <is>
          <t>1分あたり</t>
        </is>
      </c>
      <c r="B12" s="8">
        <f>$B$11/$B$3</f>
        <v/>
      </c>
    </row>
    <row r="13">
      <c r="A13" s="2" t="inlineStr">
        <is>
          <t>1年分（× 年に開く回数）</t>
        </is>
      </c>
      <c r="B13" s="8">
        <f>$B$11*$B$4</f>
        <v/>
      </c>
    </row>
    <row r="14">
      <c r="A14" s="9" t="inlineStr">
        <is>
          <t>参加人数</t>
        </is>
      </c>
      <c r="B14" s="10">
        <f>COUNT($B$22:$B$41)</f>
        <v/>
      </c>
    </row>
    <row r="15">
      <c r="A15" s="9" t="inlineStr">
        <is>
          <t>取り違え1: 会社負担を入れない（給与だけ）</t>
        </is>
      </c>
      <c r="B15" s="10">
        <f>SUM($F$22:$F$41)/$B$8*$B$3/60</f>
        <v/>
      </c>
      <c r="C15" s="11">
        <f>$B15-$B$11</f>
        <v/>
      </c>
      <c r="D15" s="12">
        <f>IF($B$11=0,"",$C15/$B$11)</f>
        <v/>
      </c>
    </row>
    <row r="16">
      <c r="A16" s="9" t="inlineStr">
        <is>
          <t>取り違え2: 年収 ÷ 2,000時間</t>
        </is>
      </c>
      <c r="B16" s="10">
        <f>SUM($F$22:$F$41)/2000*$B$3/60</f>
        <v/>
      </c>
      <c r="C16" s="11">
        <f>$B16-$B$11</f>
        <v/>
      </c>
      <c r="D16" s="12">
        <f>IF($B$11=0,"",$C16/$B$11)</f>
        <v/>
      </c>
    </row>
    <row r="17">
      <c r="A17" s="9" t="inlineStr">
        <is>
          <t>取り違え3: 月給 ÷ 160時間（賞与を入れない）</t>
        </is>
      </c>
      <c r="B17" s="10">
        <f>SUM($B$22:$B$41)/160*$B$3/60</f>
        <v/>
      </c>
      <c r="C17" s="11">
        <f>$B17-$B$11</f>
        <v/>
      </c>
      <c r="D17" s="12">
        <f>IF($B$11=0,"",$C17/$B$11)</f>
        <v/>
      </c>
    </row>
    <row r="18">
      <c r="A18" s="9" t="inlineStr">
        <is>
          <t>取り違え4: 労使の合計の率を年収に掛けた</t>
        </is>
      </c>
      <c r="B18" s="10">
        <f>SUM($F$22:$F$41)*(1+(INDEX(料率!$B$4:$B$50,MATCH($B$5,料率!$A$4:$A$50,0))+料率!$E$5+料率!$E$6+料率!$E$7+INDEX(料率!$F$15:$F$17,MATCH($B$6,料率!$D$15:$D$17,0))+$B$7))/$B$8*$B$3/60</f>
        <v/>
      </c>
      <c r="C18" s="11">
        <f>$B18-$B$11</f>
        <v/>
      </c>
      <c r="D18" s="12">
        <f>IF($B$11=0,"",$C18/$B$11)</f>
        <v/>
      </c>
    </row>
    <row r="21" ht="45" customHeight="1">
      <c r="A21" s="7" t="inlineStr">
        <is>
          <t>参加者</t>
        </is>
      </c>
      <c r="B21" s="7" t="inlineStr">
        <is>
          <t>月給（毎月の総支給）</t>
        </is>
      </c>
      <c r="C21" s="7" t="inlineStr">
        <is>
          <t>賞与1回の額</t>
        </is>
      </c>
      <c r="D21" s="7" t="inlineStr">
        <is>
          <t>賞与の回数</t>
        </is>
      </c>
      <c r="E21" s="7" t="inlineStr">
        <is>
          <t>40〜64歳か</t>
        </is>
      </c>
      <c r="F21" s="7" t="inlineStr">
        <is>
          <t>年間の給与</t>
        </is>
      </c>
      <c r="G21" s="7" t="inlineStr">
        <is>
          <t>健康保険の標準報酬月額</t>
        </is>
      </c>
      <c r="H21" s="7" t="inlineStr">
        <is>
          <t>厚生年金の標準報酬月額</t>
        </is>
      </c>
      <c r="I21" s="7" t="inlineStr">
        <is>
          <t>標準賞与額</t>
        </is>
      </c>
      <c r="J21" s="7" t="inlineStr">
        <is>
          <t>健康保険・介護（会社分）</t>
        </is>
      </c>
      <c r="K21" s="7" t="inlineStr">
        <is>
          <t>子ども・子育て支援金（会社分）</t>
        </is>
      </c>
      <c r="L21" s="7" t="inlineStr">
        <is>
          <t>厚生年金（会社分）</t>
        </is>
      </c>
      <c r="M21" s="7" t="inlineStr">
        <is>
          <t>子ども・子育て拠出金</t>
        </is>
      </c>
      <c r="N21" s="7" t="inlineStr">
        <is>
          <t>雇用保険（会社分）</t>
        </is>
      </c>
      <c r="O21" s="7" t="inlineStr">
        <is>
          <t>労災保険</t>
        </is>
      </c>
      <c r="P21" s="7" t="inlineStr">
        <is>
          <t>会社負担の計</t>
        </is>
      </c>
      <c r="Q21" s="7" t="inlineStr">
        <is>
          <t>給与に対する会社負担</t>
        </is>
      </c>
      <c r="R21" s="7" t="inlineStr">
        <is>
          <t>1人1時間あたり</t>
        </is>
      </c>
      <c r="S21" s="7" t="inlineStr">
        <is>
          <t>この会議の分</t>
        </is>
      </c>
    </row>
    <row r="22">
      <c r="A22" s="4" t="inlineStr">
        <is>
          <t>統計の平均</t>
        </is>
      </c>
      <c r="B22" s="3" t="n">
        <v>368111</v>
      </c>
      <c r="C22" s="3" t="n">
        <v>586872</v>
      </c>
      <c r="D22" s="3" t="n">
        <v>2</v>
      </c>
      <c r="E22" s="4" t="inlineStr">
        <is>
          <t>いいえ</t>
        </is>
      </c>
      <c r="F22" s="10">
        <f>IF($B22="","",$B22*12+$C22*$D22)</f>
        <v/>
      </c>
      <c r="G22" s="10">
        <f>IF($B22="","",INDEX(標準報酬!$B$4:$B$53,MATCH($B22,標準報酬!$A$4:$A$53,1)))</f>
        <v/>
      </c>
      <c r="H22" s="10">
        <f>IF($B22="","",MIN(MAX($G22,料率!$E$10),料率!$E$11))</f>
        <v/>
      </c>
      <c r="I22" s="10">
        <f>IF($B22="","",ROUNDDOWN($C22,-3))</f>
        <v/>
      </c>
      <c r="J22" s="10">
        <f>IF($B22="","",($G22*12+MIN($I22*$D22,料率!$E$8))*(INDEX(料率!$B$4:$B$50,MATCH($B$5,料率!$A$4:$A$50,0))+IF($E22="はい",料率!$E$4,0))/2)</f>
        <v/>
      </c>
      <c r="K22" s="10">
        <f>IF($B22="","",($G22*12+MIN($I22*$D22,料率!$E$8))*料率!$E$5/2)</f>
        <v/>
      </c>
      <c r="L22" s="10">
        <f>IF($B22="","",($H22*12+MIN($I22,料率!$E$9)*$D22)*料率!$E$6/2)</f>
        <v/>
      </c>
      <c r="M22" s="10">
        <f>IF($B22="","",($H22*12+MIN($I22,料率!$E$9)*$D22)*料率!$E$7)</f>
        <v/>
      </c>
      <c r="N22" s="10">
        <f>IF($B22="","",$F22*INDEX(料率!$E$15:$E$17,MATCH($B$6,料率!$D$15:$D$17,0)))</f>
        <v/>
      </c>
      <c r="O22" s="10">
        <f>IF($B22="","",$F22*$B$7)</f>
        <v/>
      </c>
      <c r="P22" s="10">
        <f>IF($B22="","",SUM($J22:$O22))</f>
        <v/>
      </c>
      <c r="Q22" s="13">
        <f>IF($B22="","",$P22/$F22)</f>
        <v/>
      </c>
      <c r="R22" s="10">
        <f>IF($B22="","",($F22+$P22)/$B$8)</f>
        <v/>
      </c>
      <c r="S22" s="10">
        <f>IF($B22="","",$R22*$B$3/60)</f>
        <v/>
      </c>
    </row>
    <row r="23">
      <c r="A23" s="4" t="inlineStr">
        <is>
          <t>統計の平均</t>
        </is>
      </c>
      <c r="B23" s="3" t="n">
        <v>368111</v>
      </c>
      <c r="C23" s="3" t="n">
        <v>586872</v>
      </c>
      <c r="D23" s="3" t="n">
        <v>2</v>
      </c>
      <c r="E23" s="4" t="inlineStr">
        <is>
          <t>いいえ</t>
        </is>
      </c>
      <c r="F23" s="10">
        <f>IF($B23="","",$B23*12+$C23*$D23)</f>
        <v/>
      </c>
      <c r="G23" s="10">
        <f>IF($B23="","",INDEX(標準報酬!$B$4:$B$53,MATCH($B23,標準報酬!$A$4:$A$53,1)))</f>
        <v/>
      </c>
      <c r="H23" s="10">
        <f>IF($B23="","",MIN(MAX($G23,料率!$E$10),料率!$E$11))</f>
        <v/>
      </c>
      <c r="I23" s="10">
        <f>IF($B23="","",ROUNDDOWN($C23,-3))</f>
        <v/>
      </c>
      <c r="J23" s="10">
        <f>IF($B23="","",($G23*12+MIN($I23*$D23,料率!$E$8))*(INDEX(料率!$B$4:$B$50,MATCH($B$5,料率!$A$4:$A$50,0))+IF($E23="はい",料率!$E$4,0))/2)</f>
        <v/>
      </c>
      <c r="K23" s="10">
        <f>IF($B23="","",($G23*12+MIN($I23*$D23,料率!$E$8))*料率!$E$5/2)</f>
        <v/>
      </c>
      <c r="L23" s="10">
        <f>IF($B23="","",($H23*12+MIN($I23,料率!$E$9)*$D23)*料率!$E$6/2)</f>
        <v/>
      </c>
      <c r="M23" s="10">
        <f>IF($B23="","",($H23*12+MIN($I23,料率!$E$9)*$D23)*料率!$E$7)</f>
        <v/>
      </c>
      <c r="N23" s="10">
        <f>IF($B23="","",$F23*INDEX(料率!$E$15:$E$17,MATCH($B$6,料率!$D$15:$D$17,0)))</f>
        <v/>
      </c>
      <c r="O23" s="10">
        <f>IF($B23="","",$F23*$B$7)</f>
        <v/>
      </c>
      <c r="P23" s="10">
        <f>IF($B23="","",SUM($J23:$O23))</f>
        <v/>
      </c>
      <c r="Q23" s="13">
        <f>IF($B23="","",$P23/$F23)</f>
        <v/>
      </c>
      <c r="R23" s="10">
        <f>IF($B23="","",($F23+$P23)/$B$8)</f>
        <v/>
      </c>
      <c r="S23" s="10">
        <f>IF($B23="","",$R23*$B$3/60)</f>
        <v/>
      </c>
    </row>
    <row r="24">
      <c r="A24" s="4" t="inlineStr">
        <is>
          <t>統計の平均</t>
        </is>
      </c>
      <c r="B24" s="3" t="n">
        <v>368111</v>
      </c>
      <c r="C24" s="3" t="n">
        <v>586872</v>
      </c>
      <c r="D24" s="3" t="n">
        <v>2</v>
      </c>
      <c r="E24" s="4" t="inlineStr">
        <is>
          <t>いいえ</t>
        </is>
      </c>
      <c r="F24" s="10">
        <f>IF($B24="","",$B24*12+$C24*$D24)</f>
        <v/>
      </c>
      <c r="G24" s="10">
        <f>IF($B24="","",INDEX(標準報酬!$B$4:$B$53,MATCH($B24,標準報酬!$A$4:$A$53,1)))</f>
        <v/>
      </c>
      <c r="H24" s="10">
        <f>IF($B24="","",MIN(MAX($G24,料率!$E$10),料率!$E$11))</f>
        <v/>
      </c>
      <c r="I24" s="10">
        <f>IF($B24="","",ROUNDDOWN($C24,-3))</f>
        <v/>
      </c>
      <c r="J24" s="10">
        <f>IF($B24="","",($G24*12+MIN($I24*$D24,料率!$E$8))*(INDEX(料率!$B$4:$B$50,MATCH($B$5,料率!$A$4:$A$50,0))+IF($E24="はい",料率!$E$4,0))/2)</f>
        <v/>
      </c>
      <c r="K24" s="10">
        <f>IF($B24="","",($G24*12+MIN($I24*$D24,料率!$E$8))*料率!$E$5/2)</f>
        <v/>
      </c>
      <c r="L24" s="10">
        <f>IF($B24="","",($H24*12+MIN($I24,料率!$E$9)*$D24)*料率!$E$6/2)</f>
        <v/>
      </c>
      <c r="M24" s="10">
        <f>IF($B24="","",($H24*12+MIN($I24,料率!$E$9)*$D24)*料率!$E$7)</f>
        <v/>
      </c>
      <c r="N24" s="10">
        <f>IF($B24="","",$F24*INDEX(料率!$E$15:$E$17,MATCH($B$6,料率!$D$15:$D$17,0)))</f>
        <v/>
      </c>
      <c r="O24" s="10">
        <f>IF($B24="","",$F24*$B$7)</f>
        <v/>
      </c>
      <c r="P24" s="10">
        <f>IF($B24="","",SUM($J24:$O24))</f>
        <v/>
      </c>
      <c r="Q24" s="13">
        <f>IF($B24="","",$P24/$F24)</f>
        <v/>
      </c>
      <c r="R24" s="10">
        <f>IF($B24="","",($F24+$P24)/$B$8)</f>
        <v/>
      </c>
      <c r="S24" s="10">
        <f>IF($B24="","",$R24*$B$3/60)</f>
        <v/>
      </c>
    </row>
    <row r="25">
      <c r="A25" s="4" t="inlineStr">
        <is>
          <t>統計の平均</t>
        </is>
      </c>
      <c r="B25" s="3" t="n">
        <v>368111</v>
      </c>
      <c r="C25" s="3" t="n">
        <v>586872</v>
      </c>
      <c r="D25" s="3" t="n">
        <v>2</v>
      </c>
      <c r="E25" s="4" t="inlineStr">
        <is>
          <t>いいえ</t>
        </is>
      </c>
      <c r="F25" s="10">
        <f>IF($B25="","",$B25*12+$C25*$D25)</f>
        <v/>
      </c>
      <c r="G25" s="10">
        <f>IF($B25="","",INDEX(標準報酬!$B$4:$B$53,MATCH($B25,標準報酬!$A$4:$A$53,1)))</f>
        <v/>
      </c>
      <c r="H25" s="10">
        <f>IF($B25="","",MIN(MAX($G25,料率!$E$10),料率!$E$11))</f>
        <v/>
      </c>
      <c r="I25" s="10">
        <f>IF($B25="","",ROUNDDOWN($C25,-3))</f>
        <v/>
      </c>
      <c r="J25" s="10">
        <f>IF($B25="","",($G25*12+MIN($I25*$D25,料率!$E$8))*(INDEX(料率!$B$4:$B$50,MATCH($B$5,料率!$A$4:$A$50,0))+IF($E25="はい",料率!$E$4,0))/2)</f>
        <v/>
      </c>
      <c r="K25" s="10">
        <f>IF($B25="","",($G25*12+MIN($I25*$D25,料率!$E$8))*料率!$E$5/2)</f>
        <v/>
      </c>
      <c r="L25" s="10">
        <f>IF($B25="","",($H25*12+MIN($I25,料率!$E$9)*$D25)*料率!$E$6/2)</f>
        <v/>
      </c>
      <c r="M25" s="10">
        <f>IF($B25="","",($H25*12+MIN($I25,料率!$E$9)*$D25)*料率!$E$7)</f>
        <v/>
      </c>
      <c r="N25" s="10">
        <f>IF($B25="","",$F25*INDEX(料率!$E$15:$E$17,MATCH($B$6,料率!$D$15:$D$17,0)))</f>
        <v/>
      </c>
      <c r="O25" s="10">
        <f>IF($B25="","",$F25*$B$7)</f>
        <v/>
      </c>
      <c r="P25" s="10">
        <f>IF($B25="","",SUM($J25:$O25))</f>
        <v/>
      </c>
      <c r="Q25" s="13">
        <f>IF($B25="","",$P25/$F25)</f>
        <v/>
      </c>
      <c r="R25" s="10">
        <f>IF($B25="","",($F25+$P25)/$B$8)</f>
        <v/>
      </c>
      <c r="S25" s="10">
        <f>IF($B25="","",$R25*$B$3/60)</f>
        <v/>
      </c>
    </row>
    <row r="26">
      <c r="A26" s="4" t="inlineStr">
        <is>
          <t>統計の平均</t>
        </is>
      </c>
      <c r="B26" s="3" t="n">
        <v>368111</v>
      </c>
      <c r="C26" s="3" t="n">
        <v>586872</v>
      </c>
      <c r="D26" s="3" t="n">
        <v>2</v>
      </c>
      <c r="E26" s="4" t="inlineStr">
        <is>
          <t>いいえ</t>
        </is>
      </c>
      <c r="F26" s="10">
        <f>IF($B26="","",$B26*12+$C26*$D26)</f>
        <v/>
      </c>
      <c r="G26" s="10">
        <f>IF($B26="","",INDEX(標準報酬!$B$4:$B$53,MATCH($B26,標準報酬!$A$4:$A$53,1)))</f>
        <v/>
      </c>
      <c r="H26" s="10">
        <f>IF($B26="","",MIN(MAX($G26,料率!$E$10),料率!$E$11))</f>
        <v/>
      </c>
      <c r="I26" s="10">
        <f>IF($B26="","",ROUNDDOWN($C26,-3))</f>
        <v/>
      </c>
      <c r="J26" s="10">
        <f>IF($B26="","",($G26*12+MIN($I26*$D26,料率!$E$8))*(INDEX(料率!$B$4:$B$50,MATCH($B$5,料率!$A$4:$A$50,0))+IF($E26="はい",料率!$E$4,0))/2)</f>
        <v/>
      </c>
      <c r="K26" s="10">
        <f>IF($B26="","",($G26*12+MIN($I26*$D26,料率!$E$8))*料率!$E$5/2)</f>
        <v/>
      </c>
      <c r="L26" s="10">
        <f>IF($B26="","",($H26*12+MIN($I26,料率!$E$9)*$D26)*料率!$E$6/2)</f>
        <v/>
      </c>
      <c r="M26" s="10">
        <f>IF($B26="","",($H26*12+MIN($I26,料率!$E$9)*$D26)*料率!$E$7)</f>
        <v/>
      </c>
      <c r="N26" s="10">
        <f>IF($B26="","",$F26*INDEX(料率!$E$15:$E$17,MATCH($B$6,料率!$D$15:$D$17,0)))</f>
        <v/>
      </c>
      <c r="O26" s="10">
        <f>IF($B26="","",$F26*$B$7)</f>
        <v/>
      </c>
      <c r="P26" s="10">
        <f>IF($B26="","",SUM($J26:$O26))</f>
        <v/>
      </c>
      <c r="Q26" s="13">
        <f>IF($B26="","",$P26/$F26)</f>
        <v/>
      </c>
      <c r="R26" s="10">
        <f>IF($B26="","",($F26+$P26)/$B$8)</f>
        <v/>
      </c>
      <c r="S26" s="10">
        <f>IF($B26="","",$R26*$B$3/60)</f>
        <v/>
      </c>
    </row>
    <row r="27">
      <c r="A27" s="4" t="inlineStr">
        <is>
          <t>統計の平均</t>
        </is>
      </c>
      <c r="B27" s="3" t="n">
        <v>368111</v>
      </c>
      <c r="C27" s="3" t="n">
        <v>586872</v>
      </c>
      <c r="D27" s="3" t="n">
        <v>2</v>
      </c>
      <c r="E27" s="4" t="inlineStr">
        <is>
          <t>いいえ</t>
        </is>
      </c>
      <c r="F27" s="10">
        <f>IF($B27="","",$B27*12+$C27*$D27)</f>
        <v/>
      </c>
      <c r="G27" s="10">
        <f>IF($B27="","",INDEX(標準報酬!$B$4:$B$53,MATCH($B27,標準報酬!$A$4:$A$53,1)))</f>
        <v/>
      </c>
      <c r="H27" s="10">
        <f>IF($B27="","",MIN(MAX($G27,料率!$E$10),料率!$E$11))</f>
        <v/>
      </c>
      <c r="I27" s="10">
        <f>IF($B27="","",ROUNDDOWN($C27,-3))</f>
        <v/>
      </c>
      <c r="J27" s="10">
        <f>IF($B27="","",($G27*12+MIN($I27*$D27,料率!$E$8))*(INDEX(料率!$B$4:$B$50,MATCH($B$5,料率!$A$4:$A$50,0))+IF($E27="はい",料率!$E$4,0))/2)</f>
        <v/>
      </c>
      <c r="K27" s="10">
        <f>IF($B27="","",($G27*12+MIN($I27*$D27,料率!$E$8))*料率!$E$5/2)</f>
        <v/>
      </c>
      <c r="L27" s="10">
        <f>IF($B27="","",($H27*12+MIN($I27,料率!$E$9)*$D27)*料率!$E$6/2)</f>
        <v/>
      </c>
      <c r="M27" s="10">
        <f>IF($B27="","",($H27*12+MIN($I27,料率!$E$9)*$D27)*料率!$E$7)</f>
        <v/>
      </c>
      <c r="N27" s="10">
        <f>IF($B27="","",$F27*INDEX(料率!$E$15:$E$17,MATCH($B$6,料率!$D$15:$D$17,0)))</f>
        <v/>
      </c>
      <c r="O27" s="10">
        <f>IF($B27="","",$F27*$B$7)</f>
        <v/>
      </c>
      <c r="P27" s="10">
        <f>IF($B27="","",SUM($J27:$O27))</f>
        <v/>
      </c>
      <c r="Q27" s="13">
        <f>IF($B27="","",$P27/$F27)</f>
        <v/>
      </c>
      <c r="R27" s="10">
        <f>IF($B27="","",($F27+$P27)/$B$8)</f>
        <v/>
      </c>
      <c r="S27" s="10">
        <f>IF($B27="","",$R27*$B$3/60)</f>
        <v/>
      </c>
    </row>
    <row r="28">
      <c r="A28" s="4" t="inlineStr">
        <is>
          <t>統計の平均</t>
        </is>
      </c>
      <c r="B28" s="3" t="n">
        <v>368111</v>
      </c>
      <c r="C28" s="3" t="n">
        <v>586872</v>
      </c>
      <c r="D28" s="3" t="n">
        <v>2</v>
      </c>
      <c r="E28" s="4" t="inlineStr">
        <is>
          <t>いいえ</t>
        </is>
      </c>
      <c r="F28" s="10">
        <f>IF($B28="","",$B28*12+$C28*$D28)</f>
        <v/>
      </c>
      <c r="G28" s="10">
        <f>IF($B28="","",INDEX(標準報酬!$B$4:$B$53,MATCH($B28,標準報酬!$A$4:$A$53,1)))</f>
        <v/>
      </c>
      <c r="H28" s="10">
        <f>IF($B28="","",MIN(MAX($G28,料率!$E$10),料率!$E$11))</f>
        <v/>
      </c>
      <c r="I28" s="10">
        <f>IF($B28="","",ROUNDDOWN($C28,-3))</f>
        <v/>
      </c>
      <c r="J28" s="10">
        <f>IF($B28="","",($G28*12+MIN($I28*$D28,料率!$E$8))*(INDEX(料率!$B$4:$B$50,MATCH($B$5,料率!$A$4:$A$50,0))+IF($E28="はい",料率!$E$4,0))/2)</f>
        <v/>
      </c>
      <c r="K28" s="10">
        <f>IF($B28="","",($G28*12+MIN($I28*$D28,料率!$E$8))*料率!$E$5/2)</f>
        <v/>
      </c>
      <c r="L28" s="10">
        <f>IF($B28="","",($H28*12+MIN($I28,料率!$E$9)*$D28)*料率!$E$6/2)</f>
        <v/>
      </c>
      <c r="M28" s="10">
        <f>IF($B28="","",($H28*12+MIN($I28,料率!$E$9)*$D28)*料率!$E$7)</f>
        <v/>
      </c>
      <c r="N28" s="10">
        <f>IF($B28="","",$F28*INDEX(料率!$E$15:$E$17,MATCH($B$6,料率!$D$15:$D$17,0)))</f>
        <v/>
      </c>
      <c r="O28" s="10">
        <f>IF($B28="","",$F28*$B$7)</f>
        <v/>
      </c>
      <c r="P28" s="10">
        <f>IF($B28="","",SUM($J28:$O28))</f>
        <v/>
      </c>
      <c r="Q28" s="13">
        <f>IF($B28="","",$P28/$F28)</f>
        <v/>
      </c>
      <c r="R28" s="10">
        <f>IF($B28="","",($F28+$P28)/$B$8)</f>
        <v/>
      </c>
      <c r="S28" s="10">
        <f>IF($B28="","",$R28*$B$3/60)</f>
        <v/>
      </c>
    </row>
    <row r="29">
      <c r="A29" s="4" t="inlineStr">
        <is>
          <t>統計の平均</t>
        </is>
      </c>
      <c r="B29" s="3" t="n">
        <v>368111</v>
      </c>
      <c r="C29" s="3" t="n">
        <v>586872</v>
      </c>
      <c r="D29" s="3" t="n">
        <v>2</v>
      </c>
      <c r="E29" s="4" t="inlineStr">
        <is>
          <t>いいえ</t>
        </is>
      </c>
      <c r="F29" s="10">
        <f>IF($B29="","",$B29*12+$C29*$D29)</f>
        <v/>
      </c>
      <c r="G29" s="10">
        <f>IF($B29="","",INDEX(標準報酬!$B$4:$B$53,MATCH($B29,標準報酬!$A$4:$A$53,1)))</f>
        <v/>
      </c>
      <c r="H29" s="10">
        <f>IF($B29="","",MIN(MAX($G29,料率!$E$10),料率!$E$11))</f>
        <v/>
      </c>
      <c r="I29" s="10">
        <f>IF($B29="","",ROUNDDOWN($C29,-3))</f>
        <v/>
      </c>
      <c r="J29" s="10">
        <f>IF($B29="","",($G29*12+MIN($I29*$D29,料率!$E$8))*(INDEX(料率!$B$4:$B$50,MATCH($B$5,料率!$A$4:$A$50,0))+IF($E29="はい",料率!$E$4,0))/2)</f>
        <v/>
      </c>
      <c r="K29" s="10">
        <f>IF($B29="","",($G29*12+MIN($I29*$D29,料率!$E$8))*料率!$E$5/2)</f>
        <v/>
      </c>
      <c r="L29" s="10">
        <f>IF($B29="","",($H29*12+MIN($I29,料率!$E$9)*$D29)*料率!$E$6/2)</f>
        <v/>
      </c>
      <c r="M29" s="10">
        <f>IF($B29="","",($H29*12+MIN($I29,料率!$E$9)*$D29)*料率!$E$7)</f>
        <v/>
      </c>
      <c r="N29" s="10">
        <f>IF($B29="","",$F29*INDEX(料率!$E$15:$E$17,MATCH($B$6,料率!$D$15:$D$17,0)))</f>
        <v/>
      </c>
      <c r="O29" s="10">
        <f>IF($B29="","",$F29*$B$7)</f>
        <v/>
      </c>
      <c r="P29" s="10">
        <f>IF($B29="","",SUM($J29:$O29))</f>
        <v/>
      </c>
      <c r="Q29" s="13">
        <f>IF($B29="","",$P29/$F29)</f>
        <v/>
      </c>
      <c r="R29" s="10">
        <f>IF($B29="","",($F29+$P29)/$B$8)</f>
        <v/>
      </c>
      <c r="S29" s="10">
        <f>IF($B29="","",$R29*$B$3/60)</f>
        <v/>
      </c>
    </row>
    <row r="30">
      <c r="A30" s="4" t="inlineStr">
        <is>
          <t>統計の平均</t>
        </is>
      </c>
      <c r="B30" s="3" t="n">
        <v>368111</v>
      </c>
      <c r="C30" s="3" t="n">
        <v>586872</v>
      </c>
      <c r="D30" s="3" t="n">
        <v>2</v>
      </c>
      <c r="E30" s="4" t="inlineStr">
        <is>
          <t>いいえ</t>
        </is>
      </c>
      <c r="F30" s="10">
        <f>IF($B30="","",$B30*12+$C30*$D30)</f>
        <v/>
      </c>
      <c r="G30" s="10">
        <f>IF($B30="","",INDEX(標準報酬!$B$4:$B$53,MATCH($B30,標準報酬!$A$4:$A$53,1)))</f>
        <v/>
      </c>
      <c r="H30" s="10">
        <f>IF($B30="","",MIN(MAX($G30,料率!$E$10),料率!$E$11))</f>
        <v/>
      </c>
      <c r="I30" s="10">
        <f>IF($B30="","",ROUNDDOWN($C30,-3))</f>
        <v/>
      </c>
      <c r="J30" s="10">
        <f>IF($B30="","",($G30*12+MIN($I30*$D30,料率!$E$8))*(INDEX(料率!$B$4:$B$50,MATCH($B$5,料率!$A$4:$A$50,0))+IF($E30="はい",料率!$E$4,0))/2)</f>
        <v/>
      </c>
      <c r="K30" s="10">
        <f>IF($B30="","",($G30*12+MIN($I30*$D30,料率!$E$8))*料率!$E$5/2)</f>
        <v/>
      </c>
      <c r="L30" s="10">
        <f>IF($B30="","",($H30*12+MIN($I30,料率!$E$9)*$D30)*料率!$E$6/2)</f>
        <v/>
      </c>
      <c r="M30" s="10">
        <f>IF($B30="","",($H30*12+MIN($I30,料率!$E$9)*$D30)*料率!$E$7)</f>
        <v/>
      </c>
      <c r="N30" s="10">
        <f>IF($B30="","",$F30*INDEX(料率!$E$15:$E$17,MATCH($B$6,料率!$D$15:$D$17,0)))</f>
        <v/>
      </c>
      <c r="O30" s="10">
        <f>IF($B30="","",$F30*$B$7)</f>
        <v/>
      </c>
      <c r="P30" s="10">
        <f>IF($B30="","",SUM($J30:$O30))</f>
        <v/>
      </c>
      <c r="Q30" s="13">
        <f>IF($B30="","",$P30/$F30)</f>
        <v/>
      </c>
      <c r="R30" s="10">
        <f>IF($B30="","",($F30+$P30)/$B$8)</f>
        <v/>
      </c>
      <c r="S30" s="10">
        <f>IF($B30="","",$R30*$B$3/60)</f>
        <v/>
      </c>
    </row>
    <row r="31">
      <c r="A31" s="4" t="inlineStr">
        <is>
          <t>統計の平均</t>
        </is>
      </c>
      <c r="B31" s="3" t="n">
        <v>368111</v>
      </c>
      <c r="C31" s="3" t="n">
        <v>586872</v>
      </c>
      <c r="D31" s="3" t="n">
        <v>2</v>
      </c>
      <c r="E31" s="4" t="inlineStr">
        <is>
          <t>いいえ</t>
        </is>
      </c>
      <c r="F31" s="10">
        <f>IF($B31="","",$B31*12+$C31*$D31)</f>
        <v/>
      </c>
      <c r="G31" s="10">
        <f>IF($B31="","",INDEX(標準報酬!$B$4:$B$53,MATCH($B31,標準報酬!$A$4:$A$53,1)))</f>
        <v/>
      </c>
      <c r="H31" s="10">
        <f>IF($B31="","",MIN(MAX($G31,料率!$E$10),料率!$E$11))</f>
        <v/>
      </c>
      <c r="I31" s="10">
        <f>IF($B31="","",ROUNDDOWN($C31,-3))</f>
        <v/>
      </c>
      <c r="J31" s="10">
        <f>IF($B31="","",($G31*12+MIN($I31*$D31,料率!$E$8))*(INDEX(料率!$B$4:$B$50,MATCH($B$5,料率!$A$4:$A$50,0))+IF($E31="はい",料率!$E$4,0))/2)</f>
        <v/>
      </c>
      <c r="K31" s="10">
        <f>IF($B31="","",($G31*12+MIN($I31*$D31,料率!$E$8))*料率!$E$5/2)</f>
        <v/>
      </c>
      <c r="L31" s="10">
        <f>IF($B31="","",($H31*12+MIN($I31,料率!$E$9)*$D31)*料率!$E$6/2)</f>
        <v/>
      </c>
      <c r="M31" s="10">
        <f>IF($B31="","",($H31*12+MIN($I31,料率!$E$9)*$D31)*料率!$E$7)</f>
        <v/>
      </c>
      <c r="N31" s="10">
        <f>IF($B31="","",$F31*INDEX(料率!$E$15:$E$17,MATCH($B$6,料率!$D$15:$D$17,0)))</f>
        <v/>
      </c>
      <c r="O31" s="10">
        <f>IF($B31="","",$F31*$B$7)</f>
        <v/>
      </c>
      <c r="P31" s="10">
        <f>IF($B31="","",SUM($J31:$O31))</f>
        <v/>
      </c>
      <c r="Q31" s="13">
        <f>IF($B31="","",$P31/$F31)</f>
        <v/>
      </c>
      <c r="R31" s="10">
        <f>IF($B31="","",($F31+$P31)/$B$8)</f>
        <v/>
      </c>
      <c r="S31" s="10">
        <f>IF($B31="","",$R31*$B$3/60)</f>
        <v/>
      </c>
    </row>
    <row r="32">
      <c r="A32" s="4" t="inlineStr"/>
      <c r="B32" s="3" t="n"/>
      <c r="C32" s="3" t="n"/>
      <c r="D32" s="3" t="n"/>
      <c r="E32" s="4" t="n"/>
      <c r="F32" s="10">
        <f>IF($B32="","",$B32*12+$C32*$D32)</f>
        <v/>
      </c>
      <c r="G32" s="10">
        <f>IF($B32="","",INDEX(標準報酬!$B$4:$B$53,MATCH($B32,標準報酬!$A$4:$A$53,1)))</f>
        <v/>
      </c>
      <c r="H32" s="10">
        <f>IF($B32="","",MIN(MAX($G32,料率!$E$10),料率!$E$11))</f>
        <v/>
      </c>
      <c r="I32" s="10">
        <f>IF($B32="","",ROUNDDOWN($C32,-3))</f>
        <v/>
      </c>
      <c r="J32" s="10">
        <f>IF($B32="","",($G32*12+MIN($I32*$D32,料率!$E$8))*(INDEX(料率!$B$4:$B$50,MATCH($B$5,料率!$A$4:$A$50,0))+IF($E32="はい",料率!$E$4,0))/2)</f>
        <v/>
      </c>
      <c r="K32" s="10">
        <f>IF($B32="","",($G32*12+MIN($I32*$D32,料率!$E$8))*料率!$E$5/2)</f>
        <v/>
      </c>
      <c r="L32" s="10">
        <f>IF($B32="","",($H32*12+MIN($I32,料率!$E$9)*$D32)*料率!$E$6/2)</f>
        <v/>
      </c>
      <c r="M32" s="10">
        <f>IF($B32="","",($H32*12+MIN($I32,料率!$E$9)*$D32)*料率!$E$7)</f>
        <v/>
      </c>
      <c r="N32" s="10">
        <f>IF($B32="","",$F32*INDEX(料率!$E$15:$E$17,MATCH($B$6,料率!$D$15:$D$17,0)))</f>
        <v/>
      </c>
      <c r="O32" s="10">
        <f>IF($B32="","",$F32*$B$7)</f>
        <v/>
      </c>
      <c r="P32" s="10">
        <f>IF($B32="","",SUM($J32:$O32))</f>
        <v/>
      </c>
      <c r="Q32" s="13">
        <f>IF($B32="","",$P32/$F32)</f>
        <v/>
      </c>
      <c r="R32" s="10">
        <f>IF($B32="","",($F32+$P32)/$B$8)</f>
        <v/>
      </c>
      <c r="S32" s="10">
        <f>IF($B32="","",$R32*$B$3/60)</f>
        <v/>
      </c>
    </row>
    <row r="33">
      <c r="A33" s="4" t="inlineStr"/>
      <c r="B33" s="3" t="n"/>
      <c r="C33" s="3" t="n"/>
      <c r="D33" s="3" t="n"/>
      <c r="E33" s="4" t="n"/>
      <c r="F33" s="10">
        <f>IF($B33="","",$B33*12+$C33*$D33)</f>
        <v/>
      </c>
      <c r="G33" s="10">
        <f>IF($B33="","",INDEX(標準報酬!$B$4:$B$53,MATCH($B33,標準報酬!$A$4:$A$53,1)))</f>
        <v/>
      </c>
      <c r="H33" s="10">
        <f>IF($B33="","",MIN(MAX($G33,料率!$E$10),料率!$E$11))</f>
        <v/>
      </c>
      <c r="I33" s="10">
        <f>IF($B33="","",ROUNDDOWN($C33,-3))</f>
        <v/>
      </c>
      <c r="J33" s="10">
        <f>IF($B33="","",($G33*12+MIN($I33*$D33,料率!$E$8))*(INDEX(料率!$B$4:$B$50,MATCH($B$5,料率!$A$4:$A$50,0))+IF($E33="はい",料率!$E$4,0))/2)</f>
        <v/>
      </c>
      <c r="K33" s="10">
        <f>IF($B33="","",($G33*12+MIN($I33*$D33,料率!$E$8))*料率!$E$5/2)</f>
        <v/>
      </c>
      <c r="L33" s="10">
        <f>IF($B33="","",($H33*12+MIN($I33,料率!$E$9)*$D33)*料率!$E$6/2)</f>
        <v/>
      </c>
      <c r="M33" s="10">
        <f>IF($B33="","",($H33*12+MIN($I33,料率!$E$9)*$D33)*料率!$E$7)</f>
        <v/>
      </c>
      <c r="N33" s="10">
        <f>IF($B33="","",$F33*INDEX(料率!$E$15:$E$17,MATCH($B$6,料率!$D$15:$D$17,0)))</f>
        <v/>
      </c>
      <c r="O33" s="10">
        <f>IF($B33="","",$F33*$B$7)</f>
        <v/>
      </c>
      <c r="P33" s="10">
        <f>IF($B33="","",SUM($J33:$O33))</f>
        <v/>
      </c>
      <c r="Q33" s="13">
        <f>IF($B33="","",$P33/$F33)</f>
        <v/>
      </c>
      <c r="R33" s="10">
        <f>IF($B33="","",($F33+$P33)/$B$8)</f>
        <v/>
      </c>
      <c r="S33" s="10">
        <f>IF($B33="","",$R33*$B$3/60)</f>
        <v/>
      </c>
    </row>
    <row r="34">
      <c r="A34" s="4" t="inlineStr"/>
      <c r="B34" s="3" t="n"/>
      <c r="C34" s="3" t="n"/>
      <c r="D34" s="3" t="n"/>
      <c r="E34" s="4" t="n"/>
      <c r="F34" s="10">
        <f>IF($B34="","",$B34*12+$C34*$D34)</f>
        <v/>
      </c>
      <c r="G34" s="10">
        <f>IF($B34="","",INDEX(標準報酬!$B$4:$B$53,MATCH($B34,標準報酬!$A$4:$A$53,1)))</f>
        <v/>
      </c>
      <c r="H34" s="10">
        <f>IF($B34="","",MIN(MAX($G34,料率!$E$10),料率!$E$11))</f>
        <v/>
      </c>
      <c r="I34" s="10">
        <f>IF($B34="","",ROUNDDOWN($C34,-3))</f>
        <v/>
      </c>
      <c r="J34" s="10">
        <f>IF($B34="","",($G34*12+MIN($I34*$D34,料率!$E$8))*(INDEX(料率!$B$4:$B$50,MATCH($B$5,料率!$A$4:$A$50,0))+IF($E34="はい",料率!$E$4,0))/2)</f>
        <v/>
      </c>
      <c r="K34" s="10">
        <f>IF($B34="","",($G34*12+MIN($I34*$D34,料率!$E$8))*料率!$E$5/2)</f>
        <v/>
      </c>
      <c r="L34" s="10">
        <f>IF($B34="","",($H34*12+MIN($I34,料率!$E$9)*$D34)*料率!$E$6/2)</f>
        <v/>
      </c>
      <c r="M34" s="10">
        <f>IF($B34="","",($H34*12+MIN($I34,料率!$E$9)*$D34)*料率!$E$7)</f>
        <v/>
      </c>
      <c r="N34" s="10">
        <f>IF($B34="","",$F34*INDEX(料率!$E$15:$E$17,MATCH($B$6,料率!$D$15:$D$17,0)))</f>
        <v/>
      </c>
      <c r="O34" s="10">
        <f>IF($B34="","",$F34*$B$7)</f>
        <v/>
      </c>
      <c r="P34" s="10">
        <f>IF($B34="","",SUM($J34:$O34))</f>
        <v/>
      </c>
      <c r="Q34" s="13">
        <f>IF($B34="","",$P34/$F34)</f>
        <v/>
      </c>
      <c r="R34" s="10">
        <f>IF($B34="","",($F34+$P34)/$B$8)</f>
        <v/>
      </c>
      <c r="S34" s="10">
        <f>IF($B34="","",$R34*$B$3/60)</f>
        <v/>
      </c>
    </row>
    <row r="35">
      <c r="A35" s="4" t="inlineStr"/>
      <c r="B35" s="3" t="n"/>
      <c r="C35" s="3" t="n"/>
      <c r="D35" s="3" t="n"/>
      <c r="E35" s="4" t="n"/>
      <c r="F35" s="10">
        <f>IF($B35="","",$B35*12+$C35*$D35)</f>
        <v/>
      </c>
      <c r="G35" s="10">
        <f>IF($B35="","",INDEX(標準報酬!$B$4:$B$53,MATCH($B35,標準報酬!$A$4:$A$53,1)))</f>
        <v/>
      </c>
      <c r="H35" s="10">
        <f>IF($B35="","",MIN(MAX($G35,料率!$E$10),料率!$E$11))</f>
        <v/>
      </c>
      <c r="I35" s="10">
        <f>IF($B35="","",ROUNDDOWN($C35,-3))</f>
        <v/>
      </c>
      <c r="J35" s="10">
        <f>IF($B35="","",($G35*12+MIN($I35*$D35,料率!$E$8))*(INDEX(料率!$B$4:$B$50,MATCH($B$5,料率!$A$4:$A$50,0))+IF($E35="はい",料率!$E$4,0))/2)</f>
        <v/>
      </c>
      <c r="K35" s="10">
        <f>IF($B35="","",($G35*12+MIN($I35*$D35,料率!$E$8))*料率!$E$5/2)</f>
        <v/>
      </c>
      <c r="L35" s="10">
        <f>IF($B35="","",($H35*12+MIN($I35,料率!$E$9)*$D35)*料率!$E$6/2)</f>
        <v/>
      </c>
      <c r="M35" s="10">
        <f>IF($B35="","",($H35*12+MIN($I35,料率!$E$9)*$D35)*料率!$E$7)</f>
        <v/>
      </c>
      <c r="N35" s="10">
        <f>IF($B35="","",$F35*INDEX(料率!$E$15:$E$17,MATCH($B$6,料率!$D$15:$D$17,0)))</f>
        <v/>
      </c>
      <c r="O35" s="10">
        <f>IF($B35="","",$F35*$B$7)</f>
        <v/>
      </c>
      <c r="P35" s="10">
        <f>IF($B35="","",SUM($J35:$O35))</f>
        <v/>
      </c>
      <c r="Q35" s="13">
        <f>IF($B35="","",$P35/$F35)</f>
        <v/>
      </c>
      <c r="R35" s="10">
        <f>IF($B35="","",($F35+$P35)/$B$8)</f>
        <v/>
      </c>
      <c r="S35" s="10">
        <f>IF($B35="","",$R35*$B$3/60)</f>
        <v/>
      </c>
    </row>
    <row r="36">
      <c r="A36" s="4" t="inlineStr"/>
      <c r="B36" s="3" t="n"/>
      <c r="C36" s="3" t="n"/>
      <c r="D36" s="3" t="n"/>
      <c r="E36" s="4" t="n"/>
      <c r="F36" s="10">
        <f>IF($B36="","",$B36*12+$C36*$D36)</f>
        <v/>
      </c>
      <c r="G36" s="10">
        <f>IF($B36="","",INDEX(標準報酬!$B$4:$B$53,MATCH($B36,標準報酬!$A$4:$A$53,1)))</f>
        <v/>
      </c>
      <c r="H36" s="10">
        <f>IF($B36="","",MIN(MAX($G36,料率!$E$10),料率!$E$11))</f>
        <v/>
      </c>
      <c r="I36" s="10">
        <f>IF($B36="","",ROUNDDOWN($C36,-3))</f>
        <v/>
      </c>
      <c r="J36" s="10">
        <f>IF($B36="","",($G36*12+MIN($I36*$D36,料率!$E$8))*(INDEX(料率!$B$4:$B$50,MATCH($B$5,料率!$A$4:$A$50,0))+IF($E36="はい",料率!$E$4,0))/2)</f>
        <v/>
      </c>
      <c r="K36" s="10">
        <f>IF($B36="","",($G36*12+MIN($I36*$D36,料率!$E$8))*料率!$E$5/2)</f>
        <v/>
      </c>
      <c r="L36" s="10">
        <f>IF($B36="","",($H36*12+MIN($I36,料率!$E$9)*$D36)*料率!$E$6/2)</f>
        <v/>
      </c>
      <c r="M36" s="10">
        <f>IF($B36="","",($H36*12+MIN($I36,料率!$E$9)*$D36)*料率!$E$7)</f>
        <v/>
      </c>
      <c r="N36" s="10">
        <f>IF($B36="","",$F36*INDEX(料率!$E$15:$E$17,MATCH($B$6,料率!$D$15:$D$17,0)))</f>
        <v/>
      </c>
      <c r="O36" s="10">
        <f>IF($B36="","",$F36*$B$7)</f>
        <v/>
      </c>
      <c r="P36" s="10">
        <f>IF($B36="","",SUM($J36:$O36))</f>
        <v/>
      </c>
      <c r="Q36" s="13">
        <f>IF($B36="","",$P36/$F36)</f>
        <v/>
      </c>
      <c r="R36" s="10">
        <f>IF($B36="","",($F36+$P36)/$B$8)</f>
        <v/>
      </c>
      <c r="S36" s="10">
        <f>IF($B36="","",$R36*$B$3/60)</f>
        <v/>
      </c>
    </row>
    <row r="37">
      <c r="A37" s="4" t="inlineStr"/>
      <c r="B37" s="3" t="n"/>
      <c r="C37" s="3" t="n"/>
      <c r="D37" s="3" t="n"/>
      <c r="E37" s="4" t="n"/>
      <c r="F37" s="10">
        <f>IF($B37="","",$B37*12+$C37*$D37)</f>
        <v/>
      </c>
      <c r="G37" s="10">
        <f>IF($B37="","",INDEX(標準報酬!$B$4:$B$53,MATCH($B37,標準報酬!$A$4:$A$53,1)))</f>
        <v/>
      </c>
      <c r="H37" s="10">
        <f>IF($B37="","",MIN(MAX($G37,料率!$E$10),料率!$E$11))</f>
        <v/>
      </c>
      <c r="I37" s="10">
        <f>IF($B37="","",ROUNDDOWN($C37,-3))</f>
        <v/>
      </c>
      <c r="J37" s="10">
        <f>IF($B37="","",($G37*12+MIN($I37*$D37,料率!$E$8))*(INDEX(料率!$B$4:$B$50,MATCH($B$5,料率!$A$4:$A$50,0))+IF($E37="はい",料率!$E$4,0))/2)</f>
        <v/>
      </c>
      <c r="K37" s="10">
        <f>IF($B37="","",($G37*12+MIN($I37*$D37,料率!$E$8))*料率!$E$5/2)</f>
        <v/>
      </c>
      <c r="L37" s="10">
        <f>IF($B37="","",($H37*12+MIN($I37,料率!$E$9)*$D37)*料率!$E$6/2)</f>
        <v/>
      </c>
      <c r="M37" s="10">
        <f>IF($B37="","",($H37*12+MIN($I37,料率!$E$9)*$D37)*料率!$E$7)</f>
        <v/>
      </c>
      <c r="N37" s="10">
        <f>IF($B37="","",$F37*INDEX(料率!$E$15:$E$17,MATCH($B$6,料率!$D$15:$D$17,0)))</f>
        <v/>
      </c>
      <c r="O37" s="10">
        <f>IF($B37="","",$F37*$B$7)</f>
        <v/>
      </c>
      <c r="P37" s="10">
        <f>IF($B37="","",SUM($J37:$O37))</f>
        <v/>
      </c>
      <c r="Q37" s="13">
        <f>IF($B37="","",$P37/$F37)</f>
        <v/>
      </c>
      <c r="R37" s="10">
        <f>IF($B37="","",($F37+$P37)/$B$8)</f>
        <v/>
      </c>
      <c r="S37" s="10">
        <f>IF($B37="","",$R37*$B$3/60)</f>
        <v/>
      </c>
    </row>
    <row r="38">
      <c r="A38" s="4" t="inlineStr"/>
      <c r="B38" s="3" t="n"/>
      <c r="C38" s="3" t="n"/>
      <c r="D38" s="3" t="n"/>
      <c r="E38" s="4" t="n"/>
      <c r="F38" s="10">
        <f>IF($B38="","",$B38*12+$C38*$D38)</f>
        <v/>
      </c>
      <c r="G38" s="10">
        <f>IF($B38="","",INDEX(標準報酬!$B$4:$B$53,MATCH($B38,標準報酬!$A$4:$A$53,1)))</f>
        <v/>
      </c>
      <c r="H38" s="10">
        <f>IF($B38="","",MIN(MAX($G38,料率!$E$10),料率!$E$11))</f>
        <v/>
      </c>
      <c r="I38" s="10">
        <f>IF($B38="","",ROUNDDOWN($C38,-3))</f>
        <v/>
      </c>
      <c r="J38" s="10">
        <f>IF($B38="","",($G38*12+MIN($I38*$D38,料率!$E$8))*(INDEX(料率!$B$4:$B$50,MATCH($B$5,料率!$A$4:$A$50,0))+IF($E38="はい",料率!$E$4,0))/2)</f>
        <v/>
      </c>
      <c r="K38" s="10">
        <f>IF($B38="","",($G38*12+MIN($I38*$D38,料率!$E$8))*料率!$E$5/2)</f>
        <v/>
      </c>
      <c r="L38" s="10">
        <f>IF($B38="","",($H38*12+MIN($I38,料率!$E$9)*$D38)*料率!$E$6/2)</f>
        <v/>
      </c>
      <c r="M38" s="10">
        <f>IF($B38="","",($H38*12+MIN($I38,料率!$E$9)*$D38)*料率!$E$7)</f>
        <v/>
      </c>
      <c r="N38" s="10">
        <f>IF($B38="","",$F38*INDEX(料率!$E$15:$E$17,MATCH($B$6,料率!$D$15:$D$17,0)))</f>
        <v/>
      </c>
      <c r="O38" s="10">
        <f>IF($B38="","",$F38*$B$7)</f>
        <v/>
      </c>
      <c r="P38" s="10">
        <f>IF($B38="","",SUM($J38:$O38))</f>
        <v/>
      </c>
      <c r="Q38" s="13">
        <f>IF($B38="","",$P38/$F38)</f>
        <v/>
      </c>
      <c r="R38" s="10">
        <f>IF($B38="","",($F38+$P38)/$B$8)</f>
        <v/>
      </c>
      <c r="S38" s="10">
        <f>IF($B38="","",$R38*$B$3/60)</f>
        <v/>
      </c>
    </row>
    <row r="39">
      <c r="A39" s="4" t="inlineStr"/>
      <c r="B39" s="3" t="n"/>
      <c r="C39" s="3" t="n"/>
      <c r="D39" s="3" t="n"/>
      <c r="E39" s="4" t="n"/>
      <c r="F39" s="10">
        <f>IF($B39="","",$B39*12+$C39*$D39)</f>
        <v/>
      </c>
      <c r="G39" s="10">
        <f>IF($B39="","",INDEX(標準報酬!$B$4:$B$53,MATCH($B39,標準報酬!$A$4:$A$53,1)))</f>
        <v/>
      </c>
      <c r="H39" s="10">
        <f>IF($B39="","",MIN(MAX($G39,料率!$E$10),料率!$E$11))</f>
        <v/>
      </c>
      <c r="I39" s="10">
        <f>IF($B39="","",ROUNDDOWN($C39,-3))</f>
        <v/>
      </c>
      <c r="J39" s="10">
        <f>IF($B39="","",($G39*12+MIN($I39*$D39,料率!$E$8))*(INDEX(料率!$B$4:$B$50,MATCH($B$5,料率!$A$4:$A$50,0))+IF($E39="はい",料率!$E$4,0))/2)</f>
        <v/>
      </c>
      <c r="K39" s="10">
        <f>IF($B39="","",($G39*12+MIN($I39*$D39,料率!$E$8))*料率!$E$5/2)</f>
        <v/>
      </c>
      <c r="L39" s="10">
        <f>IF($B39="","",($H39*12+MIN($I39,料率!$E$9)*$D39)*料率!$E$6/2)</f>
        <v/>
      </c>
      <c r="M39" s="10">
        <f>IF($B39="","",($H39*12+MIN($I39,料率!$E$9)*$D39)*料率!$E$7)</f>
        <v/>
      </c>
      <c r="N39" s="10">
        <f>IF($B39="","",$F39*INDEX(料率!$E$15:$E$17,MATCH($B$6,料率!$D$15:$D$17,0)))</f>
        <v/>
      </c>
      <c r="O39" s="10">
        <f>IF($B39="","",$F39*$B$7)</f>
        <v/>
      </c>
      <c r="P39" s="10">
        <f>IF($B39="","",SUM($J39:$O39))</f>
        <v/>
      </c>
      <c r="Q39" s="13">
        <f>IF($B39="","",$P39/$F39)</f>
        <v/>
      </c>
      <c r="R39" s="10">
        <f>IF($B39="","",($F39+$P39)/$B$8)</f>
        <v/>
      </c>
      <c r="S39" s="10">
        <f>IF($B39="","",$R39*$B$3/60)</f>
        <v/>
      </c>
    </row>
    <row r="40">
      <c r="A40" s="4" t="inlineStr"/>
      <c r="B40" s="3" t="n"/>
      <c r="C40" s="3" t="n"/>
      <c r="D40" s="3" t="n"/>
      <c r="E40" s="4" t="n"/>
      <c r="F40" s="10">
        <f>IF($B40="","",$B40*12+$C40*$D40)</f>
        <v/>
      </c>
      <c r="G40" s="10">
        <f>IF($B40="","",INDEX(標準報酬!$B$4:$B$53,MATCH($B40,標準報酬!$A$4:$A$53,1)))</f>
        <v/>
      </c>
      <c r="H40" s="10">
        <f>IF($B40="","",MIN(MAX($G40,料率!$E$10),料率!$E$11))</f>
        <v/>
      </c>
      <c r="I40" s="10">
        <f>IF($B40="","",ROUNDDOWN($C40,-3))</f>
        <v/>
      </c>
      <c r="J40" s="10">
        <f>IF($B40="","",($G40*12+MIN($I40*$D40,料率!$E$8))*(INDEX(料率!$B$4:$B$50,MATCH($B$5,料率!$A$4:$A$50,0))+IF($E40="はい",料率!$E$4,0))/2)</f>
        <v/>
      </c>
      <c r="K40" s="10">
        <f>IF($B40="","",($G40*12+MIN($I40*$D40,料率!$E$8))*料率!$E$5/2)</f>
        <v/>
      </c>
      <c r="L40" s="10">
        <f>IF($B40="","",($H40*12+MIN($I40,料率!$E$9)*$D40)*料率!$E$6/2)</f>
        <v/>
      </c>
      <c r="M40" s="10">
        <f>IF($B40="","",($H40*12+MIN($I40,料率!$E$9)*$D40)*料率!$E$7)</f>
        <v/>
      </c>
      <c r="N40" s="10">
        <f>IF($B40="","",$F40*INDEX(料率!$E$15:$E$17,MATCH($B$6,料率!$D$15:$D$17,0)))</f>
        <v/>
      </c>
      <c r="O40" s="10">
        <f>IF($B40="","",$F40*$B$7)</f>
        <v/>
      </c>
      <c r="P40" s="10">
        <f>IF($B40="","",SUM($J40:$O40))</f>
        <v/>
      </c>
      <c r="Q40" s="13">
        <f>IF($B40="","",$P40/$F40)</f>
        <v/>
      </c>
      <c r="R40" s="10">
        <f>IF($B40="","",($F40+$P40)/$B$8)</f>
        <v/>
      </c>
      <c r="S40" s="10">
        <f>IF($B40="","",$R40*$B$3/60)</f>
        <v/>
      </c>
    </row>
    <row r="41">
      <c r="A41" s="4" t="inlineStr"/>
      <c r="B41" s="3" t="n"/>
      <c r="C41" s="3" t="n"/>
      <c r="D41" s="3" t="n"/>
      <c r="E41" s="4" t="n"/>
      <c r="F41" s="10">
        <f>IF($B41="","",$B41*12+$C41*$D41)</f>
        <v/>
      </c>
      <c r="G41" s="10">
        <f>IF($B41="","",INDEX(標準報酬!$B$4:$B$53,MATCH($B41,標準報酬!$A$4:$A$53,1)))</f>
        <v/>
      </c>
      <c r="H41" s="10">
        <f>IF($B41="","",MIN(MAX($G41,料率!$E$10),料率!$E$11))</f>
        <v/>
      </c>
      <c r="I41" s="10">
        <f>IF($B41="","",ROUNDDOWN($C41,-3))</f>
        <v/>
      </c>
      <c r="J41" s="10">
        <f>IF($B41="","",($G41*12+MIN($I41*$D41,料率!$E$8))*(INDEX(料率!$B$4:$B$50,MATCH($B$5,料率!$A$4:$A$50,0))+IF($E41="はい",料率!$E$4,0))/2)</f>
        <v/>
      </c>
      <c r="K41" s="10">
        <f>IF($B41="","",($G41*12+MIN($I41*$D41,料率!$E$8))*料率!$E$5/2)</f>
        <v/>
      </c>
      <c r="L41" s="10">
        <f>IF($B41="","",($H41*12+MIN($I41,料率!$E$9)*$D41)*料率!$E$6/2)</f>
        <v/>
      </c>
      <c r="M41" s="10">
        <f>IF($B41="","",($H41*12+MIN($I41,料率!$E$9)*$D41)*料率!$E$7)</f>
        <v/>
      </c>
      <c r="N41" s="10">
        <f>IF($B41="","",$F41*INDEX(料率!$E$15:$E$17,MATCH($B$6,料率!$D$15:$D$17,0)))</f>
        <v/>
      </c>
      <c r="O41" s="10">
        <f>IF($B41="","",$F41*$B$7)</f>
        <v/>
      </c>
      <c r="P41" s="10">
        <f>IF($B41="","",SUM($J41:$O41))</f>
        <v/>
      </c>
      <c r="Q41" s="13">
        <f>IF($B41="","",$P41/$F41)</f>
        <v/>
      </c>
      <c r="R41" s="10">
        <f>IF($B41="","",($F41+$P41)/$B$8)</f>
        <v/>
      </c>
      <c r="S41" s="10">
        <f>IF($B41="","",$R41*$B$3/60)</f>
        <v/>
      </c>
    </row>
    <row r="43">
      <c r="A43" s="14" t="inlineStr">
        <is>
          <t>合計</t>
        </is>
      </c>
      <c r="F43" s="8">
        <f>SUM(F22:F41)</f>
        <v/>
      </c>
      <c r="J43" s="8">
        <f>SUM(J22:J41)</f>
        <v/>
      </c>
      <c r="K43" s="8">
        <f>SUM(K22:K41)</f>
        <v/>
      </c>
      <c r="L43" s="8">
        <f>SUM(L22:L41)</f>
        <v/>
      </c>
      <c r="M43" s="8">
        <f>SUM(M22:M41)</f>
        <v/>
      </c>
      <c r="N43" s="8">
        <f>SUM(N22:N41)</f>
        <v/>
      </c>
      <c r="O43" s="8">
        <f>SUM(O22:O41)</f>
        <v/>
      </c>
      <c r="P43" s="8">
        <f>SUM(P22:P41)</f>
        <v/>
      </c>
      <c r="Q43" s="15">
        <f>IF($F43=0,"",$P43/$F43)</f>
        <v/>
      </c>
      <c r="S43" s="8">
        <f>SUM(S22:S41)</f>
        <v/>
      </c>
    </row>
    <row r="45">
      <c r="A45" t="inlineStr">
        <is>
          <t>緑の行は、この会議でいちばん値段の高い参加者。月給が空の行は数えない</t>
        </is>
      </c>
    </row>
    <row r="46">
      <c r="A46" t="inlineStr">
        <is>
          <t>賞与の回数が年4回以上なら、賞与は標準報酬月額に入る。この表はその場合を扱わない</t>
        </is>
      </c>
    </row>
  </sheetData>
  <conditionalFormatting sqref="C15:D18">
    <cfRule type="expression" priority="1" dxfId="0">
      <formula>$C15&lt;0</formula>
    </cfRule>
    <cfRule type="expression" priority="2" dxfId="1">
      <formula>$C15&gt;0</formula>
    </cfRule>
  </conditionalFormatting>
  <conditionalFormatting sqref="A22:S41">
    <cfRule type="expression" priority="3" dxfId="1">
      <formula>AND($S22&lt;&gt;"",$S22=MAX($S$22:$S$41),MAX($S$22:$S$41)&gt;MIN($S$22:$S$41))</formula>
    </cfRule>
  </conditionalFormatting>
  <dataValidations count="3">
    <dataValidation sqref="B5" showDropDown="0" showInputMessage="0" showErrorMessage="0" allowBlank="0" type="list">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sqref="B6" showDropDown="0" showInputMessage="0" showErrorMessage="0" allowBlank="0" type="list">
      <formula1>"一般の事業,農林水産・清酒製造の事業,建設の事業"</formula1>
    </dataValidation>
    <dataValidation sqref="E22:E41" showDropDown="0" showInputMessage="0" showErrorMessage="0" allowBlank="0" type="list">
      <formula1>"はい,いいえ"</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46"/>
  <sheetViews>
    <sheetView workbookViewId="0">
      <pane xSplit="1" ySplit="21" topLeftCell="B22"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3" customWidth="1" min="3" max="3"/>
    <col width="10" customWidth="1" min="4" max="4"/>
    <col width="9" customWidth="1" min="5" max="5"/>
    <col width="13"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1" customWidth="1" min="15" max="15"/>
    <col width="13" customWidth="1" min="16" max="16"/>
    <col width="11" customWidth="1" min="17" max="17"/>
    <col width="11" customWidth="1" min="18" max="18"/>
    <col width="12" customWidth="1" min="19" max="19"/>
  </cols>
  <sheetData>
    <row r="1">
      <c r="A1" s="1" t="inlineStr">
        <is>
          <t>会議の値段（給与＋会社が払う保険料を、1時間あたりにして参加者の分を足す）</t>
        </is>
      </c>
    </row>
    <row r="2">
      <c r="A2" t="inlineStr">
        <is>
          <t>月給と賞与の違う10人の例（架空）。年間の労働時間は全員同じにしている</t>
        </is>
      </c>
    </row>
    <row r="3">
      <c r="A3" s="2" t="inlineStr">
        <is>
          <t>会議の長さ（分）</t>
        </is>
      </c>
      <c r="B3" s="3" t="n">
        <v>60</v>
      </c>
    </row>
    <row r="4">
      <c r="A4" s="2" t="inlineStr">
        <is>
          <t>年に何回開くか</t>
        </is>
      </c>
      <c r="B4" s="3" t="n">
        <v>52</v>
      </c>
    </row>
    <row r="5">
      <c r="A5" s="2" t="inlineStr">
        <is>
          <t>都道府県（協会けんぽの支部）</t>
        </is>
      </c>
      <c r="B5" s="4" t="inlineStr">
        <is>
          <t>東京都</t>
        </is>
      </c>
    </row>
    <row r="6">
      <c r="A6" s="2" t="inlineStr">
        <is>
          <t>事業の種類（雇用保険）</t>
        </is>
      </c>
      <c r="B6" s="4" t="inlineStr">
        <is>
          <t>一般の事業</t>
        </is>
      </c>
    </row>
    <row r="7">
      <c r="A7" s="2" t="inlineStr">
        <is>
          <t>労災保険率</t>
        </is>
      </c>
      <c r="B7" s="5" t="n">
        <v>0.003</v>
      </c>
    </row>
    <row r="8">
      <c r="A8" s="2" t="inlineStr">
        <is>
          <t>1人の年間の労働時間</t>
        </is>
      </c>
      <c r="B8" s="6" t="n">
        <v>1926</v>
      </c>
      <c r="C8" t="inlineStr">
        <is>
          <t>初期値は毎月勤労統計調査 令和7年分確報の一般労働者の総実労働時間160.5時間×12</t>
        </is>
      </c>
    </row>
    <row r="10">
      <c r="A10" s="7" t="inlineStr">
        <is>
          <t>出し方</t>
        </is>
      </c>
      <c r="B10" s="7" t="inlineStr">
        <is>
          <t>この会議の値段</t>
        </is>
      </c>
      <c r="C10" s="7" t="inlineStr">
        <is>
          <t>正しい額との差</t>
        </is>
      </c>
      <c r="D10" s="7" t="inlineStr">
        <is>
          <t>差の割合</t>
        </is>
      </c>
    </row>
    <row r="11">
      <c r="A11" s="2" t="inlineStr">
        <is>
          <t>正しい額（給与＋会社負担 ÷ 年間の労働時間）</t>
        </is>
      </c>
      <c r="B11" s="8">
        <f>SUM($S$22:$S$41)</f>
        <v/>
      </c>
    </row>
    <row r="12">
      <c r="A12" s="2" t="inlineStr">
        <is>
          <t>1分あたり</t>
        </is>
      </c>
      <c r="B12" s="8">
        <f>$B$11/$B$3</f>
        <v/>
      </c>
    </row>
    <row r="13">
      <c r="A13" s="2" t="inlineStr">
        <is>
          <t>1年分（× 年に開く回数）</t>
        </is>
      </c>
      <c r="B13" s="8">
        <f>$B$11*$B$4</f>
        <v/>
      </c>
    </row>
    <row r="14">
      <c r="A14" s="9" t="inlineStr">
        <is>
          <t>参加人数</t>
        </is>
      </c>
      <c r="B14" s="10">
        <f>COUNT($B$22:$B$41)</f>
        <v/>
      </c>
    </row>
    <row r="15">
      <c r="A15" s="9" t="inlineStr">
        <is>
          <t>取り違え1: 会社負担を入れない（給与だけ）</t>
        </is>
      </c>
      <c r="B15" s="10">
        <f>SUM($F$22:$F$41)/$B$8*$B$3/60</f>
        <v/>
      </c>
      <c r="C15" s="11">
        <f>$B15-$B$11</f>
        <v/>
      </c>
      <c r="D15" s="12">
        <f>IF($B$11=0,"",$C15/$B$11)</f>
        <v/>
      </c>
    </row>
    <row r="16">
      <c r="A16" s="9" t="inlineStr">
        <is>
          <t>取り違え2: 年収 ÷ 2,000時間</t>
        </is>
      </c>
      <c r="B16" s="10">
        <f>SUM($F$22:$F$41)/2000*$B$3/60</f>
        <v/>
      </c>
      <c r="C16" s="11">
        <f>$B16-$B$11</f>
        <v/>
      </c>
      <c r="D16" s="12">
        <f>IF($B$11=0,"",$C16/$B$11)</f>
        <v/>
      </c>
    </row>
    <row r="17">
      <c r="A17" s="9" t="inlineStr">
        <is>
          <t>取り違え3: 月給 ÷ 160時間（賞与を入れない）</t>
        </is>
      </c>
      <c r="B17" s="10">
        <f>SUM($B$22:$B$41)/160*$B$3/60</f>
        <v/>
      </c>
      <c r="C17" s="11">
        <f>$B17-$B$11</f>
        <v/>
      </c>
      <c r="D17" s="12">
        <f>IF($B$11=0,"",$C17/$B$11)</f>
        <v/>
      </c>
    </row>
    <row r="18">
      <c r="A18" s="9" t="inlineStr">
        <is>
          <t>取り違え4: 労使の合計の率を年収に掛けた</t>
        </is>
      </c>
      <c r="B18" s="10">
        <f>SUM($F$22:$F$41)*(1+(INDEX(料率!$B$4:$B$50,MATCH($B$5,料率!$A$4:$A$50,0))+料率!$E$5+料率!$E$6+料率!$E$7+INDEX(料率!$F$15:$F$17,MATCH($B$6,料率!$D$15:$D$17,0))+$B$7))/$B$8*$B$3/60</f>
        <v/>
      </c>
      <c r="C18" s="11">
        <f>$B18-$B$11</f>
        <v/>
      </c>
      <c r="D18" s="12">
        <f>IF($B$11=0,"",$C18/$B$11)</f>
        <v/>
      </c>
    </row>
    <row r="21" ht="45" customHeight="1">
      <c r="A21" s="7" t="inlineStr">
        <is>
          <t>参加者</t>
        </is>
      </c>
      <c r="B21" s="7" t="inlineStr">
        <is>
          <t>月給（毎月の総支給）</t>
        </is>
      </c>
      <c r="C21" s="7" t="inlineStr">
        <is>
          <t>賞与1回の額</t>
        </is>
      </c>
      <c r="D21" s="7" t="inlineStr">
        <is>
          <t>賞与の回数</t>
        </is>
      </c>
      <c r="E21" s="7" t="inlineStr">
        <is>
          <t>40〜64歳か</t>
        </is>
      </c>
      <c r="F21" s="7" t="inlineStr">
        <is>
          <t>年間の給与</t>
        </is>
      </c>
      <c r="G21" s="7" t="inlineStr">
        <is>
          <t>健康保険の標準報酬月額</t>
        </is>
      </c>
      <c r="H21" s="7" t="inlineStr">
        <is>
          <t>厚生年金の標準報酬月額</t>
        </is>
      </c>
      <c r="I21" s="7" t="inlineStr">
        <is>
          <t>標準賞与額</t>
        </is>
      </c>
      <c r="J21" s="7" t="inlineStr">
        <is>
          <t>健康保険・介護（会社分）</t>
        </is>
      </c>
      <c r="K21" s="7" t="inlineStr">
        <is>
          <t>子ども・子育て支援金（会社分）</t>
        </is>
      </c>
      <c r="L21" s="7" t="inlineStr">
        <is>
          <t>厚生年金（会社分）</t>
        </is>
      </c>
      <c r="M21" s="7" t="inlineStr">
        <is>
          <t>子ども・子育て拠出金</t>
        </is>
      </c>
      <c r="N21" s="7" t="inlineStr">
        <is>
          <t>雇用保険（会社分）</t>
        </is>
      </c>
      <c r="O21" s="7" t="inlineStr">
        <is>
          <t>労災保険</t>
        </is>
      </c>
      <c r="P21" s="7" t="inlineStr">
        <is>
          <t>会社負担の計</t>
        </is>
      </c>
      <c r="Q21" s="7" t="inlineStr">
        <is>
          <t>給与に対する会社負担</t>
        </is>
      </c>
      <c r="R21" s="7" t="inlineStr">
        <is>
          <t>1人1時間あたり</t>
        </is>
      </c>
      <c r="S21" s="7" t="inlineStr">
        <is>
          <t>この会議の分</t>
        </is>
      </c>
    </row>
    <row r="22">
      <c r="A22" s="4" t="inlineStr">
        <is>
          <t>部長</t>
        </is>
      </c>
      <c r="B22" s="3" t="n">
        <v>600000</v>
      </c>
      <c r="C22" s="3" t="n">
        <v>1200000</v>
      </c>
      <c r="D22" s="3" t="n">
        <v>2</v>
      </c>
      <c r="E22" s="4" t="inlineStr">
        <is>
          <t>はい</t>
        </is>
      </c>
      <c r="F22" s="10">
        <f>IF($B22="","",$B22*12+$C22*$D22)</f>
        <v/>
      </c>
      <c r="G22" s="10">
        <f>IF($B22="","",INDEX(標準報酬!$B$4:$B$53,MATCH($B22,標準報酬!$A$4:$A$53,1)))</f>
        <v/>
      </c>
      <c r="H22" s="10">
        <f>IF($B22="","",MIN(MAX($G22,料率!$E$10),料率!$E$11))</f>
        <v/>
      </c>
      <c r="I22" s="10">
        <f>IF($B22="","",ROUNDDOWN($C22,-3))</f>
        <v/>
      </c>
      <c r="J22" s="10">
        <f>IF($B22="","",($G22*12+MIN($I22*$D22,料率!$E$8))*(INDEX(料率!$B$4:$B$50,MATCH($B$5,料率!$A$4:$A$50,0))+IF($E22="はい",料率!$E$4,0))/2)</f>
        <v/>
      </c>
      <c r="K22" s="10">
        <f>IF($B22="","",($G22*12+MIN($I22*$D22,料率!$E$8))*料率!$E$5/2)</f>
        <v/>
      </c>
      <c r="L22" s="10">
        <f>IF($B22="","",($H22*12+MIN($I22,料率!$E$9)*$D22)*料率!$E$6/2)</f>
        <v/>
      </c>
      <c r="M22" s="10">
        <f>IF($B22="","",($H22*12+MIN($I22,料率!$E$9)*$D22)*料率!$E$7)</f>
        <v/>
      </c>
      <c r="N22" s="10">
        <f>IF($B22="","",$F22*INDEX(料率!$E$15:$E$17,MATCH($B$6,料率!$D$15:$D$17,0)))</f>
        <v/>
      </c>
      <c r="O22" s="10">
        <f>IF($B22="","",$F22*$B$7)</f>
        <v/>
      </c>
      <c r="P22" s="10">
        <f>IF($B22="","",SUM($J22:$O22))</f>
        <v/>
      </c>
      <c r="Q22" s="13">
        <f>IF($B22="","",$P22/$F22)</f>
        <v/>
      </c>
      <c r="R22" s="10">
        <f>IF($B22="","",($F22+$P22)/$B$8)</f>
        <v/>
      </c>
      <c r="S22" s="10">
        <f>IF($B22="","",$R22*$B$3/60)</f>
        <v/>
      </c>
    </row>
    <row r="23">
      <c r="A23" s="4" t="inlineStr">
        <is>
          <t>課長</t>
        </is>
      </c>
      <c r="B23" s="3" t="n">
        <v>450000</v>
      </c>
      <c r="C23" s="3" t="n">
        <v>900000</v>
      </c>
      <c r="D23" s="3" t="n">
        <v>2</v>
      </c>
      <c r="E23" s="4" t="inlineStr">
        <is>
          <t>はい</t>
        </is>
      </c>
      <c r="F23" s="10">
        <f>IF($B23="","",$B23*12+$C23*$D23)</f>
        <v/>
      </c>
      <c r="G23" s="10">
        <f>IF($B23="","",INDEX(標準報酬!$B$4:$B$53,MATCH($B23,標準報酬!$A$4:$A$53,1)))</f>
        <v/>
      </c>
      <c r="H23" s="10">
        <f>IF($B23="","",MIN(MAX($G23,料率!$E$10),料率!$E$11))</f>
        <v/>
      </c>
      <c r="I23" s="10">
        <f>IF($B23="","",ROUNDDOWN($C23,-3))</f>
        <v/>
      </c>
      <c r="J23" s="10">
        <f>IF($B23="","",($G23*12+MIN($I23*$D23,料率!$E$8))*(INDEX(料率!$B$4:$B$50,MATCH($B$5,料率!$A$4:$A$50,0))+IF($E23="はい",料率!$E$4,0))/2)</f>
        <v/>
      </c>
      <c r="K23" s="10">
        <f>IF($B23="","",($G23*12+MIN($I23*$D23,料率!$E$8))*料率!$E$5/2)</f>
        <v/>
      </c>
      <c r="L23" s="10">
        <f>IF($B23="","",($H23*12+MIN($I23,料率!$E$9)*$D23)*料率!$E$6/2)</f>
        <v/>
      </c>
      <c r="M23" s="10">
        <f>IF($B23="","",($H23*12+MIN($I23,料率!$E$9)*$D23)*料率!$E$7)</f>
        <v/>
      </c>
      <c r="N23" s="10">
        <f>IF($B23="","",$F23*INDEX(料率!$E$15:$E$17,MATCH($B$6,料率!$D$15:$D$17,0)))</f>
        <v/>
      </c>
      <c r="O23" s="10">
        <f>IF($B23="","",$F23*$B$7)</f>
        <v/>
      </c>
      <c r="P23" s="10">
        <f>IF($B23="","",SUM($J23:$O23))</f>
        <v/>
      </c>
      <c r="Q23" s="13">
        <f>IF($B23="","",$P23/$F23)</f>
        <v/>
      </c>
      <c r="R23" s="10">
        <f>IF($B23="","",($F23+$P23)/$B$8)</f>
        <v/>
      </c>
      <c r="S23" s="10">
        <f>IF($B23="","",$R23*$B$3/60)</f>
        <v/>
      </c>
    </row>
    <row r="24">
      <c r="A24" s="4" t="inlineStr">
        <is>
          <t>課長</t>
        </is>
      </c>
      <c r="B24" s="3" t="n">
        <v>450000</v>
      </c>
      <c r="C24" s="3" t="n">
        <v>900000</v>
      </c>
      <c r="D24" s="3" t="n">
        <v>2</v>
      </c>
      <c r="E24" s="4" t="inlineStr">
        <is>
          <t>いいえ</t>
        </is>
      </c>
      <c r="F24" s="10">
        <f>IF($B24="","",$B24*12+$C24*$D24)</f>
        <v/>
      </c>
      <c r="G24" s="10">
        <f>IF($B24="","",INDEX(標準報酬!$B$4:$B$53,MATCH($B24,標準報酬!$A$4:$A$53,1)))</f>
        <v/>
      </c>
      <c r="H24" s="10">
        <f>IF($B24="","",MIN(MAX($G24,料率!$E$10),料率!$E$11))</f>
        <v/>
      </c>
      <c r="I24" s="10">
        <f>IF($B24="","",ROUNDDOWN($C24,-3))</f>
        <v/>
      </c>
      <c r="J24" s="10">
        <f>IF($B24="","",($G24*12+MIN($I24*$D24,料率!$E$8))*(INDEX(料率!$B$4:$B$50,MATCH($B$5,料率!$A$4:$A$50,0))+IF($E24="はい",料率!$E$4,0))/2)</f>
        <v/>
      </c>
      <c r="K24" s="10">
        <f>IF($B24="","",($G24*12+MIN($I24*$D24,料率!$E$8))*料率!$E$5/2)</f>
        <v/>
      </c>
      <c r="L24" s="10">
        <f>IF($B24="","",($H24*12+MIN($I24,料率!$E$9)*$D24)*料率!$E$6/2)</f>
        <v/>
      </c>
      <c r="M24" s="10">
        <f>IF($B24="","",($H24*12+MIN($I24,料率!$E$9)*$D24)*料率!$E$7)</f>
        <v/>
      </c>
      <c r="N24" s="10">
        <f>IF($B24="","",$F24*INDEX(料率!$E$15:$E$17,MATCH($B$6,料率!$D$15:$D$17,0)))</f>
        <v/>
      </c>
      <c r="O24" s="10">
        <f>IF($B24="","",$F24*$B$7)</f>
        <v/>
      </c>
      <c r="P24" s="10">
        <f>IF($B24="","",SUM($J24:$O24))</f>
        <v/>
      </c>
      <c r="Q24" s="13">
        <f>IF($B24="","",$P24/$F24)</f>
        <v/>
      </c>
      <c r="R24" s="10">
        <f>IF($B24="","",($F24+$P24)/$B$8)</f>
        <v/>
      </c>
      <c r="S24" s="10">
        <f>IF($B24="","",$R24*$B$3/60)</f>
        <v/>
      </c>
    </row>
    <row r="25">
      <c r="A25" s="4" t="inlineStr">
        <is>
          <t>主任</t>
        </is>
      </c>
      <c r="B25" s="3" t="n">
        <v>320000</v>
      </c>
      <c r="C25" s="3" t="n">
        <v>600000</v>
      </c>
      <c r="D25" s="3" t="n">
        <v>2</v>
      </c>
      <c r="E25" s="4" t="inlineStr">
        <is>
          <t>はい</t>
        </is>
      </c>
      <c r="F25" s="10">
        <f>IF($B25="","",$B25*12+$C25*$D25)</f>
        <v/>
      </c>
      <c r="G25" s="10">
        <f>IF($B25="","",INDEX(標準報酬!$B$4:$B$53,MATCH($B25,標準報酬!$A$4:$A$53,1)))</f>
        <v/>
      </c>
      <c r="H25" s="10">
        <f>IF($B25="","",MIN(MAX($G25,料率!$E$10),料率!$E$11))</f>
        <v/>
      </c>
      <c r="I25" s="10">
        <f>IF($B25="","",ROUNDDOWN($C25,-3))</f>
        <v/>
      </c>
      <c r="J25" s="10">
        <f>IF($B25="","",($G25*12+MIN($I25*$D25,料率!$E$8))*(INDEX(料率!$B$4:$B$50,MATCH($B$5,料率!$A$4:$A$50,0))+IF($E25="はい",料率!$E$4,0))/2)</f>
        <v/>
      </c>
      <c r="K25" s="10">
        <f>IF($B25="","",($G25*12+MIN($I25*$D25,料率!$E$8))*料率!$E$5/2)</f>
        <v/>
      </c>
      <c r="L25" s="10">
        <f>IF($B25="","",($H25*12+MIN($I25,料率!$E$9)*$D25)*料率!$E$6/2)</f>
        <v/>
      </c>
      <c r="M25" s="10">
        <f>IF($B25="","",($H25*12+MIN($I25,料率!$E$9)*$D25)*料率!$E$7)</f>
        <v/>
      </c>
      <c r="N25" s="10">
        <f>IF($B25="","",$F25*INDEX(料率!$E$15:$E$17,MATCH($B$6,料率!$D$15:$D$17,0)))</f>
        <v/>
      </c>
      <c r="O25" s="10">
        <f>IF($B25="","",$F25*$B$7)</f>
        <v/>
      </c>
      <c r="P25" s="10">
        <f>IF($B25="","",SUM($J25:$O25))</f>
        <v/>
      </c>
      <c r="Q25" s="13">
        <f>IF($B25="","",$P25/$F25)</f>
        <v/>
      </c>
      <c r="R25" s="10">
        <f>IF($B25="","",($F25+$P25)/$B$8)</f>
        <v/>
      </c>
      <c r="S25" s="10">
        <f>IF($B25="","",$R25*$B$3/60)</f>
        <v/>
      </c>
    </row>
    <row r="26">
      <c r="A26" s="4" t="inlineStr">
        <is>
          <t>主任</t>
        </is>
      </c>
      <c r="B26" s="3" t="n">
        <v>320000</v>
      </c>
      <c r="C26" s="3" t="n">
        <v>600000</v>
      </c>
      <c r="D26" s="3" t="n">
        <v>2</v>
      </c>
      <c r="E26" s="4" t="inlineStr">
        <is>
          <t>いいえ</t>
        </is>
      </c>
      <c r="F26" s="10">
        <f>IF($B26="","",$B26*12+$C26*$D26)</f>
        <v/>
      </c>
      <c r="G26" s="10">
        <f>IF($B26="","",INDEX(標準報酬!$B$4:$B$53,MATCH($B26,標準報酬!$A$4:$A$53,1)))</f>
        <v/>
      </c>
      <c r="H26" s="10">
        <f>IF($B26="","",MIN(MAX($G26,料率!$E$10),料率!$E$11))</f>
        <v/>
      </c>
      <c r="I26" s="10">
        <f>IF($B26="","",ROUNDDOWN($C26,-3))</f>
        <v/>
      </c>
      <c r="J26" s="10">
        <f>IF($B26="","",($G26*12+MIN($I26*$D26,料率!$E$8))*(INDEX(料率!$B$4:$B$50,MATCH($B$5,料率!$A$4:$A$50,0))+IF($E26="はい",料率!$E$4,0))/2)</f>
        <v/>
      </c>
      <c r="K26" s="10">
        <f>IF($B26="","",($G26*12+MIN($I26*$D26,料率!$E$8))*料率!$E$5/2)</f>
        <v/>
      </c>
      <c r="L26" s="10">
        <f>IF($B26="","",($H26*12+MIN($I26,料率!$E$9)*$D26)*料率!$E$6/2)</f>
        <v/>
      </c>
      <c r="M26" s="10">
        <f>IF($B26="","",($H26*12+MIN($I26,料率!$E$9)*$D26)*料率!$E$7)</f>
        <v/>
      </c>
      <c r="N26" s="10">
        <f>IF($B26="","",$F26*INDEX(料率!$E$15:$E$17,MATCH($B$6,料率!$D$15:$D$17,0)))</f>
        <v/>
      </c>
      <c r="O26" s="10">
        <f>IF($B26="","",$F26*$B$7)</f>
        <v/>
      </c>
      <c r="P26" s="10">
        <f>IF($B26="","",SUM($J26:$O26))</f>
        <v/>
      </c>
      <c r="Q26" s="13">
        <f>IF($B26="","",$P26/$F26)</f>
        <v/>
      </c>
      <c r="R26" s="10">
        <f>IF($B26="","",($F26+$P26)/$B$8)</f>
        <v/>
      </c>
      <c r="S26" s="10">
        <f>IF($B26="","",$R26*$B$3/60)</f>
        <v/>
      </c>
    </row>
    <row r="27">
      <c r="A27" s="4" t="inlineStr">
        <is>
          <t>主任</t>
        </is>
      </c>
      <c r="B27" s="3" t="n">
        <v>320000</v>
      </c>
      <c r="C27" s="3" t="n">
        <v>600000</v>
      </c>
      <c r="D27" s="3" t="n">
        <v>2</v>
      </c>
      <c r="E27" s="4" t="inlineStr">
        <is>
          <t>いいえ</t>
        </is>
      </c>
      <c r="F27" s="10">
        <f>IF($B27="","",$B27*12+$C27*$D27)</f>
        <v/>
      </c>
      <c r="G27" s="10">
        <f>IF($B27="","",INDEX(標準報酬!$B$4:$B$53,MATCH($B27,標準報酬!$A$4:$A$53,1)))</f>
        <v/>
      </c>
      <c r="H27" s="10">
        <f>IF($B27="","",MIN(MAX($G27,料率!$E$10),料率!$E$11))</f>
        <v/>
      </c>
      <c r="I27" s="10">
        <f>IF($B27="","",ROUNDDOWN($C27,-3))</f>
        <v/>
      </c>
      <c r="J27" s="10">
        <f>IF($B27="","",($G27*12+MIN($I27*$D27,料率!$E$8))*(INDEX(料率!$B$4:$B$50,MATCH($B$5,料率!$A$4:$A$50,0))+IF($E27="はい",料率!$E$4,0))/2)</f>
        <v/>
      </c>
      <c r="K27" s="10">
        <f>IF($B27="","",($G27*12+MIN($I27*$D27,料率!$E$8))*料率!$E$5/2)</f>
        <v/>
      </c>
      <c r="L27" s="10">
        <f>IF($B27="","",($H27*12+MIN($I27,料率!$E$9)*$D27)*料率!$E$6/2)</f>
        <v/>
      </c>
      <c r="M27" s="10">
        <f>IF($B27="","",($H27*12+MIN($I27,料率!$E$9)*$D27)*料率!$E$7)</f>
        <v/>
      </c>
      <c r="N27" s="10">
        <f>IF($B27="","",$F27*INDEX(料率!$E$15:$E$17,MATCH($B$6,料率!$D$15:$D$17,0)))</f>
        <v/>
      </c>
      <c r="O27" s="10">
        <f>IF($B27="","",$F27*$B$7)</f>
        <v/>
      </c>
      <c r="P27" s="10">
        <f>IF($B27="","",SUM($J27:$O27))</f>
        <v/>
      </c>
      <c r="Q27" s="13">
        <f>IF($B27="","",$P27/$F27)</f>
        <v/>
      </c>
      <c r="R27" s="10">
        <f>IF($B27="","",($F27+$P27)/$B$8)</f>
        <v/>
      </c>
      <c r="S27" s="10">
        <f>IF($B27="","",$R27*$B$3/60)</f>
        <v/>
      </c>
    </row>
    <row r="28">
      <c r="A28" s="4" t="inlineStr">
        <is>
          <t>担当</t>
        </is>
      </c>
      <c r="B28" s="3" t="n">
        <v>240000</v>
      </c>
      <c r="C28" s="3" t="n">
        <v>400000</v>
      </c>
      <c r="D28" s="3" t="n">
        <v>2</v>
      </c>
      <c r="E28" s="4" t="inlineStr">
        <is>
          <t>いいえ</t>
        </is>
      </c>
      <c r="F28" s="10">
        <f>IF($B28="","",$B28*12+$C28*$D28)</f>
        <v/>
      </c>
      <c r="G28" s="10">
        <f>IF($B28="","",INDEX(標準報酬!$B$4:$B$53,MATCH($B28,標準報酬!$A$4:$A$53,1)))</f>
        <v/>
      </c>
      <c r="H28" s="10">
        <f>IF($B28="","",MIN(MAX($G28,料率!$E$10),料率!$E$11))</f>
        <v/>
      </c>
      <c r="I28" s="10">
        <f>IF($B28="","",ROUNDDOWN($C28,-3))</f>
        <v/>
      </c>
      <c r="J28" s="10">
        <f>IF($B28="","",($G28*12+MIN($I28*$D28,料率!$E$8))*(INDEX(料率!$B$4:$B$50,MATCH($B$5,料率!$A$4:$A$50,0))+IF($E28="はい",料率!$E$4,0))/2)</f>
        <v/>
      </c>
      <c r="K28" s="10">
        <f>IF($B28="","",($G28*12+MIN($I28*$D28,料率!$E$8))*料率!$E$5/2)</f>
        <v/>
      </c>
      <c r="L28" s="10">
        <f>IF($B28="","",($H28*12+MIN($I28,料率!$E$9)*$D28)*料率!$E$6/2)</f>
        <v/>
      </c>
      <c r="M28" s="10">
        <f>IF($B28="","",($H28*12+MIN($I28,料率!$E$9)*$D28)*料率!$E$7)</f>
        <v/>
      </c>
      <c r="N28" s="10">
        <f>IF($B28="","",$F28*INDEX(料率!$E$15:$E$17,MATCH($B$6,料率!$D$15:$D$17,0)))</f>
        <v/>
      </c>
      <c r="O28" s="10">
        <f>IF($B28="","",$F28*$B$7)</f>
        <v/>
      </c>
      <c r="P28" s="10">
        <f>IF($B28="","",SUM($J28:$O28))</f>
        <v/>
      </c>
      <c r="Q28" s="13">
        <f>IF($B28="","",$P28/$F28)</f>
        <v/>
      </c>
      <c r="R28" s="10">
        <f>IF($B28="","",($F28+$P28)/$B$8)</f>
        <v/>
      </c>
      <c r="S28" s="10">
        <f>IF($B28="","",$R28*$B$3/60)</f>
        <v/>
      </c>
    </row>
    <row r="29">
      <c r="A29" s="4" t="inlineStr">
        <is>
          <t>担当</t>
        </is>
      </c>
      <c r="B29" s="3" t="n">
        <v>240000</v>
      </c>
      <c r="C29" s="3" t="n">
        <v>400000</v>
      </c>
      <c r="D29" s="3" t="n">
        <v>2</v>
      </c>
      <c r="E29" s="4" t="inlineStr">
        <is>
          <t>いいえ</t>
        </is>
      </c>
      <c r="F29" s="10">
        <f>IF($B29="","",$B29*12+$C29*$D29)</f>
        <v/>
      </c>
      <c r="G29" s="10">
        <f>IF($B29="","",INDEX(標準報酬!$B$4:$B$53,MATCH($B29,標準報酬!$A$4:$A$53,1)))</f>
        <v/>
      </c>
      <c r="H29" s="10">
        <f>IF($B29="","",MIN(MAX($G29,料率!$E$10),料率!$E$11))</f>
        <v/>
      </c>
      <c r="I29" s="10">
        <f>IF($B29="","",ROUNDDOWN($C29,-3))</f>
        <v/>
      </c>
      <c r="J29" s="10">
        <f>IF($B29="","",($G29*12+MIN($I29*$D29,料率!$E$8))*(INDEX(料率!$B$4:$B$50,MATCH($B$5,料率!$A$4:$A$50,0))+IF($E29="はい",料率!$E$4,0))/2)</f>
        <v/>
      </c>
      <c r="K29" s="10">
        <f>IF($B29="","",($G29*12+MIN($I29*$D29,料率!$E$8))*料率!$E$5/2)</f>
        <v/>
      </c>
      <c r="L29" s="10">
        <f>IF($B29="","",($H29*12+MIN($I29,料率!$E$9)*$D29)*料率!$E$6/2)</f>
        <v/>
      </c>
      <c r="M29" s="10">
        <f>IF($B29="","",($H29*12+MIN($I29,料率!$E$9)*$D29)*料率!$E$7)</f>
        <v/>
      </c>
      <c r="N29" s="10">
        <f>IF($B29="","",$F29*INDEX(料率!$E$15:$E$17,MATCH($B$6,料率!$D$15:$D$17,0)))</f>
        <v/>
      </c>
      <c r="O29" s="10">
        <f>IF($B29="","",$F29*$B$7)</f>
        <v/>
      </c>
      <c r="P29" s="10">
        <f>IF($B29="","",SUM($J29:$O29))</f>
        <v/>
      </c>
      <c r="Q29" s="13">
        <f>IF($B29="","",$P29/$F29)</f>
        <v/>
      </c>
      <c r="R29" s="10">
        <f>IF($B29="","",($F29+$P29)/$B$8)</f>
        <v/>
      </c>
      <c r="S29" s="10">
        <f>IF($B29="","",$R29*$B$3/60)</f>
        <v/>
      </c>
    </row>
    <row r="30">
      <c r="A30" s="4" t="inlineStr">
        <is>
          <t>担当</t>
        </is>
      </c>
      <c r="B30" s="3" t="n">
        <v>240000</v>
      </c>
      <c r="C30" s="3" t="n">
        <v>400000</v>
      </c>
      <c r="D30" s="3" t="n">
        <v>2</v>
      </c>
      <c r="E30" s="4" t="inlineStr">
        <is>
          <t>いいえ</t>
        </is>
      </c>
      <c r="F30" s="10">
        <f>IF($B30="","",$B30*12+$C30*$D30)</f>
        <v/>
      </c>
      <c r="G30" s="10">
        <f>IF($B30="","",INDEX(標準報酬!$B$4:$B$53,MATCH($B30,標準報酬!$A$4:$A$53,1)))</f>
        <v/>
      </c>
      <c r="H30" s="10">
        <f>IF($B30="","",MIN(MAX($G30,料率!$E$10),料率!$E$11))</f>
        <v/>
      </c>
      <c r="I30" s="10">
        <f>IF($B30="","",ROUNDDOWN($C30,-3))</f>
        <v/>
      </c>
      <c r="J30" s="10">
        <f>IF($B30="","",($G30*12+MIN($I30*$D30,料率!$E$8))*(INDEX(料率!$B$4:$B$50,MATCH($B$5,料率!$A$4:$A$50,0))+IF($E30="はい",料率!$E$4,0))/2)</f>
        <v/>
      </c>
      <c r="K30" s="10">
        <f>IF($B30="","",($G30*12+MIN($I30*$D30,料率!$E$8))*料率!$E$5/2)</f>
        <v/>
      </c>
      <c r="L30" s="10">
        <f>IF($B30="","",($H30*12+MIN($I30,料率!$E$9)*$D30)*料率!$E$6/2)</f>
        <v/>
      </c>
      <c r="M30" s="10">
        <f>IF($B30="","",($H30*12+MIN($I30,料率!$E$9)*$D30)*料率!$E$7)</f>
        <v/>
      </c>
      <c r="N30" s="10">
        <f>IF($B30="","",$F30*INDEX(料率!$E$15:$E$17,MATCH($B$6,料率!$D$15:$D$17,0)))</f>
        <v/>
      </c>
      <c r="O30" s="10">
        <f>IF($B30="","",$F30*$B$7)</f>
        <v/>
      </c>
      <c r="P30" s="10">
        <f>IF($B30="","",SUM($J30:$O30))</f>
        <v/>
      </c>
      <c r="Q30" s="13">
        <f>IF($B30="","",$P30/$F30)</f>
        <v/>
      </c>
      <c r="R30" s="10">
        <f>IF($B30="","",($F30+$P30)/$B$8)</f>
        <v/>
      </c>
      <c r="S30" s="10">
        <f>IF($B30="","",$R30*$B$3/60)</f>
        <v/>
      </c>
    </row>
    <row r="31">
      <c r="A31" s="4" t="inlineStr">
        <is>
          <t>担当</t>
        </is>
      </c>
      <c r="B31" s="3" t="n">
        <v>240000</v>
      </c>
      <c r="C31" s="3" t="n">
        <v>400000</v>
      </c>
      <c r="D31" s="3" t="n">
        <v>2</v>
      </c>
      <c r="E31" s="4" t="inlineStr">
        <is>
          <t>いいえ</t>
        </is>
      </c>
      <c r="F31" s="10">
        <f>IF($B31="","",$B31*12+$C31*$D31)</f>
        <v/>
      </c>
      <c r="G31" s="10">
        <f>IF($B31="","",INDEX(標準報酬!$B$4:$B$53,MATCH($B31,標準報酬!$A$4:$A$53,1)))</f>
        <v/>
      </c>
      <c r="H31" s="10">
        <f>IF($B31="","",MIN(MAX($G31,料率!$E$10),料率!$E$11))</f>
        <v/>
      </c>
      <c r="I31" s="10">
        <f>IF($B31="","",ROUNDDOWN($C31,-3))</f>
        <v/>
      </c>
      <c r="J31" s="10">
        <f>IF($B31="","",($G31*12+MIN($I31*$D31,料率!$E$8))*(INDEX(料率!$B$4:$B$50,MATCH($B$5,料率!$A$4:$A$50,0))+IF($E31="はい",料率!$E$4,0))/2)</f>
        <v/>
      </c>
      <c r="K31" s="10">
        <f>IF($B31="","",($G31*12+MIN($I31*$D31,料率!$E$8))*料率!$E$5/2)</f>
        <v/>
      </c>
      <c r="L31" s="10">
        <f>IF($B31="","",($H31*12+MIN($I31,料率!$E$9)*$D31)*料率!$E$6/2)</f>
        <v/>
      </c>
      <c r="M31" s="10">
        <f>IF($B31="","",($H31*12+MIN($I31,料率!$E$9)*$D31)*料率!$E$7)</f>
        <v/>
      </c>
      <c r="N31" s="10">
        <f>IF($B31="","",$F31*INDEX(料率!$E$15:$E$17,MATCH($B$6,料率!$D$15:$D$17,0)))</f>
        <v/>
      </c>
      <c r="O31" s="10">
        <f>IF($B31="","",$F31*$B$7)</f>
        <v/>
      </c>
      <c r="P31" s="10">
        <f>IF($B31="","",SUM($J31:$O31))</f>
        <v/>
      </c>
      <c r="Q31" s="13">
        <f>IF($B31="","",$P31/$F31)</f>
        <v/>
      </c>
      <c r="R31" s="10">
        <f>IF($B31="","",($F31+$P31)/$B$8)</f>
        <v/>
      </c>
      <c r="S31" s="10">
        <f>IF($B31="","",$R31*$B$3/60)</f>
        <v/>
      </c>
    </row>
    <row r="32">
      <c r="A32" s="4" t="inlineStr"/>
      <c r="B32" s="3" t="n"/>
      <c r="C32" s="3" t="n"/>
      <c r="D32" s="3" t="n"/>
      <c r="E32" s="4" t="n"/>
      <c r="F32" s="10">
        <f>IF($B32="","",$B32*12+$C32*$D32)</f>
        <v/>
      </c>
      <c r="G32" s="10">
        <f>IF($B32="","",INDEX(標準報酬!$B$4:$B$53,MATCH($B32,標準報酬!$A$4:$A$53,1)))</f>
        <v/>
      </c>
      <c r="H32" s="10">
        <f>IF($B32="","",MIN(MAX($G32,料率!$E$10),料率!$E$11))</f>
        <v/>
      </c>
      <c r="I32" s="10">
        <f>IF($B32="","",ROUNDDOWN($C32,-3))</f>
        <v/>
      </c>
      <c r="J32" s="10">
        <f>IF($B32="","",($G32*12+MIN($I32*$D32,料率!$E$8))*(INDEX(料率!$B$4:$B$50,MATCH($B$5,料率!$A$4:$A$50,0))+IF($E32="はい",料率!$E$4,0))/2)</f>
        <v/>
      </c>
      <c r="K32" s="10">
        <f>IF($B32="","",($G32*12+MIN($I32*$D32,料率!$E$8))*料率!$E$5/2)</f>
        <v/>
      </c>
      <c r="L32" s="10">
        <f>IF($B32="","",($H32*12+MIN($I32,料率!$E$9)*$D32)*料率!$E$6/2)</f>
        <v/>
      </c>
      <c r="M32" s="10">
        <f>IF($B32="","",($H32*12+MIN($I32,料率!$E$9)*$D32)*料率!$E$7)</f>
        <v/>
      </c>
      <c r="N32" s="10">
        <f>IF($B32="","",$F32*INDEX(料率!$E$15:$E$17,MATCH($B$6,料率!$D$15:$D$17,0)))</f>
        <v/>
      </c>
      <c r="O32" s="10">
        <f>IF($B32="","",$F32*$B$7)</f>
        <v/>
      </c>
      <c r="P32" s="10">
        <f>IF($B32="","",SUM($J32:$O32))</f>
        <v/>
      </c>
      <c r="Q32" s="13">
        <f>IF($B32="","",$P32/$F32)</f>
        <v/>
      </c>
      <c r="R32" s="10">
        <f>IF($B32="","",($F32+$P32)/$B$8)</f>
        <v/>
      </c>
      <c r="S32" s="10">
        <f>IF($B32="","",$R32*$B$3/60)</f>
        <v/>
      </c>
    </row>
    <row r="33">
      <c r="A33" s="4" t="inlineStr"/>
      <c r="B33" s="3" t="n"/>
      <c r="C33" s="3" t="n"/>
      <c r="D33" s="3" t="n"/>
      <c r="E33" s="4" t="n"/>
      <c r="F33" s="10">
        <f>IF($B33="","",$B33*12+$C33*$D33)</f>
        <v/>
      </c>
      <c r="G33" s="10">
        <f>IF($B33="","",INDEX(標準報酬!$B$4:$B$53,MATCH($B33,標準報酬!$A$4:$A$53,1)))</f>
        <v/>
      </c>
      <c r="H33" s="10">
        <f>IF($B33="","",MIN(MAX($G33,料率!$E$10),料率!$E$11))</f>
        <v/>
      </c>
      <c r="I33" s="10">
        <f>IF($B33="","",ROUNDDOWN($C33,-3))</f>
        <v/>
      </c>
      <c r="J33" s="10">
        <f>IF($B33="","",($G33*12+MIN($I33*$D33,料率!$E$8))*(INDEX(料率!$B$4:$B$50,MATCH($B$5,料率!$A$4:$A$50,0))+IF($E33="はい",料率!$E$4,0))/2)</f>
        <v/>
      </c>
      <c r="K33" s="10">
        <f>IF($B33="","",($G33*12+MIN($I33*$D33,料率!$E$8))*料率!$E$5/2)</f>
        <v/>
      </c>
      <c r="L33" s="10">
        <f>IF($B33="","",($H33*12+MIN($I33,料率!$E$9)*$D33)*料率!$E$6/2)</f>
        <v/>
      </c>
      <c r="M33" s="10">
        <f>IF($B33="","",($H33*12+MIN($I33,料率!$E$9)*$D33)*料率!$E$7)</f>
        <v/>
      </c>
      <c r="N33" s="10">
        <f>IF($B33="","",$F33*INDEX(料率!$E$15:$E$17,MATCH($B$6,料率!$D$15:$D$17,0)))</f>
        <v/>
      </c>
      <c r="O33" s="10">
        <f>IF($B33="","",$F33*$B$7)</f>
        <v/>
      </c>
      <c r="P33" s="10">
        <f>IF($B33="","",SUM($J33:$O33))</f>
        <v/>
      </c>
      <c r="Q33" s="13">
        <f>IF($B33="","",$P33/$F33)</f>
        <v/>
      </c>
      <c r="R33" s="10">
        <f>IF($B33="","",($F33+$P33)/$B$8)</f>
        <v/>
      </c>
      <c r="S33" s="10">
        <f>IF($B33="","",$R33*$B$3/60)</f>
        <v/>
      </c>
    </row>
    <row r="34">
      <c r="A34" s="4" t="inlineStr"/>
      <c r="B34" s="3" t="n"/>
      <c r="C34" s="3" t="n"/>
      <c r="D34" s="3" t="n"/>
      <c r="E34" s="4" t="n"/>
      <c r="F34" s="10">
        <f>IF($B34="","",$B34*12+$C34*$D34)</f>
        <v/>
      </c>
      <c r="G34" s="10">
        <f>IF($B34="","",INDEX(標準報酬!$B$4:$B$53,MATCH($B34,標準報酬!$A$4:$A$53,1)))</f>
        <v/>
      </c>
      <c r="H34" s="10">
        <f>IF($B34="","",MIN(MAX($G34,料率!$E$10),料率!$E$11))</f>
        <v/>
      </c>
      <c r="I34" s="10">
        <f>IF($B34="","",ROUNDDOWN($C34,-3))</f>
        <v/>
      </c>
      <c r="J34" s="10">
        <f>IF($B34="","",($G34*12+MIN($I34*$D34,料率!$E$8))*(INDEX(料率!$B$4:$B$50,MATCH($B$5,料率!$A$4:$A$50,0))+IF($E34="はい",料率!$E$4,0))/2)</f>
        <v/>
      </c>
      <c r="K34" s="10">
        <f>IF($B34="","",($G34*12+MIN($I34*$D34,料率!$E$8))*料率!$E$5/2)</f>
        <v/>
      </c>
      <c r="L34" s="10">
        <f>IF($B34="","",($H34*12+MIN($I34,料率!$E$9)*$D34)*料率!$E$6/2)</f>
        <v/>
      </c>
      <c r="M34" s="10">
        <f>IF($B34="","",($H34*12+MIN($I34,料率!$E$9)*$D34)*料率!$E$7)</f>
        <v/>
      </c>
      <c r="N34" s="10">
        <f>IF($B34="","",$F34*INDEX(料率!$E$15:$E$17,MATCH($B$6,料率!$D$15:$D$17,0)))</f>
        <v/>
      </c>
      <c r="O34" s="10">
        <f>IF($B34="","",$F34*$B$7)</f>
        <v/>
      </c>
      <c r="P34" s="10">
        <f>IF($B34="","",SUM($J34:$O34))</f>
        <v/>
      </c>
      <c r="Q34" s="13">
        <f>IF($B34="","",$P34/$F34)</f>
        <v/>
      </c>
      <c r="R34" s="10">
        <f>IF($B34="","",($F34+$P34)/$B$8)</f>
        <v/>
      </c>
      <c r="S34" s="10">
        <f>IF($B34="","",$R34*$B$3/60)</f>
        <v/>
      </c>
    </row>
    <row r="35">
      <c r="A35" s="4" t="inlineStr"/>
      <c r="B35" s="3" t="n"/>
      <c r="C35" s="3" t="n"/>
      <c r="D35" s="3" t="n"/>
      <c r="E35" s="4" t="n"/>
      <c r="F35" s="10">
        <f>IF($B35="","",$B35*12+$C35*$D35)</f>
        <v/>
      </c>
      <c r="G35" s="10">
        <f>IF($B35="","",INDEX(標準報酬!$B$4:$B$53,MATCH($B35,標準報酬!$A$4:$A$53,1)))</f>
        <v/>
      </c>
      <c r="H35" s="10">
        <f>IF($B35="","",MIN(MAX($G35,料率!$E$10),料率!$E$11))</f>
        <v/>
      </c>
      <c r="I35" s="10">
        <f>IF($B35="","",ROUNDDOWN($C35,-3))</f>
        <v/>
      </c>
      <c r="J35" s="10">
        <f>IF($B35="","",($G35*12+MIN($I35*$D35,料率!$E$8))*(INDEX(料率!$B$4:$B$50,MATCH($B$5,料率!$A$4:$A$50,0))+IF($E35="はい",料率!$E$4,0))/2)</f>
        <v/>
      </c>
      <c r="K35" s="10">
        <f>IF($B35="","",($G35*12+MIN($I35*$D35,料率!$E$8))*料率!$E$5/2)</f>
        <v/>
      </c>
      <c r="L35" s="10">
        <f>IF($B35="","",($H35*12+MIN($I35,料率!$E$9)*$D35)*料率!$E$6/2)</f>
        <v/>
      </c>
      <c r="M35" s="10">
        <f>IF($B35="","",($H35*12+MIN($I35,料率!$E$9)*$D35)*料率!$E$7)</f>
        <v/>
      </c>
      <c r="N35" s="10">
        <f>IF($B35="","",$F35*INDEX(料率!$E$15:$E$17,MATCH($B$6,料率!$D$15:$D$17,0)))</f>
        <v/>
      </c>
      <c r="O35" s="10">
        <f>IF($B35="","",$F35*$B$7)</f>
        <v/>
      </c>
      <c r="P35" s="10">
        <f>IF($B35="","",SUM($J35:$O35))</f>
        <v/>
      </c>
      <c r="Q35" s="13">
        <f>IF($B35="","",$P35/$F35)</f>
        <v/>
      </c>
      <c r="R35" s="10">
        <f>IF($B35="","",($F35+$P35)/$B$8)</f>
        <v/>
      </c>
      <c r="S35" s="10">
        <f>IF($B35="","",$R35*$B$3/60)</f>
        <v/>
      </c>
    </row>
    <row r="36">
      <c r="A36" s="4" t="inlineStr"/>
      <c r="B36" s="3" t="n"/>
      <c r="C36" s="3" t="n"/>
      <c r="D36" s="3" t="n"/>
      <c r="E36" s="4" t="n"/>
      <c r="F36" s="10">
        <f>IF($B36="","",$B36*12+$C36*$D36)</f>
        <v/>
      </c>
      <c r="G36" s="10">
        <f>IF($B36="","",INDEX(標準報酬!$B$4:$B$53,MATCH($B36,標準報酬!$A$4:$A$53,1)))</f>
        <v/>
      </c>
      <c r="H36" s="10">
        <f>IF($B36="","",MIN(MAX($G36,料率!$E$10),料率!$E$11))</f>
        <v/>
      </c>
      <c r="I36" s="10">
        <f>IF($B36="","",ROUNDDOWN($C36,-3))</f>
        <v/>
      </c>
      <c r="J36" s="10">
        <f>IF($B36="","",($G36*12+MIN($I36*$D36,料率!$E$8))*(INDEX(料率!$B$4:$B$50,MATCH($B$5,料率!$A$4:$A$50,0))+IF($E36="はい",料率!$E$4,0))/2)</f>
        <v/>
      </c>
      <c r="K36" s="10">
        <f>IF($B36="","",($G36*12+MIN($I36*$D36,料率!$E$8))*料率!$E$5/2)</f>
        <v/>
      </c>
      <c r="L36" s="10">
        <f>IF($B36="","",($H36*12+MIN($I36,料率!$E$9)*$D36)*料率!$E$6/2)</f>
        <v/>
      </c>
      <c r="M36" s="10">
        <f>IF($B36="","",($H36*12+MIN($I36,料率!$E$9)*$D36)*料率!$E$7)</f>
        <v/>
      </c>
      <c r="N36" s="10">
        <f>IF($B36="","",$F36*INDEX(料率!$E$15:$E$17,MATCH($B$6,料率!$D$15:$D$17,0)))</f>
        <v/>
      </c>
      <c r="O36" s="10">
        <f>IF($B36="","",$F36*$B$7)</f>
        <v/>
      </c>
      <c r="P36" s="10">
        <f>IF($B36="","",SUM($J36:$O36))</f>
        <v/>
      </c>
      <c r="Q36" s="13">
        <f>IF($B36="","",$P36/$F36)</f>
        <v/>
      </c>
      <c r="R36" s="10">
        <f>IF($B36="","",($F36+$P36)/$B$8)</f>
        <v/>
      </c>
      <c r="S36" s="10">
        <f>IF($B36="","",$R36*$B$3/60)</f>
        <v/>
      </c>
    </row>
    <row r="37">
      <c r="A37" s="4" t="inlineStr"/>
      <c r="B37" s="3" t="n"/>
      <c r="C37" s="3" t="n"/>
      <c r="D37" s="3" t="n"/>
      <c r="E37" s="4" t="n"/>
      <c r="F37" s="10">
        <f>IF($B37="","",$B37*12+$C37*$D37)</f>
        <v/>
      </c>
      <c r="G37" s="10">
        <f>IF($B37="","",INDEX(標準報酬!$B$4:$B$53,MATCH($B37,標準報酬!$A$4:$A$53,1)))</f>
        <v/>
      </c>
      <c r="H37" s="10">
        <f>IF($B37="","",MIN(MAX($G37,料率!$E$10),料率!$E$11))</f>
        <v/>
      </c>
      <c r="I37" s="10">
        <f>IF($B37="","",ROUNDDOWN($C37,-3))</f>
        <v/>
      </c>
      <c r="J37" s="10">
        <f>IF($B37="","",($G37*12+MIN($I37*$D37,料率!$E$8))*(INDEX(料率!$B$4:$B$50,MATCH($B$5,料率!$A$4:$A$50,0))+IF($E37="はい",料率!$E$4,0))/2)</f>
        <v/>
      </c>
      <c r="K37" s="10">
        <f>IF($B37="","",($G37*12+MIN($I37*$D37,料率!$E$8))*料率!$E$5/2)</f>
        <v/>
      </c>
      <c r="L37" s="10">
        <f>IF($B37="","",($H37*12+MIN($I37,料率!$E$9)*$D37)*料率!$E$6/2)</f>
        <v/>
      </c>
      <c r="M37" s="10">
        <f>IF($B37="","",($H37*12+MIN($I37,料率!$E$9)*$D37)*料率!$E$7)</f>
        <v/>
      </c>
      <c r="N37" s="10">
        <f>IF($B37="","",$F37*INDEX(料率!$E$15:$E$17,MATCH($B$6,料率!$D$15:$D$17,0)))</f>
        <v/>
      </c>
      <c r="O37" s="10">
        <f>IF($B37="","",$F37*$B$7)</f>
        <v/>
      </c>
      <c r="P37" s="10">
        <f>IF($B37="","",SUM($J37:$O37))</f>
        <v/>
      </c>
      <c r="Q37" s="13">
        <f>IF($B37="","",$P37/$F37)</f>
        <v/>
      </c>
      <c r="R37" s="10">
        <f>IF($B37="","",($F37+$P37)/$B$8)</f>
        <v/>
      </c>
      <c r="S37" s="10">
        <f>IF($B37="","",$R37*$B$3/60)</f>
        <v/>
      </c>
    </row>
    <row r="38">
      <c r="A38" s="4" t="inlineStr"/>
      <c r="B38" s="3" t="n"/>
      <c r="C38" s="3" t="n"/>
      <c r="D38" s="3" t="n"/>
      <c r="E38" s="4" t="n"/>
      <c r="F38" s="10">
        <f>IF($B38="","",$B38*12+$C38*$D38)</f>
        <v/>
      </c>
      <c r="G38" s="10">
        <f>IF($B38="","",INDEX(標準報酬!$B$4:$B$53,MATCH($B38,標準報酬!$A$4:$A$53,1)))</f>
        <v/>
      </c>
      <c r="H38" s="10">
        <f>IF($B38="","",MIN(MAX($G38,料率!$E$10),料率!$E$11))</f>
        <v/>
      </c>
      <c r="I38" s="10">
        <f>IF($B38="","",ROUNDDOWN($C38,-3))</f>
        <v/>
      </c>
      <c r="J38" s="10">
        <f>IF($B38="","",($G38*12+MIN($I38*$D38,料率!$E$8))*(INDEX(料率!$B$4:$B$50,MATCH($B$5,料率!$A$4:$A$50,0))+IF($E38="はい",料率!$E$4,0))/2)</f>
        <v/>
      </c>
      <c r="K38" s="10">
        <f>IF($B38="","",($G38*12+MIN($I38*$D38,料率!$E$8))*料率!$E$5/2)</f>
        <v/>
      </c>
      <c r="L38" s="10">
        <f>IF($B38="","",($H38*12+MIN($I38,料率!$E$9)*$D38)*料率!$E$6/2)</f>
        <v/>
      </c>
      <c r="M38" s="10">
        <f>IF($B38="","",($H38*12+MIN($I38,料率!$E$9)*$D38)*料率!$E$7)</f>
        <v/>
      </c>
      <c r="N38" s="10">
        <f>IF($B38="","",$F38*INDEX(料率!$E$15:$E$17,MATCH($B$6,料率!$D$15:$D$17,0)))</f>
        <v/>
      </c>
      <c r="O38" s="10">
        <f>IF($B38="","",$F38*$B$7)</f>
        <v/>
      </c>
      <c r="P38" s="10">
        <f>IF($B38="","",SUM($J38:$O38))</f>
        <v/>
      </c>
      <c r="Q38" s="13">
        <f>IF($B38="","",$P38/$F38)</f>
        <v/>
      </c>
      <c r="R38" s="10">
        <f>IF($B38="","",($F38+$P38)/$B$8)</f>
        <v/>
      </c>
      <c r="S38" s="10">
        <f>IF($B38="","",$R38*$B$3/60)</f>
        <v/>
      </c>
    </row>
    <row r="39">
      <c r="A39" s="4" t="inlineStr"/>
      <c r="B39" s="3" t="n"/>
      <c r="C39" s="3" t="n"/>
      <c r="D39" s="3" t="n"/>
      <c r="E39" s="4" t="n"/>
      <c r="F39" s="10">
        <f>IF($B39="","",$B39*12+$C39*$D39)</f>
        <v/>
      </c>
      <c r="G39" s="10">
        <f>IF($B39="","",INDEX(標準報酬!$B$4:$B$53,MATCH($B39,標準報酬!$A$4:$A$53,1)))</f>
        <v/>
      </c>
      <c r="H39" s="10">
        <f>IF($B39="","",MIN(MAX($G39,料率!$E$10),料率!$E$11))</f>
        <v/>
      </c>
      <c r="I39" s="10">
        <f>IF($B39="","",ROUNDDOWN($C39,-3))</f>
        <v/>
      </c>
      <c r="J39" s="10">
        <f>IF($B39="","",($G39*12+MIN($I39*$D39,料率!$E$8))*(INDEX(料率!$B$4:$B$50,MATCH($B$5,料率!$A$4:$A$50,0))+IF($E39="はい",料率!$E$4,0))/2)</f>
        <v/>
      </c>
      <c r="K39" s="10">
        <f>IF($B39="","",($G39*12+MIN($I39*$D39,料率!$E$8))*料率!$E$5/2)</f>
        <v/>
      </c>
      <c r="L39" s="10">
        <f>IF($B39="","",($H39*12+MIN($I39,料率!$E$9)*$D39)*料率!$E$6/2)</f>
        <v/>
      </c>
      <c r="M39" s="10">
        <f>IF($B39="","",($H39*12+MIN($I39,料率!$E$9)*$D39)*料率!$E$7)</f>
        <v/>
      </c>
      <c r="N39" s="10">
        <f>IF($B39="","",$F39*INDEX(料率!$E$15:$E$17,MATCH($B$6,料率!$D$15:$D$17,0)))</f>
        <v/>
      </c>
      <c r="O39" s="10">
        <f>IF($B39="","",$F39*$B$7)</f>
        <v/>
      </c>
      <c r="P39" s="10">
        <f>IF($B39="","",SUM($J39:$O39))</f>
        <v/>
      </c>
      <c r="Q39" s="13">
        <f>IF($B39="","",$P39/$F39)</f>
        <v/>
      </c>
      <c r="R39" s="10">
        <f>IF($B39="","",($F39+$P39)/$B$8)</f>
        <v/>
      </c>
      <c r="S39" s="10">
        <f>IF($B39="","",$R39*$B$3/60)</f>
        <v/>
      </c>
    </row>
    <row r="40">
      <c r="A40" s="4" t="inlineStr"/>
      <c r="B40" s="3" t="n"/>
      <c r="C40" s="3" t="n"/>
      <c r="D40" s="3" t="n"/>
      <c r="E40" s="4" t="n"/>
      <c r="F40" s="10">
        <f>IF($B40="","",$B40*12+$C40*$D40)</f>
        <v/>
      </c>
      <c r="G40" s="10">
        <f>IF($B40="","",INDEX(標準報酬!$B$4:$B$53,MATCH($B40,標準報酬!$A$4:$A$53,1)))</f>
        <v/>
      </c>
      <c r="H40" s="10">
        <f>IF($B40="","",MIN(MAX($G40,料率!$E$10),料率!$E$11))</f>
        <v/>
      </c>
      <c r="I40" s="10">
        <f>IF($B40="","",ROUNDDOWN($C40,-3))</f>
        <v/>
      </c>
      <c r="J40" s="10">
        <f>IF($B40="","",($G40*12+MIN($I40*$D40,料率!$E$8))*(INDEX(料率!$B$4:$B$50,MATCH($B$5,料率!$A$4:$A$50,0))+IF($E40="はい",料率!$E$4,0))/2)</f>
        <v/>
      </c>
      <c r="K40" s="10">
        <f>IF($B40="","",($G40*12+MIN($I40*$D40,料率!$E$8))*料率!$E$5/2)</f>
        <v/>
      </c>
      <c r="L40" s="10">
        <f>IF($B40="","",($H40*12+MIN($I40,料率!$E$9)*$D40)*料率!$E$6/2)</f>
        <v/>
      </c>
      <c r="M40" s="10">
        <f>IF($B40="","",($H40*12+MIN($I40,料率!$E$9)*$D40)*料率!$E$7)</f>
        <v/>
      </c>
      <c r="N40" s="10">
        <f>IF($B40="","",$F40*INDEX(料率!$E$15:$E$17,MATCH($B$6,料率!$D$15:$D$17,0)))</f>
        <v/>
      </c>
      <c r="O40" s="10">
        <f>IF($B40="","",$F40*$B$7)</f>
        <v/>
      </c>
      <c r="P40" s="10">
        <f>IF($B40="","",SUM($J40:$O40))</f>
        <v/>
      </c>
      <c r="Q40" s="13">
        <f>IF($B40="","",$P40/$F40)</f>
        <v/>
      </c>
      <c r="R40" s="10">
        <f>IF($B40="","",($F40+$P40)/$B$8)</f>
        <v/>
      </c>
      <c r="S40" s="10">
        <f>IF($B40="","",$R40*$B$3/60)</f>
        <v/>
      </c>
    </row>
    <row r="41">
      <c r="A41" s="4" t="inlineStr"/>
      <c r="B41" s="3" t="n"/>
      <c r="C41" s="3" t="n"/>
      <c r="D41" s="3" t="n"/>
      <c r="E41" s="4" t="n"/>
      <c r="F41" s="10">
        <f>IF($B41="","",$B41*12+$C41*$D41)</f>
        <v/>
      </c>
      <c r="G41" s="10">
        <f>IF($B41="","",INDEX(標準報酬!$B$4:$B$53,MATCH($B41,標準報酬!$A$4:$A$53,1)))</f>
        <v/>
      </c>
      <c r="H41" s="10">
        <f>IF($B41="","",MIN(MAX($G41,料率!$E$10),料率!$E$11))</f>
        <v/>
      </c>
      <c r="I41" s="10">
        <f>IF($B41="","",ROUNDDOWN($C41,-3))</f>
        <v/>
      </c>
      <c r="J41" s="10">
        <f>IF($B41="","",($G41*12+MIN($I41*$D41,料率!$E$8))*(INDEX(料率!$B$4:$B$50,MATCH($B$5,料率!$A$4:$A$50,0))+IF($E41="はい",料率!$E$4,0))/2)</f>
        <v/>
      </c>
      <c r="K41" s="10">
        <f>IF($B41="","",($G41*12+MIN($I41*$D41,料率!$E$8))*料率!$E$5/2)</f>
        <v/>
      </c>
      <c r="L41" s="10">
        <f>IF($B41="","",($H41*12+MIN($I41,料率!$E$9)*$D41)*料率!$E$6/2)</f>
        <v/>
      </c>
      <c r="M41" s="10">
        <f>IF($B41="","",($H41*12+MIN($I41,料率!$E$9)*$D41)*料率!$E$7)</f>
        <v/>
      </c>
      <c r="N41" s="10">
        <f>IF($B41="","",$F41*INDEX(料率!$E$15:$E$17,MATCH($B$6,料率!$D$15:$D$17,0)))</f>
        <v/>
      </c>
      <c r="O41" s="10">
        <f>IF($B41="","",$F41*$B$7)</f>
        <v/>
      </c>
      <c r="P41" s="10">
        <f>IF($B41="","",SUM($J41:$O41))</f>
        <v/>
      </c>
      <c r="Q41" s="13">
        <f>IF($B41="","",$P41/$F41)</f>
        <v/>
      </c>
      <c r="R41" s="10">
        <f>IF($B41="","",($F41+$P41)/$B$8)</f>
        <v/>
      </c>
      <c r="S41" s="10">
        <f>IF($B41="","",$R41*$B$3/60)</f>
        <v/>
      </c>
    </row>
    <row r="43">
      <c r="A43" s="14" t="inlineStr">
        <is>
          <t>合計</t>
        </is>
      </c>
      <c r="F43" s="8">
        <f>SUM(F22:F41)</f>
        <v/>
      </c>
      <c r="J43" s="8">
        <f>SUM(J22:J41)</f>
        <v/>
      </c>
      <c r="K43" s="8">
        <f>SUM(K22:K41)</f>
        <v/>
      </c>
      <c r="L43" s="8">
        <f>SUM(L22:L41)</f>
        <v/>
      </c>
      <c r="M43" s="8">
        <f>SUM(M22:M41)</f>
        <v/>
      </c>
      <c r="N43" s="8">
        <f>SUM(N22:N41)</f>
        <v/>
      </c>
      <c r="O43" s="8">
        <f>SUM(O22:O41)</f>
        <v/>
      </c>
      <c r="P43" s="8">
        <f>SUM(P22:P41)</f>
        <v/>
      </c>
      <c r="Q43" s="15">
        <f>IF($F43=0,"",$P43/$F43)</f>
        <v/>
      </c>
      <c r="S43" s="8">
        <f>SUM(S22:S41)</f>
        <v/>
      </c>
    </row>
    <row r="45">
      <c r="A45" t="inlineStr">
        <is>
          <t>緑の行は、この会議でいちばん値段の高い参加者。月給が空の行は数えない</t>
        </is>
      </c>
    </row>
    <row r="46">
      <c r="A46" t="inlineStr">
        <is>
          <t>賞与の回数が年4回以上なら、賞与は標準報酬月額に入る。この表はその場合を扱わない</t>
        </is>
      </c>
    </row>
  </sheetData>
  <conditionalFormatting sqref="C15:D18">
    <cfRule type="expression" priority="1" dxfId="0">
      <formula>$C15&lt;0</formula>
    </cfRule>
    <cfRule type="expression" priority="2" dxfId="1">
      <formula>$C15&gt;0</formula>
    </cfRule>
  </conditionalFormatting>
  <conditionalFormatting sqref="A22:S41">
    <cfRule type="expression" priority="3" dxfId="1">
      <formula>AND($S22&lt;&gt;"",$S22=MAX($S$22:$S$41),MAX($S$22:$S$41)&gt;MIN($S$22:$S$41))</formula>
    </cfRule>
  </conditionalFormatting>
  <dataValidations count="3">
    <dataValidation sqref="B5" showDropDown="0" showInputMessage="0" showErrorMessage="0" allowBlank="0" type="list">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sqref="B6" showDropDown="0" showInputMessage="0" showErrorMessage="0" allowBlank="0" type="list">
      <formula1>"一般の事業,農林水産・清酒製造の事業,建設の事業"</formula1>
    </dataValidation>
    <dataValidation sqref="E22:E41" showDropDown="0" showInputMessage="0" showErrorMessage="0" allowBlank="0" type="list">
      <formula1>"はい,いいえ"</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17"/>
  <sheetViews>
    <sheetView workbookViewId="0">
      <selection activeCell="A1" sqref="A1"/>
    </sheetView>
  </sheetViews>
  <sheetFormatPr baseColWidth="8" defaultRowHeight="15"/>
  <cols>
    <col width="12" customWidth="1" min="1" max="1"/>
    <col width="14" customWidth="1" min="2" max="2"/>
    <col width="13" customWidth="1" min="3" max="3"/>
    <col width="8" customWidth="1" min="4" max="4"/>
    <col width="9" customWidth="1" min="5" max="5"/>
    <col width="13"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1" customWidth="1" min="15" max="15"/>
    <col width="13" customWidth="1" min="16" max="16"/>
    <col width="11" customWidth="1" min="17" max="17"/>
    <col width="11" customWidth="1" min="18" max="18"/>
    <col width="12" customWidth="1" min="19" max="19"/>
  </cols>
  <sheetData>
    <row r="1">
      <c r="A1" s="1" t="inlineStr">
        <is>
          <t>年収ごとの会社負担。年収を、統計の平均と同じ割合で月給と賞与2回に分けた（月給×12が年収の79.0%）</t>
        </is>
      </c>
    </row>
    <row r="2">
      <c r="A2" t="inlineStr">
        <is>
          <t>東京都、一般の事業、労災1,000分の3、40歳未満。年間の労働時間は1_会議の値段のB8</t>
        </is>
      </c>
    </row>
    <row r="3">
      <c r="A3" s="2" t="inlineStr">
        <is>
          <t>月給×12が年収に占める割合</t>
        </is>
      </c>
      <c r="D3" s="16">
        <f>368111/(368111+97812)</f>
        <v/>
      </c>
    </row>
    <row r="5" ht="45" customHeight="1">
      <c r="A5" s="7" t="inlineStr">
        <is>
          <t>年収</t>
        </is>
      </c>
      <c r="B5" s="7" t="inlineStr">
        <is>
          <t>月給（毎月の総支給）</t>
        </is>
      </c>
      <c r="C5" s="7" t="inlineStr">
        <is>
          <t>賞与1回の額</t>
        </is>
      </c>
      <c r="D5" s="7" t="inlineStr">
        <is>
          <t>賞与の回数</t>
        </is>
      </c>
      <c r="E5" s="7" t="inlineStr">
        <is>
          <t>40〜64歳か</t>
        </is>
      </c>
      <c r="F5" s="7" t="inlineStr">
        <is>
          <t>年間の給与</t>
        </is>
      </c>
      <c r="G5" s="7" t="inlineStr">
        <is>
          <t>健康保険の標準報酬月額</t>
        </is>
      </c>
      <c r="H5" s="7" t="inlineStr">
        <is>
          <t>厚生年金の標準報酬月額</t>
        </is>
      </c>
      <c r="I5" s="7" t="inlineStr">
        <is>
          <t>標準賞与額</t>
        </is>
      </c>
      <c r="J5" s="7" t="inlineStr">
        <is>
          <t>健康保険・介護（会社分）</t>
        </is>
      </c>
      <c r="K5" s="7" t="inlineStr">
        <is>
          <t>子ども・子育て支援金（会社分）</t>
        </is>
      </c>
      <c r="L5" s="7" t="inlineStr">
        <is>
          <t>厚生年金（会社分）</t>
        </is>
      </c>
      <c r="M5" s="7" t="inlineStr">
        <is>
          <t>子ども・子育て拠出金</t>
        </is>
      </c>
      <c r="N5" s="7" t="inlineStr">
        <is>
          <t>雇用保険（会社分）</t>
        </is>
      </c>
      <c r="O5" s="7" t="inlineStr">
        <is>
          <t>労災保険</t>
        </is>
      </c>
      <c r="P5" s="7" t="inlineStr">
        <is>
          <t>会社負担の計</t>
        </is>
      </c>
      <c r="Q5" s="7" t="inlineStr">
        <is>
          <t>給与に対する会社負担</t>
        </is>
      </c>
      <c r="R5" s="7" t="inlineStr">
        <is>
          <t>1人1時間あたり</t>
        </is>
      </c>
      <c r="S5" s="7" t="inlineStr">
        <is>
          <t>10人で1時間</t>
        </is>
      </c>
    </row>
    <row r="6">
      <c r="A6" s="3" t="n">
        <v>3000000</v>
      </c>
      <c r="B6" s="10">
        <f>ROUND($A6*$D$3/12,0)</f>
        <v/>
      </c>
      <c r="C6" s="10">
        <f>ROUND(($A6-$B6*12)/2,0)</f>
        <v/>
      </c>
      <c r="D6" s="10" t="n">
        <v>2</v>
      </c>
      <c r="E6" s="17" t="inlineStr">
        <is>
          <t>いいえ</t>
        </is>
      </c>
      <c r="F6" s="10">
        <f>IF($B6="","",$B6*12+$C6*$D6)</f>
        <v/>
      </c>
      <c r="G6" s="10">
        <f>IF($B6="","",INDEX(標準報酬!$B$4:$B$53,MATCH($B6,標準報酬!$A$4:$A$53,1)))</f>
        <v/>
      </c>
      <c r="H6" s="10">
        <f>IF($B6="","",MIN(MAX($G6,料率!$E$10),料率!$E$11))</f>
        <v/>
      </c>
      <c r="I6" s="10">
        <f>IF($B6="","",ROUNDDOWN($C6,-3))</f>
        <v/>
      </c>
      <c r="J6" s="10">
        <f>IF($B6="","",($G6*12+MIN($I6*$D6,料率!$E$8))*(INDEX(料率!$B$4:$B$50,MATCH("東京都",料率!$A$4:$A$50,0))+IF($E6="はい",料率!$E$4,0))/2)</f>
        <v/>
      </c>
      <c r="K6" s="10">
        <f>IF($B6="","",($G6*12+MIN($I6*$D6,料率!$E$8))*料率!$E$5/2)</f>
        <v/>
      </c>
      <c r="L6" s="10">
        <f>IF($B6="","",($H6*12+MIN($I6,料率!$E$9)*$D6)*料率!$E$6/2)</f>
        <v/>
      </c>
      <c r="M6" s="10">
        <f>IF($B6="","",($H6*12+MIN($I6,料率!$E$9)*$D6)*料率!$E$7)</f>
        <v/>
      </c>
      <c r="N6" s="10">
        <f>IF($B6="","",$F6*INDEX(料率!$E$15:$E$17,MATCH("一般の事業",料率!$D$15:$D$17,0)))</f>
        <v/>
      </c>
      <c r="O6" s="10">
        <f>IF($B6="","",$F6*0.003)</f>
        <v/>
      </c>
      <c r="P6" s="10">
        <f>IF($B6="","",SUM($J6:$O6))</f>
        <v/>
      </c>
      <c r="Q6" s="13">
        <f>IF($B6="","",$P6/$F6)</f>
        <v/>
      </c>
      <c r="R6" s="10">
        <f>IF($B6="","",($F6+$P6)/'1_会議の値段'!$B$8)</f>
        <v/>
      </c>
      <c r="S6" s="10">
        <f>$R6*10</f>
        <v/>
      </c>
    </row>
    <row r="7">
      <c r="A7" s="3" t="n">
        <v>4000000</v>
      </c>
      <c r="B7" s="10">
        <f>ROUND($A7*$D$3/12,0)</f>
        <v/>
      </c>
      <c r="C7" s="10">
        <f>ROUND(($A7-$B7*12)/2,0)</f>
        <v/>
      </c>
      <c r="D7" s="10" t="n">
        <v>2</v>
      </c>
      <c r="E7" s="17" t="inlineStr">
        <is>
          <t>いいえ</t>
        </is>
      </c>
      <c r="F7" s="10">
        <f>IF($B7="","",$B7*12+$C7*$D7)</f>
        <v/>
      </c>
      <c r="G7" s="10">
        <f>IF($B7="","",INDEX(標準報酬!$B$4:$B$53,MATCH($B7,標準報酬!$A$4:$A$53,1)))</f>
        <v/>
      </c>
      <c r="H7" s="10">
        <f>IF($B7="","",MIN(MAX($G7,料率!$E$10),料率!$E$11))</f>
        <v/>
      </c>
      <c r="I7" s="10">
        <f>IF($B7="","",ROUNDDOWN($C7,-3))</f>
        <v/>
      </c>
      <c r="J7" s="10">
        <f>IF($B7="","",($G7*12+MIN($I7*$D7,料率!$E$8))*(INDEX(料率!$B$4:$B$50,MATCH("東京都",料率!$A$4:$A$50,0))+IF($E7="はい",料率!$E$4,0))/2)</f>
        <v/>
      </c>
      <c r="K7" s="10">
        <f>IF($B7="","",($G7*12+MIN($I7*$D7,料率!$E$8))*料率!$E$5/2)</f>
        <v/>
      </c>
      <c r="L7" s="10">
        <f>IF($B7="","",($H7*12+MIN($I7,料率!$E$9)*$D7)*料率!$E$6/2)</f>
        <v/>
      </c>
      <c r="M7" s="10">
        <f>IF($B7="","",($H7*12+MIN($I7,料率!$E$9)*$D7)*料率!$E$7)</f>
        <v/>
      </c>
      <c r="N7" s="10">
        <f>IF($B7="","",$F7*INDEX(料率!$E$15:$E$17,MATCH("一般の事業",料率!$D$15:$D$17,0)))</f>
        <v/>
      </c>
      <c r="O7" s="10">
        <f>IF($B7="","",$F7*0.003)</f>
        <v/>
      </c>
      <c r="P7" s="10">
        <f>IF($B7="","",SUM($J7:$O7))</f>
        <v/>
      </c>
      <c r="Q7" s="13">
        <f>IF($B7="","",$P7/$F7)</f>
        <v/>
      </c>
      <c r="R7" s="10">
        <f>IF($B7="","",($F7+$P7)/'1_会議の値段'!$B$8)</f>
        <v/>
      </c>
      <c r="S7" s="10">
        <f>$R7*10</f>
        <v/>
      </c>
    </row>
    <row r="8">
      <c r="A8" s="3" t="n">
        <v>5000000</v>
      </c>
      <c r="B8" s="10">
        <f>ROUND($A8*$D$3/12,0)</f>
        <v/>
      </c>
      <c r="C8" s="10">
        <f>ROUND(($A8-$B8*12)/2,0)</f>
        <v/>
      </c>
      <c r="D8" s="10" t="n">
        <v>2</v>
      </c>
      <c r="E8" s="17" t="inlineStr">
        <is>
          <t>いいえ</t>
        </is>
      </c>
      <c r="F8" s="10">
        <f>IF($B8="","",$B8*12+$C8*$D8)</f>
        <v/>
      </c>
      <c r="G8" s="10">
        <f>IF($B8="","",INDEX(標準報酬!$B$4:$B$53,MATCH($B8,標準報酬!$A$4:$A$53,1)))</f>
        <v/>
      </c>
      <c r="H8" s="10">
        <f>IF($B8="","",MIN(MAX($G8,料率!$E$10),料率!$E$11))</f>
        <v/>
      </c>
      <c r="I8" s="10">
        <f>IF($B8="","",ROUNDDOWN($C8,-3))</f>
        <v/>
      </c>
      <c r="J8" s="10">
        <f>IF($B8="","",($G8*12+MIN($I8*$D8,料率!$E$8))*(INDEX(料率!$B$4:$B$50,MATCH("東京都",料率!$A$4:$A$50,0))+IF($E8="はい",料率!$E$4,0))/2)</f>
        <v/>
      </c>
      <c r="K8" s="10">
        <f>IF($B8="","",($G8*12+MIN($I8*$D8,料率!$E$8))*料率!$E$5/2)</f>
        <v/>
      </c>
      <c r="L8" s="10">
        <f>IF($B8="","",($H8*12+MIN($I8,料率!$E$9)*$D8)*料率!$E$6/2)</f>
        <v/>
      </c>
      <c r="M8" s="10">
        <f>IF($B8="","",($H8*12+MIN($I8,料率!$E$9)*$D8)*料率!$E$7)</f>
        <v/>
      </c>
      <c r="N8" s="10">
        <f>IF($B8="","",$F8*INDEX(料率!$E$15:$E$17,MATCH("一般の事業",料率!$D$15:$D$17,0)))</f>
        <v/>
      </c>
      <c r="O8" s="10">
        <f>IF($B8="","",$F8*0.003)</f>
        <v/>
      </c>
      <c r="P8" s="10">
        <f>IF($B8="","",SUM($J8:$O8))</f>
        <v/>
      </c>
      <c r="Q8" s="13">
        <f>IF($B8="","",$P8/$F8)</f>
        <v/>
      </c>
      <c r="R8" s="10">
        <f>IF($B8="","",($F8+$P8)/'1_会議の値段'!$B$8)</f>
        <v/>
      </c>
      <c r="S8" s="10">
        <f>$R8*10</f>
        <v/>
      </c>
    </row>
    <row r="9">
      <c r="A9" s="3" t="n">
        <v>6000000</v>
      </c>
      <c r="B9" s="10">
        <f>ROUND($A9*$D$3/12,0)</f>
        <v/>
      </c>
      <c r="C9" s="10">
        <f>ROUND(($A9-$B9*12)/2,0)</f>
        <v/>
      </c>
      <c r="D9" s="10" t="n">
        <v>2</v>
      </c>
      <c r="E9" s="17" t="inlineStr">
        <is>
          <t>いいえ</t>
        </is>
      </c>
      <c r="F9" s="10">
        <f>IF($B9="","",$B9*12+$C9*$D9)</f>
        <v/>
      </c>
      <c r="G9" s="10">
        <f>IF($B9="","",INDEX(標準報酬!$B$4:$B$53,MATCH($B9,標準報酬!$A$4:$A$53,1)))</f>
        <v/>
      </c>
      <c r="H9" s="10">
        <f>IF($B9="","",MIN(MAX($G9,料率!$E$10),料率!$E$11))</f>
        <v/>
      </c>
      <c r="I9" s="10">
        <f>IF($B9="","",ROUNDDOWN($C9,-3))</f>
        <v/>
      </c>
      <c r="J9" s="10">
        <f>IF($B9="","",($G9*12+MIN($I9*$D9,料率!$E$8))*(INDEX(料率!$B$4:$B$50,MATCH("東京都",料率!$A$4:$A$50,0))+IF($E9="はい",料率!$E$4,0))/2)</f>
        <v/>
      </c>
      <c r="K9" s="10">
        <f>IF($B9="","",($G9*12+MIN($I9*$D9,料率!$E$8))*料率!$E$5/2)</f>
        <v/>
      </c>
      <c r="L9" s="10">
        <f>IF($B9="","",($H9*12+MIN($I9,料率!$E$9)*$D9)*料率!$E$6/2)</f>
        <v/>
      </c>
      <c r="M9" s="10">
        <f>IF($B9="","",($H9*12+MIN($I9,料率!$E$9)*$D9)*料率!$E$7)</f>
        <v/>
      </c>
      <c r="N9" s="10">
        <f>IF($B9="","",$F9*INDEX(料率!$E$15:$E$17,MATCH("一般の事業",料率!$D$15:$D$17,0)))</f>
        <v/>
      </c>
      <c r="O9" s="10">
        <f>IF($B9="","",$F9*0.003)</f>
        <v/>
      </c>
      <c r="P9" s="10">
        <f>IF($B9="","",SUM($J9:$O9))</f>
        <v/>
      </c>
      <c r="Q9" s="13">
        <f>IF($B9="","",$P9/$F9)</f>
        <v/>
      </c>
      <c r="R9" s="10">
        <f>IF($B9="","",($F9+$P9)/'1_会議の値段'!$B$8)</f>
        <v/>
      </c>
      <c r="S9" s="10">
        <f>$R9*10</f>
        <v/>
      </c>
    </row>
    <row r="10">
      <c r="A10" s="3" t="n">
        <v>7000000</v>
      </c>
      <c r="B10" s="10">
        <f>ROUND($A10*$D$3/12,0)</f>
        <v/>
      </c>
      <c r="C10" s="10">
        <f>ROUND(($A10-$B10*12)/2,0)</f>
        <v/>
      </c>
      <c r="D10" s="10" t="n">
        <v>2</v>
      </c>
      <c r="E10" s="17" t="inlineStr">
        <is>
          <t>いいえ</t>
        </is>
      </c>
      <c r="F10" s="10">
        <f>IF($B10="","",$B10*12+$C10*$D10)</f>
        <v/>
      </c>
      <c r="G10" s="10">
        <f>IF($B10="","",INDEX(標準報酬!$B$4:$B$53,MATCH($B10,標準報酬!$A$4:$A$53,1)))</f>
        <v/>
      </c>
      <c r="H10" s="10">
        <f>IF($B10="","",MIN(MAX($G10,料率!$E$10),料率!$E$11))</f>
        <v/>
      </c>
      <c r="I10" s="10">
        <f>IF($B10="","",ROUNDDOWN($C10,-3))</f>
        <v/>
      </c>
      <c r="J10" s="10">
        <f>IF($B10="","",($G10*12+MIN($I10*$D10,料率!$E$8))*(INDEX(料率!$B$4:$B$50,MATCH("東京都",料率!$A$4:$A$50,0))+IF($E10="はい",料率!$E$4,0))/2)</f>
        <v/>
      </c>
      <c r="K10" s="10">
        <f>IF($B10="","",($G10*12+MIN($I10*$D10,料率!$E$8))*料率!$E$5/2)</f>
        <v/>
      </c>
      <c r="L10" s="10">
        <f>IF($B10="","",($H10*12+MIN($I10,料率!$E$9)*$D10)*料率!$E$6/2)</f>
        <v/>
      </c>
      <c r="M10" s="10">
        <f>IF($B10="","",($H10*12+MIN($I10,料率!$E$9)*$D10)*料率!$E$7)</f>
        <v/>
      </c>
      <c r="N10" s="10">
        <f>IF($B10="","",$F10*INDEX(料率!$E$15:$E$17,MATCH("一般の事業",料率!$D$15:$D$17,0)))</f>
        <v/>
      </c>
      <c r="O10" s="10">
        <f>IF($B10="","",$F10*0.003)</f>
        <v/>
      </c>
      <c r="P10" s="10">
        <f>IF($B10="","",SUM($J10:$O10))</f>
        <v/>
      </c>
      <c r="Q10" s="13">
        <f>IF($B10="","",$P10/$F10)</f>
        <v/>
      </c>
      <c r="R10" s="10">
        <f>IF($B10="","",($F10+$P10)/'1_会議の値段'!$B$8)</f>
        <v/>
      </c>
      <c r="S10" s="10">
        <f>$R10*10</f>
        <v/>
      </c>
    </row>
    <row r="11">
      <c r="A11" s="3" t="n">
        <v>8000000</v>
      </c>
      <c r="B11" s="10">
        <f>ROUND($A11*$D$3/12,0)</f>
        <v/>
      </c>
      <c r="C11" s="10">
        <f>ROUND(($A11-$B11*12)/2,0)</f>
        <v/>
      </c>
      <c r="D11" s="10" t="n">
        <v>2</v>
      </c>
      <c r="E11" s="17" t="inlineStr">
        <is>
          <t>いいえ</t>
        </is>
      </c>
      <c r="F11" s="10">
        <f>IF($B11="","",$B11*12+$C11*$D11)</f>
        <v/>
      </c>
      <c r="G11" s="10">
        <f>IF($B11="","",INDEX(標準報酬!$B$4:$B$53,MATCH($B11,標準報酬!$A$4:$A$53,1)))</f>
        <v/>
      </c>
      <c r="H11" s="10">
        <f>IF($B11="","",MIN(MAX($G11,料率!$E$10),料率!$E$11))</f>
        <v/>
      </c>
      <c r="I11" s="10">
        <f>IF($B11="","",ROUNDDOWN($C11,-3))</f>
        <v/>
      </c>
      <c r="J11" s="10">
        <f>IF($B11="","",($G11*12+MIN($I11*$D11,料率!$E$8))*(INDEX(料率!$B$4:$B$50,MATCH("東京都",料率!$A$4:$A$50,0))+IF($E11="はい",料率!$E$4,0))/2)</f>
        <v/>
      </c>
      <c r="K11" s="10">
        <f>IF($B11="","",($G11*12+MIN($I11*$D11,料率!$E$8))*料率!$E$5/2)</f>
        <v/>
      </c>
      <c r="L11" s="10">
        <f>IF($B11="","",($H11*12+MIN($I11,料率!$E$9)*$D11)*料率!$E$6/2)</f>
        <v/>
      </c>
      <c r="M11" s="10">
        <f>IF($B11="","",($H11*12+MIN($I11,料率!$E$9)*$D11)*料率!$E$7)</f>
        <v/>
      </c>
      <c r="N11" s="10">
        <f>IF($B11="","",$F11*INDEX(料率!$E$15:$E$17,MATCH("一般の事業",料率!$D$15:$D$17,0)))</f>
        <v/>
      </c>
      <c r="O11" s="10">
        <f>IF($B11="","",$F11*0.003)</f>
        <v/>
      </c>
      <c r="P11" s="10">
        <f>IF($B11="","",SUM($J11:$O11))</f>
        <v/>
      </c>
      <c r="Q11" s="13">
        <f>IF($B11="","",$P11/$F11)</f>
        <v/>
      </c>
      <c r="R11" s="10">
        <f>IF($B11="","",($F11+$P11)/'1_会議の値段'!$B$8)</f>
        <v/>
      </c>
      <c r="S11" s="10">
        <f>$R11*10</f>
        <v/>
      </c>
    </row>
    <row r="12">
      <c r="A12" s="3" t="n">
        <v>10000000</v>
      </c>
      <c r="B12" s="10">
        <f>ROUND($A12*$D$3/12,0)</f>
        <v/>
      </c>
      <c r="C12" s="10">
        <f>ROUND(($A12-$B12*12)/2,0)</f>
        <v/>
      </c>
      <c r="D12" s="10" t="n">
        <v>2</v>
      </c>
      <c r="E12" s="17" t="inlineStr">
        <is>
          <t>いいえ</t>
        </is>
      </c>
      <c r="F12" s="10">
        <f>IF($B12="","",$B12*12+$C12*$D12)</f>
        <v/>
      </c>
      <c r="G12" s="10">
        <f>IF($B12="","",INDEX(標準報酬!$B$4:$B$53,MATCH($B12,標準報酬!$A$4:$A$53,1)))</f>
        <v/>
      </c>
      <c r="H12" s="10">
        <f>IF($B12="","",MIN(MAX($G12,料率!$E$10),料率!$E$11))</f>
        <v/>
      </c>
      <c r="I12" s="10">
        <f>IF($B12="","",ROUNDDOWN($C12,-3))</f>
        <v/>
      </c>
      <c r="J12" s="10">
        <f>IF($B12="","",($G12*12+MIN($I12*$D12,料率!$E$8))*(INDEX(料率!$B$4:$B$50,MATCH("東京都",料率!$A$4:$A$50,0))+IF($E12="はい",料率!$E$4,0))/2)</f>
        <v/>
      </c>
      <c r="K12" s="10">
        <f>IF($B12="","",($G12*12+MIN($I12*$D12,料率!$E$8))*料率!$E$5/2)</f>
        <v/>
      </c>
      <c r="L12" s="10">
        <f>IF($B12="","",($H12*12+MIN($I12,料率!$E$9)*$D12)*料率!$E$6/2)</f>
        <v/>
      </c>
      <c r="M12" s="10">
        <f>IF($B12="","",($H12*12+MIN($I12,料率!$E$9)*$D12)*料率!$E$7)</f>
        <v/>
      </c>
      <c r="N12" s="10">
        <f>IF($B12="","",$F12*INDEX(料率!$E$15:$E$17,MATCH("一般の事業",料率!$D$15:$D$17,0)))</f>
        <v/>
      </c>
      <c r="O12" s="10">
        <f>IF($B12="","",$F12*0.003)</f>
        <v/>
      </c>
      <c r="P12" s="10">
        <f>IF($B12="","",SUM($J12:$O12))</f>
        <v/>
      </c>
      <c r="Q12" s="13">
        <f>IF($B12="","",$P12/$F12)</f>
        <v/>
      </c>
      <c r="R12" s="10">
        <f>IF($B12="","",($F12+$P12)/'1_会議の値段'!$B$8)</f>
        <v/>
      </c>
      <c r="S12" s="10">
        <f>$R12*10</f>
        <v/>
      </c>
    </row>
    <row r="13">
      <c r="A13" s="3" t="n">
        <v>12000000</v>
      </c>
      <c r="B13" s="10">
        <f>ROUND($A13*$D$3/12,0)</f>
        <v/>
      </c>
      <c r="C13" s="10">
        <f>ROUND(($A13-$B13*12)/2,0)</f>
        <v/>
      </c>
      <c r="D13" s="10" t="n">
        <v>2</v>
      </c>
      <c r="E13" s="17" t="inlineStr">
        <is>
          <t>いいえ</t>
        </is>
      </c>
      <c r="F13" s="10">
        <f>IF($B13="","",$B13*12+$C13*$D13)</f>
        <v/>
      </c>
      <c r="G13" s="10">
        <f>IF($B13="","",INDEX(標準報酬!$B$4:$B$53,MATCH($B13,標準報酬!$A$4:$A$53,1)))</f>
        <v/>
      </c>
      <c r="H13" s="10">
        <f>IF($B13="","",MIN(MAX($G13,料率!$E$10),料率!$E$11))</f>
        <v/>
      </c>
      <c r="I13" s="10">
        <f>IF($B13="","",ROUNDDOWN($C13,-3))</f>
        <v/>
      </c>
      <c r="J13" s="10">
        <f>IF($B13="","",($G13*12+MIN($I13*$D13,料率!$E$8))*(INDEX(料率!$B$4:$B$50,MATCH("東京都",料率!$A$4:$A$50,0))+IF($E13="はい",料率!$E$4,0))/2)</f>
        <v/>
      </c>
      <c r="K13" s="10">
        <f>IF($B13="","",($G13*12+MIN($I13*$D13,料率!$E$8))*料率!$E$5/2)</f>
        <v/>
      </c>
      <c r="L13" s="10">
        <f>IF($B13="","",($H13*12+MIN($I13,料率!$E$9)*$D13)*料率!$E$6/2)</f>
        <v/>
      </c>
      <c r="M13" s="10">
        <f>IF($B13="","",($H13*12+MIN($I13,料率!$E$9)*$D13)*料率!$E$7)</f>
        <v/>
      </c>
      <c r="N13" s="10">
        <f>IF($B13="","",$F13*INDEX(料率!$E$15:$E$17,MATCH("一般の事業",料率!$D$15:$D$17,0)))</f>
        <v/>
      </c>
      <c r="O13" s="10">
        <f>IF($B13="","",$F13*0.003)</f>
        <v/>
      </c>
      <c r="P13" s="10">
        <f>IF($B13="","",SUM($J13:$O13))</f>
        <v/>
      </c>
      <c r="Q13" s="13">
        <f>IF($B13="","",$P13/$F13)</f>
        <v/>
      </c>
      <c r="R13" s="10">
        <f>IF($B13="","",($F13+$P13)/'1_会議の値段'!$B$8)</f>
        <v/>
      </c>
      <c r="S13" s="10">
        <f>$R13*10</f>
        <v/>
      </c>
    </row>
    <row r="14">
      <c r="A14" s="3" t="n">
        <v>15000000</v>
      </c>
      <c r="B14" s="10">
        <f>ROUND($A14*$D$3/12,0)</f>
        <v/>
      </c>
      <c r="C14" s="10">
        <f>ROUND(($A14-$B14*12)/2,0)</f>
        <v/>
      </c>
      <c r="D14" s="10" t="n">
        <v>2</v>
      </c>
      <c r="E14" s="17" t="inlineStr">
        <is>
          <t>いいえ</t>
        </is>
      </c>
      <c r="F14" s="10">
        <f>IF($B14="","",$B14*12+$C14*$D14)</f>
        <v/>
      </c>
      <c r="G14" s="10">
        <f>IF($B14="","",INDEX(標準報酬!$B$4:$B$53,MATCH($B14,標準報酬!$A$4:$A$53,1)))</f>
        <v/>
      </c>
      <c r="H14" s="10">
        <f>IF($B14="","",MIN(MAX($G14,料率!$E$10),料率!$E$11))</f>
        <v/>
      </c>
      <c r="I14" s="10">
        <f>IF($B14="","",ROUNDDOWN($C14,-3))</f>
        <v/>
      </c>
      <c r="J14" s="10">
        <f>IF($B14="","",($G14*12+MIN($I14*$D14,料率!$E$8))*(INDEX(料率!$B$4:$B$50,MATCH("東京都",料率!$A$4:$A$50,0))+IF($E14="はい",料率!$E$4,0))/2)</f>
        <v/>
      </c>
      <c r="K14" s="10">
        <f>IF($B14="","",($G14*12+MIN($I14*$D14,料率!$E$8))*料率!$E$5/2)</f>
        <v/>
      </c>
      <c r="L14" s="10">
        <f>IF($B14="","",($H14*12+MIN($I14,料率!$E$9)*$D14)*料率!$E$6/2)</f>
        <v/>
      </c>
      <c r="M14" s="10">
        <f>IF($B14="","",($H14*12+MIN($I14,料率!$E$9)*$D14)*料率!$E$7)</f>
        <v/>
      </c>
      <c r="N14" s="10">
        <f>IF($B14="","",$F14*INDEX(料率!$E$15:$E$17,MATCH("一般の事業",料率!$D$15:$D$17,0)))</f>
        <v/>
      </c>
      <c r="O14" s="10">
        <f>IF($B14="","",$F14*0.003)</f>
        <v/>
      </c>
      <c r="P14" s="10">
        <f>IF($B14="","",SUM($J14:$O14))</f>
        <v/>
      </c>
      <c r="Q14" s="13">
        <f>IF($B14="","",$P14/$F14)</f>
        <v/>
      </c>
      <c r="R14" s="10">
        <f>IF($B14="","",($F14+$P14)/'1_会議の値段'!$B$8)</f>
        <v/>
      </c>
      <c r="S14" s="10">
        <f>$R14*10</f>
        <v/>
      </c>
    </row>
    <row r="15">
      <c r="A15" s="3" t="n">
        <v>20000000</v>
      </c>
      <c r="B15" s="10">
        <f>ROUND($A15*$D$3/12,0)</f>
        <v/>
      </c>
      <c r="C15" s="10">
        <f>ROUND(($A15-$B15*12)/2,0)</f>
        <v/>
      </c>
      <c r="D15" s="10" t="n">
        <v>2</v>
      </c>
      <c r="E15" s="17" t="inlineStr">
        <is>
          <t>いいえ</t>
        </is>
      </c>
      <c r="F15" s="10">
        <f>IF($B15="","",$B15*12+$C15*$D15)</f>
        <v/>
      </c>
      <c r="G15" s="10">
        <f>IF($B15="","",INDEX(標準報酬!$B$4:$B$53,MATCH($B15,標準報酬!$A$4:$A$53,1)))</f>
        <v/>
      </c>
      <c r="H15" s="10">
        <f>IF($B15="","",MIN(MAX($G15,料率!$E$10),料率!$E$11))</f>
        <v/>
      </c>
      <c r="I15" s="10">
        <f>IF($B15="","",ROUNDDOWN($C15,-3))</f>
        <v/>
      </c>
      <c r="J15" s="10">
        <f>IF($B15="","",($G15*12+MIN($I15*$D15,料率!$E$8))*(INDEX(料率!$B$4:$B$50,MATCH("東京都",料率!$A$4:$A$50,0))+IF($E15="はい",料率!$E$4,0))/2)</f>
        <v/>
      </c>
      <c r="K15" s="10">
        <f>IF($B15="","",($G15*12+MIN($I15*$D15,料率!$E$8))*料率!$E$5/2)</f>
        <v/>
      </c>
      <c r="L15" s="10">
        <f>IF($B15="","",($H15*12+MIN($I15,料率!$E$9)*$D15)*料率!$E$6/2)</f>
        <v/>
      </c>
      <c r="M15" s="10">
        <f>IF($B15="","",($H15*12+MIN($I15,料率!$E$9)*$D15)*料率!$E$7)</f>
        <v/>
      </c>
      <c r="N15" s="10">
        <f>IF($B15="","",$F15*INDEX(料率!$E$15:$E$17,MATCH("一般の事業",料率!$D$15:$D$17,0)))</f>
        <v/>
      </c>
      <c r="O15" s="10">
        <f>IF($B15="","",$F15*0.003)</f>
        <v/>
      </c>
      <c r="P15" s="10">
        <f>IF($B15="","",SUM($J15:$O15))</f>
        <v/>
      </c>
      <c r="Q15" s="13">
        <f>IF($B15="","",$P15/$F15)</f>
        <v/>
      </c>
      <c r="R15" s="10">
        <f>IF($B15="","",($F15+$P15)/'1_会議の値段'!$B$8)</f>
        <v/>
      </c>
      <c r="S15" s="10">
        <f>$R15*10</f>
        <v/>
      </c>
    </row>
    <row r="17">
      <c r="A17" t="inlineStr">
        <is>
          <t>赤い割合は15%を下回った年収。厚生年金の標準報酬月額は65万円、標準賞与額は1回150万円で頭打ちになり、それより上の給与には厚生年金と拠出金が掛からない</t>
        </is>
      </c>
    </row>
  </sheetData>
  <conditionalFormatting sqref="Q6:Q15">
    <cfRule type="expression" priority="1" dxfId="0">
      <formula>$Q6&lt;0.15</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0" customWidth="1" min="1" max="1"/>
    <col width="14" customWidth="1" min="2" max="2"/>
    <col width="70" customWidth="1" min="3" max="3"/>
  </cols>
  <sheetData>
    <row r="1">
      <c r="A1" s="1" t="inlineStr">
        <is>
          <t>定時を過ぎて延びた会議に払う割増賃金（時間外労働、1か月60時間以内）</t>
        </is>
      </c>
    </row>
    <row r="3">
      <c r="A3" s="2" t="inlineStr">
        <is>
          <t>月給のうち割増賃金の基礎に入る額</t>
        </is>
      </c>
      <c r="B3" s="3" t="n">
        <v>340634</v>
      </c>
      <c r="C3" t="inlineStr">
        <is>
          <t>初期値は統計の所定内給与。家族手当・通勤手当・住宅手当などは本当は除く</t>
        </is>
      </c>
    </row>
    <row r="4">
      <c r="A4" s="2" t="inlineStr">
        <is>
          <t>1か月平均の所定労働時間</t>
        </is>
      </c>
      <c r="B4" s="6" t="n">
        <v>147.3</v>
      </c>
      <c r="C4" t="inlineStr">
        <is>
          <t>初期値は統計の所定内労働時間（実際に働いた時間）</t>
        </is>
      </c>
    </row>
    <row r="5">
      <c r="A5" s="2" t="inlineStr">
        <is>
          <t>割増率</t>
        </is>
      </c>
      <c r="B5" s="18" t="n">
        <v>0.25</v>
      </c>
      <c r="C5" t="inlineStr">
        <is>
          <t>時間外は2割5分。1か月60時間を超えた分は5割</t>
        </is>
      </c>
    </row>
    <row r="6">
      <c r="A6" s="2" t="inlineStr">
        <is>
          <t>延びた分（分）</t>
        </is>
      </c>
      <c r="B6" s="3" t="n">
        <v>30</v>
      </c>
      <c r="C6" t="inlineStr"/>
    </row>
    <row r="7">
      <c r="A7" s="2" t="inlineStr">
        <is>
          <t>延びた会議に残った人数</t>
        </is>
      </c>
      <c r="B7" s="3" t="n">
        <v>10</v>
      </c>
      <c r="C7" t="inlineStr"/>
    </row>
    <row r="8">
      <c r="A8" s="2" t="inlineStr">
        <is>
          <t>1時間あたりの賃金</t>
        </is>
      </c>
      <c r="B8" s="19">
        <f>$B$3/$B$4</f>
        <v/>
      </c>
      <c r="C8" t="inlineStr">
        <is>
          <t>労働基準法施行規則第19条の月給の場合</t>
        </is>
      </c>
    </row>
    <row r="9">
      <c r="A9" s="2" t="inlineStr">
        <is>
          <t>割増を含む1時間</t>
        </is>
      </c>
      <c r="B9" s="20">
        <f>$B$8*(1+$B$5)</f>
        <v/>
      </c>
      <c r="C9" t="inlineStr"/>
    </row>
    <row r="10">
      <c r="A10" s="2" t="inlineStr">
        <is>
          <t>延びた分に払う賃金</t>
        </is>
      </c>
      <c r="B10" s="21">
        <f>$B$9*$B$6/60*$B$7</f>
        <v/>
      </c>
      <c r="C10" t="inlineStr">
        <is>
          <t>1分単位で数えた場合</t>
        </is>
      </c>
    </row>
    <row r="11">
      <c r="A11" s="2" t="inlineStr">
        <is>
          <t>雇用保険と労災保険の会社分</t>
        </is>
      </c>
      <c r="B11" s="21">
        <f>$B$10*(INDEX(料率!$E$15:$E$17,MATCH('1_会議の値段'!$B$6,料率!$D$15:$D$17,0))+'1_会議の値段'!$B$7)</f>
        <v/>
      </c>
      <c r="C11" t="inlineStr">
        <is>
          <t>社会保険料は標準報酬月額が変わったときにだけ増えるので入れていない</t>
        </is>
      </c>
    </row>
    <row r="12">
      <c r="A12" s="2" t="inlineStr">
        <is>
          <t>延びた分に会社が払う額</t>
        </is>
      </c>
      <c r="B12" s="22">
        <f>$B$10+$B$11</f>
        <v/>
      </c>
      <c r="C12" t="inlineStr"/>
    </row>
    <row r="13">
      <c r="A13" s="2" t="inlineStr">
        <is>
          <t>参考: 1_会議の値段の1人1時間あたりの平均</t>
        </is>
      </c>
      <c r="B13" s="22">
        <f>AVERAGE('1_会議の値段'!$R$22:$R$41)</f>
        <v/>
      </c>
      <c r="C13" t="inlineStr">
        <is>
          <t>賞与と社会保険料を含む平均。割増を含む1時間より高い</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30" customWidth="1" min="1" max="1"/>
  </cols>
  <sheetData>
    <row r="1">
      <c r="A1" s="1" t="inlineStr">
        <is>
          <t>使い方</t>
        </is>
      </c>
    </row>
    <row r="3">
      <c r="A3" t="inlineStr">
        <is>
          <t>1_会議の値段 の黄色い欄を埋める。B3に会議の長さ（分）、B4に年に開く回数、A22から下に参加者を1人1行で入れる（20人まで）。</t>
        </is>
      </c>
    </row>
    <row r="4">
      <c r="A4" t="inlineStr">
        <is>
          <t>月給は毎月の総支給（残業代や手当を含む額）、賞与は1回の額と年の回数。40〜64歳の人は「はい」にすると介護保険料が入る。</t>
        </is>
      </c>
    </row>
    <row r="5">
      <c r="A5" t="inlineStr">
        <is>
          <t>B11に会議1回の値段、B12に1分あたり、B13に1年分が出る。B15からB18は、よくある出し方で出した額と、正しい額との差。</t>
        </is>
      </c>
    </row>
    <row r="6">
      <c r="A6" t="inlineStr"/>
    </row>
    <row r="7">
      <c r="A7" t="inlineStr">
        <is>
          <t>1人1時間あたりの額は、年間の給与（月給×12＋賞与）に会社負担の保険料を足し、年間の労働時間で割ったもの。</t>
        </is>
      </c>
    </row>
    <row r="8">
      <c r="A8" t="inlineStr">
        <is>
          <t>会社負担は、健康保険・介護・子ども・子育て支援金・厚生年金の半分、子ども・子育て拠出金（全額）、雇用保険の会社分、労災保険。</t>
        </is>
      </c>
    </row>
    <row r="9">
      <c r="A9" t="inlineStr">
        <is>
          <t>社会保険料は実際の給与ではなく、標準報酬月額と標準賞与額（賞与の千円未満を切り捨てた額）に掛ける。</t>
        </is>
      </c>
    </row>
    <row r="10">
      <c r="A10" t="inlineStr">
        <is>
          <t>厚生年金と拠出金は標準報酬月額65万円、標準賞与額1回150万円が上限。健康保険の標準賞与額は年度で573万円が上限。</t>
        </is>
      </c>
    </row>
    <row r="11">
      <c r="A11" t="inlineStr">
        <is>
          <t>円未満の端数は処理していない。会社が実際に払う額とは数円ずれる。</t>
        </is>
      </c>
    </row>
    <row r="12">
      <c r="A12" t="inlineStr"/>
    </row>
    <row r="13">
      <c r="A13" t="inlineStr">
        <is>
          <t>年間の労働時間の初期値1,926.0時間は、毎月勤労統計調査 令和7年分確報の一般労働者（調査産業計、5人以上）の総実労働時間160.5時間×12。</t>
        </is>
      </c>
    </row>
    <row r="14">
      <c r="A14" t="inlineStr">
        <is>
          <t>残業の多い職場は増やし、少ない職場は減らす。休んだ日の分の給与も払っている会社なら、所定の労働時間で割るほうが近い。</t>
        </is>
      </c>
    </row>
    <row r="15">
      <c r="A15" t="inlineStr"/>
    </row>
    <row r="16">
      <c r="A16" t="inlineStr">
        <is>
          <t>2_役職の違う10人 は架空の例。3_年収別 は、年収が上がると会社負担の割合が下がることを見る表。</t>
        </is>
      </c>
    </row>
    <row r="17">
      <c r="A17" t="inlineStr">
        <is>
          <t>4_延びた会議 は、定時を過ぎた分に払う割増賃金。定時の中の会議は、給与が会議のために増えるわけではない。</t>
        </is>
      </c>
    </row>
    <row r="18">
      <c r="A18" t="inlineStr"/>
    </row>
    <row r="19">
      <c r="A19" t="inlineStr">
        <is>
          <t>この表で扱わないもの: 健康保険組合の料率、厚生年金基金、賞与が年4回以上の人、退職金や福利厚生費、会議室や準備の時間。</t>
        </is>
      </c>
    </row>
    <row r="20">
      <c r="A20" t="inlineStr"/>
    </row>
    <row r="21">
      <c r="A21" t="inlineStr">
        <is>
          <t>出典（どれも2026年10月6日に確認）</t>
        </is>
      </c>
    </row>
    <row r="22">
      <c r="A22" t="inlineStr">
        <is>
          <t>厚生労働省 毎月勤労統計調査 令和7年分結果確報 https://www.mhlw.go.jp/toukei/itiran/roudou/monthly/r07/25cr/25cr.html</t>
        </is>
      </c>
    </row>
    <row r="23">
      <c r="A23" t="inlineStr">
        <is>
          <t>協会けんぽ 令和8年度の保険料率 https://www.kyoukaikenpo.or.jp/about/business/insurance_rate/rate_prefectures/r08/index.html</t>
        </is>
      </c>
    </row>
    <row r="24">
      <c r="A24" t="inlineStr">
        <is>
          <t>協会けんぽ 令和8年度 保険料額表（東京支部） https://www.kyoukaikenpo.or.jp/assets/R8_13tokyo.pdf</t>
        </is>
      </c>
    </row>
    <row r="25">
      <c r="A25" t="inlineStr">
        <is>
          <t>厚生労働省 令和8年度雇用保険料率のご案内 https://www.mhlw.go.jp/content/001692566.pdf</t>
        </is>
      </c>
    </row>
    <row r="26">
      <c r="A26" t="inlineStr">
        <is>
          <t>厚生労働省 令和8年度の労災保険率について https://www.mhlw.go.jp/stf/seisakunitsuite/bunya/koyou_roudou/roudoukijun/rousai/rousaihoken06/rousai_hokenritsu_kaitei.html</t>
        </is>
      </c>
    </row>
    <row r="27">
      <c r="A27" t="inlineStr">
        <is>
          <t>労働基準法第37条、労働基準法施行規則第19条・第21条 https://laws.e-gov.go.jp/law/322AC0000000049</t>
        </is>
      </c>
    </row>
    <row r="28">
      <c r="A28" t="inlineStr"/>
    </row>
    <row r="29">
      <c r="A29" t="inlineStr">
        <is>
          <t>この表は会議の値段の見当をつけるもの。実際の人件費は勤め先の給与と、加入している保険者の料率で決まる。</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12" customWidth="1" min="1" max="1"/>
    <col width="14" customWidth="1" min="2" max="2"/>
    <col width="40" customWidth="1" min="4" max="4"/>
    <col width="12" customWidth="1" min="5" max="5"/>
    <col width="12" customWidth="1" min="6" max="6"/>
  </cols>
  <sheetData>
    <row r="1">
      <c r="A1" t="inlineStr">
        <is>
          <t>会社が負担する保険料の率。協会けんぽ 令和8年度（3月分から）、厚生労働省 令和8年度の雇用保険料率と労災保険率。2026年10月6日に確認</t>
        </is>
      </c>
    </row>
    <row r="3">
      <c r="A3" s="7" t="inlineStr">
        <is>
          <t>都道府県</t>
        </is>
      </c>
      <c r="B3" s="7" t="inlineStr">
        <is>
          <t>健康保険料率</t>
        </is>
      </c>
      <c r="D3" s="7" t="inlineStr">
        <is>
          <t>項目</t>
        </is>
      </c>
      <c r="E3" s="7" t="inlineStr">
        <is>
          <t>率</t>
        </is>
      </c>
    </row>
    <row r="4">
      <c r="A4" s="9" t="inlineStr">
        <is>
          <t>北海道</t>
        </is>
      </c>
      <c r="B4" s="23" t="n">
        <v>0.1028</v>
      </c>
      <c r="D4" s="9" t="inlineStr">
        <is>
          <t>介護保険料率（40歳から64歳）</t>
        </is>
      </c>
      <c r="E4" s="23" t="n">
        <v>0.0162</v>
      </c>
    </row>
    <row r="5">
      <c r="A5" s="9" t="inlineStr">
        <is>
          <t>青森県</t>
        </is>
      </c>
      <c r="B5" s="23" t="n">
        <v>0.09849999999999999</v>
      </c>
      <c r="D5" s="9" t="inlineStr">
        <is>
          <t>子ども・子育て支援金率（令和8年4月分から）</t>
        </is>
      </c>
      <c r="E5" s="23" t="n">
        <v>0.0023</v>
      </c>
    </row>
    <row r="6">
      <c r="A6" s="9" t="inlineStr">
        <is>
          <t>岩手県</t>
        </is>
      </c>
      <c r="B6" s="23" t="n">
        <v>0.0951</v>
      </c>
      <c r="D6" s="9" t="inlineStr">
        <is>
          <t>厚生年金保険料率</t>
        </is>
      </c>
      <c r="E6" s="24" t="n">
        <v>0.183</v>
      </c>
    </row>
    <row r="7">
      <c r="A7" s="9" t="inlineStr">
        <is>
          <t>宮城県</t>
        </is>
      </c>
      <c r="B7" s="23" t="n">
        <v>0.101</v>
      </c>
      <c r="D7" s="9" t="inlineStr">
        <is>
          <t>子ども・子育て拠出金率（全額会社）</t>
        </is>
      </c>
      <c r="E7" s="23" t="n">
        <v>0.0036</v>
      </c>
    </row>
    <row r="8">
      <c r="A8" s="9" t="inlineStr">
        <is>
          <t>秋田県</t>
        </is>
      </c>
      <c r="B8" s="23" t="n">
        <v>0.1001</v>
      </c>
      <c r="D8" s="9" t="inlineStr">
        <is>
          <t>健康保険の標準賞与額 年度の上限</t>
        </is>
      </c>
      <c r="E8" s="21" t="n">
        <v>5730000</v>
      </c>
    </row>
    <row r="9">
      <c r="A9" s="9" t="inlineStr">
        <is>
          <t>山形県</t>
        </is>
      </c>
      <c r="B9" s="23" t="n">
        <v>0.0975</v>
      </c>
      <c r="D9" s="9" t="inlineStr">
        <is>
          <t>厚生年金の標準賞与額 1回の上限</t>
        </is>
      </c>
      <c r="E9" s="21" t="n">
        <v>1500000</v>
      </c>
    </row>
    <row r="10">
      <c r="A10" s="9" t="inlineStr">
        <is>
          <t>福島県</t>
        </is>
      </c>
      <c r="B10" s="23" t="n">
        <v>0.095</v>
      </c>
      <c r="D10" s="9" t="inlineStr">
        <is>
          <t>厚生年金の標準報酬月額 下限</t>
        </is>
      </c>
      <c r="E10" s="21" t="n">
        <v>88000</v>
      </c>
    </row>
    <row r="11">
      <c r="A11" s="9" t="inlineStr">
        <is>
          <t>茨城県</t>
        </is>
      </c>
      <c r="B11" s="23" t="n">
        <v>0.09519999999999999</v>
      </c>
      <c r="D11" s="9" t="inlineStr">
        <is>
          <t>厚生年金の標準報酬月額 上限</t>
        </is>
      </c>
      <c r="E11" s="21" t="n">
        <v>650000</v>
      </c>
    </row>
    <row r="12">
      <c r="A12" s="9" t="inlineStr">
        <is>
          <t>栃木県</t>
        </is>
      </c>
      <c r="B12" s="23" t="n">
        <v>0.09820000000000001</v>
      </c>
    </row>
    <row r="13">
      <c r="A13" s="9" t="inlineStr">
        <is>
          <t>群馬県</t>
        </is>
      </c>
      <c r="B13" s="23" t="n">
        <v>0.0968</v>
      </c>
    </row>
    <row r="14">
      <c r="A14" s="9" t="inlineStr">
        <is>
          <t>埼玉県</t>
        </is>
      </c>
      <c r="B14" s="23" t="n">
        <v>0.09669999999999999</v>
      </c>
      <c r="D14" s="7" t="inlineStr">
        <is>
          <t>雇用保険（事業の種類）</t>
        </is>
      </c>
      <c r="E14" s="7" t="inlineStr">
        <is>
          <t>会社負担</t>
        </is>
      </c>
      <c r="F14" s="25" t="inlineStr">
        <is>
          <t>労使の合計</t>
        </is>
      </c>
    </row>
    <row r="15">
      <c r="A15" s="9" t="inlineStr">
        <is>
          <t>千葉県</t>
        </is>
      </c>
      <c r="B15" s="23" t="n">
        <v>0.0973</v>
      </c>
      <c r="D15" s="9" t="inlineStr">
        <is>
          <t>一般の事業</t>
        </is>
      </c>
      <c r="E15" s="23" t="n">
        <v>0.008500000000000001</v>
      </c>
      <c r="F15" s="23" t="n">
        <v>0.0135</v>
      </c>
    </row>
    <row r="16">
      <c r="A16" s="9" t="inlineStr">
        <is>
          <t>東京都</t>
        </is>
      </c>
      <c r="B16" s="23" t="n">
        <v>0.09849999999999999</v>
      </c>
      <c r="D16" s="9" t="inlineStr">
        <is>
          <t>農林水産・清酒製造の事業</t>
        </is>
      </c>
      <c r="E16" s="23" t="n">
        <v>0.0095</v>
      </c>
      <c r="F16" s="23" t="n">
        <v>0.0155</v>
      </c>
    </row>
    <row r="17">
      <c r="A17" s="9" t="inlineStr">
        <is>
          <t>神奈川県</t>
        </is>
      </c>
      <c r="B17" s="23" t="n">
        <v>0.0992</v>
      </c>
      <c r="D17" s="9" t="inlineStr">
        <is>
          <t>建設の事業</t>
        </is>
      </c>
      <c r="E17" s="23" t="n">
        <v>0.0105</v>
      </c>
      <c r="F17" s="23" t="n">
        <v>0.0165</v>
      </c>
    </row>
    <row r="18">
      <c r="A18" s="9" t="inlineStr">
        <is>
          <t>新潟県</t>
        </is>
      </c>
      <c r="B18" s="23" t="n">
        <v>0.09210000000000002</v>
      </c>
    </row>
    <row r="19">
      <c r="A19" s="9" t="inlineStr">
        <is>
          <t>富山県</t>
        </is>
      </c>
      <c r="B19" s="23" t="n">
        <v>0.0959</v>
      </c>
      <c r="D19" t="inlineStr">
        <is>
          <t>労災保険率は事業の種類で決まる。事務の会社に多い「94 その他の各種事業」は1,000分の3。各シートの黄色い欄で変えられる</t>
        </is>
      </c>
    </row>
    <row r="20">
      <c r="A20" s="9" t="inlineStr">
        <is>
          <t>石川県</t>
        </is>
      </c>
      <c r="B20" s="23" t="n">
        <v>0.09699999999999999</v>
      </c>
    </row>
    <row r="21">
      <c r="A21" s="9" t="inlineStr">
        <is>
          <t>福井県</t>
        </is>
      </c>
      <c r="B21" s="23" t="n">
        <v>0.09710000000000001</v>
      </c>
    </row>
    <row r="22">
      <c r="A22" s="9" t="inlineStr">
        <is>
          <t>山梨県</t>
        </is>
      </c>
      <c r="B22" s="23" t="n">
        <v>0.0955</v>
      </c>
    </row>
    <row r="23">
      <c r="A23" s="9" t="inlineStr">
        <is>
          <t>長野県</t>
        </is>
      </c>
      <c r="B23" s="23" t="n">
        <v>0.09630000000000001</v>
      </c>
    </row>
    <row r="24">
      <c r="A24" s="9" t="inlineStr">
        <is>
          <t>岐阜県</t>
        </is>
      </c>
      <c r="B24" s="23" t="n">
        <v>0.098</v>
      </c>
    </row>
    <row r="25">
      <c r="A25" s="9" t="inlineStr">
        <is>
          <t>静岡県</t>
        </is>
      </c>
      <c r="B25" s="23" t="n">
        <v>0.09609999999999999</v>
      </c>
    </row>
    <row r="26">
      <c r="A26" s="9" t="inlineStr">
        <is>
          <t>愛知県</t>
        </is>
      </c>
      <c r="B26" s="23" t="n">
        <v>0.0993</v>
      </c>
    </row>
    <row r="27">
      <c r="A27" s="9" t="inlineStr">
        <is>
          <t>三重県</t>
        </is>
      </c>
      <c r="B27" s="23" t="n">
        <v>0.0977</v>
      </c>
    </row>
    <row r="28">
      <c r="A28" s="9" t="inlineStr">
        <is>
          <t>滋賀県</t>
        </is>
      </c>
      <c r="B28" s="23" t="n">
        <v>0.09880000000000001</v>
      </c>
    </row>
    <row r="29">
      <c r="A29" s="9" t="inlineStr">
        <is>
          <t>京都府</t>
        </is>
      </c>
      <c r="B29" s="23" t="n">
        <v>0.0989</v>
      </c>
    </row>
    <row r="30">
      <c r="A30" s="9" t="inlineStr">
        <is>
          <t>大阪府</t>
        </is>
      </c>
      <c r="B30" s="23" t="n">
        <v>0.1013</v>
      </c>
    </row>
    <row r="31">
      <c r="A31" s="9" t="inlineStr">
        <is>
          <t>兵庫県</t>
        </is>
      </c>
      <c r="B31" s="23" t="n">
        <v>0.1012</v>
      </c>
    </row>
    <row r="32">
      <c r="A32" s="9" t="inlineStr">
        <is>
          <t>奈良県</t>
        </is>
      </c>
      <c r="B32" s="23" t="n">
        <v>0.09910000000000001</v>
      </c>
    </row>
    <row r="33">
      <c r="A33" s="9" t="inlineStr">
        <is>
          <t>和歌山県</t>
        </is>
      </c>
      <c r="B33" s="23" t="n">
        <v>0.1006</v>
      </c>
    </row>
    <row r="34">
      <c r="A34" s="9" t="inlineStr">
        <is>
          <t>鳥取県</t>
        </is>
      </c>
      <c r="B34" s="23" t="n">
        <v>0.09859999999999999</v>
      </c>
    </row>
    <row r="35">
      <c r="A35" s="9" t="inlineStr">
        <is>
          <t>島根県</t>
        </is>
      </c>
      <c r="B35" s="23" t="n">
        <v>0.09939999999999999</v>
      </c>
    </row>
    <row r="36">
      <c r="A36" s="9" t="inlineStr">
        <is>
          <t>岡山県</t>
        </is>
      </c>
      <c r="B36" s="23" t="n">
        <v>0.1005</v>
      </c>
    </row>
    <row r="37">
      <c r="A37" s="9" t="inlineStr">
        <is>
          <t>広島県</t>
        </is>
      </c>
      <c r="B37" s="23" t="n">
        <v>0.0978</v>
      </c>
    </row>
    <row r="38">
      <c r="A38" s="9" t="inlineStr">
        <is>
          <t>山口県</t>
        </is>
      </c>
      <c r="B38" s="23" t="n">
        <v>0.1015</v>
      </c>
    </row>
    <row r="39">
      <c r="A39" s="9" t="inlineStr">
        <is>
          <t>徳島県</t>
        </is>
      </c>
      <c r="B39" s="23" t="n">
        <v>0.1024</v>
      </c>
    </row>
    <row r="40">
      <c r="A40" s="9" t="inlineStr">
        <is>
          <t>香川県</t>
        </is>
      </c>
      <c r="B40" s="23" t="n">
        <v>0.1002</v>
      </c>
    </row>
    <row r="41">
      <c r="A41" s="9" t="inlineStr">
        <is>
          <t>愛媛県</t>
        </is>
      </c>
      <c r="B41" s="23" t="n">
        <v>0.0998</v>
      </c>
    </row>
    <row r="42">
      <c r="A42" s="9" t="inlineStr">
        <is>
          <t>高知県</t>
        </is>
      </c>
      <c r="B42" s="23" t="n">
        <v>0.1005</v>
      </c>
    </row>
    <row r="43">
      <c r="A43" s="9" t="inlineStr">
        <is>
          <t>福岡県</t>
        </is>
      </c>
      <c r="B43" s="23" t="n">
        <v>0.1011</v>
      </c>
    </row>
    <row r="44">
      <c r="A44" s="9" t="inlineStr">
        <is>
          <t>佐賀県</t>
        </is>
      </c>
      <c r="B44" s="23" t="n">
        <v>0.1055</v>
      </c>
    </row>
    <row r="45">
      <c r="A45" s="9" t="inlineStr">
        <is>
          <t>長崎県</t>
        </is>
      </c>
      <c r="B45" s="23" t="n">
        <v>0.1006</v>
      </c>
    </row>
    <row r="46">
      <c r="A46" s="9" t="inlineStr">
        <is>
          <t>熊本県</t>
        </is>
      </c>
      <c r="B46" s="23" t="n">
        <v>0.1008</v>
      </c>
    </row>
    <row r="47">
      <c r="A47" s="9" t="inlineStr">
        <is>
          <t>大分県</t>
        </is>
      </c>
      <c r="B47" s="23" t="n">
        <v>0.1008</v>
      </c>
    </row>
    <row r="48">
      <c r="A48" s="9" t="inlineStr">
        <is>
          <t>宮崎県</t>
        </is>
      </c>
      <c r="B48" s="23" t="n">
        <v>0.0977</v>
      </c>
    </row>
    <row r="49">
      <c r="A49" s="9" t="inlineStr">
        <is>
          <t>鹿児島県</t>
        </is>
      </c>
      <c r="B49" s="23" t="n">
        <v>0.1013</v>
      </c>
    </row>
    <row r="50">
      <c r="A50" s="9" t="inlineStr">
        <is>
          <t>沖縄県</t>
        </is>
      </c>
      <c r="B50" s="23" t="n">
        <v>0.0944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16" customWidth="1" min="1" max="1"/>
    <col width="16" customWidth="1" min="2" max="2"/>
  </cols>
  <sheetData>
    <row r="1">
      <c r="A1" t="inlineStr">
        <is>
          <t>健康保険の標準報酬月額。報酬月額がA列以上なら、その行の標準報酬月額。厚生年金は88,000円から650,000円まで</t>
        </is>
      </c>
    </row>
    <row r="3">
      <c r="A3" s="7" t="inlineStr">
        <is>
          <t>報酬月額の下限</t>
        </is>
      </c>
      <c r="B3" s="7" t="inlineStr">
        <is>
          <t>標準報酬月額</t>
        </is>
      </c>
    </row>
    <row r="4">
      <c r="A4" s="21" t="n">
        <v>0</v>
      </c>
      <c r="B4" s="21" t="n">
        <v>58000</v>
      </c>
    </row>
    <row r="5">
      <c r="A5" s="21" t="n">
        <v>63000</v>
      </c>
      <c r="B5" s="21" t="n">
        <v>68000</v>
      </c>
    </row>
    <row r="6">
      <c r="A6" s="21" t="n">
        <v>73000</v>
      </c>
      <c r="B6" s="21" t="n">
        <v>78000</v>
      </c>
    </row>
    <row r="7">
      <c r="A7" s="21" t="n">
        <v>83000</v>
      </c>
      <c r="B7" s="21" t="n">
        <v>88000</v>
      </c>
    </row>
    <row r="8">
      <c r="A8" s="21" t="n">
        <v>93000</v>
      </c>
      <c r="B8" s="21" t="n">
        <v>98000</v>
      </c>
    </row>
    <row r="9">
      <c r="A9" s="21" t="n">
        <v>101000</v>
      </c>
      <c r="B9" s="21" t="n">
        <v>104000</v>
      </c>
    </row>
    <row r="10">
      <c r="A10" s="21" t="n">
        <v>107000</v>
      </c>
      <c r="B10" s="21" t="n">
        <v>110000</v>
      </c>
    </row>
    <row r="11">
      <c r="A11" s="21" t="n">
        <v>114000</v>
      </c>
      <c r="B11" s="21" t="n">
        <v>118000</v>
      </c>
    </row>
    <row r="12">
      <c r="A12" s="21" t="n">
        <v>122000</v>
      </c>
      <c r="B12" s="21" t="n">
        <v>126000</v>
      </c>
    </row>
    <row r="13">
      <c r="A13" s="21" t="n">
        <v>130000</v>
      </c>
      <c r="B13" s="21" t="n">
        <v>134000</v>
      </c>
    </row>
    <row r="14">
      <c r="A14" s="21" t="n">
        <v>138000</v>
      </c>
      <c r="B14" s="21" t="n">
        <v>142000</v>
      </c>
    </row>
    <row r="15">
      <c r="A15" s="21" t="n">
        <v>146000</v>
      </c>
      <c r="B15" s="21" t="n">
        <v>150000</v>
      </c>
    </row>
    <row r="16">
      <c r="A16" s="21" t="n">
        <v>155000</v>
      </c>
      <c r="B16" s="21" t="n">
        <v>160000</v>
      </c>
    </row>
    <row r="17">
      <c r="A17" s="21" t="n">
        <v>165000</v>
      </c>
      <c r="B17" s="21" t="n">
        <v>170000</v>
      </c>
    </row>
    <row r="18">
      <c r="A18" s="21" t="n">
        <v>175000</v>
      </c>
      <c r="B18" s="21" t="n">
        <v>180000</v>
      </c>
    </row>
    <row r="19">
      <c r="A19" s="21" t="n">
        <v>185000</v>
      </c>
      <c r="B19" s="21" t="n">
        <v>190000</v>
      </c>
    </row>
    <row r="20">
      <c r="A20" s="21" t="n">
        <v>195000</v>
      </c>
      <c r="B20" s="21" t="n">
        <v>200000</v>
      </c>
    </row>
    <row r="21">
      <c r="A21" s="21" t="n">
        <v>210000</v>
      </c>
      <c r="B21" s="21" t="n">
        <v>220000</v>
      </c>
    </row>
    <row r="22">
      <c r="A22" s="21" t="n">
        <v>230000</v>
      </c>
      <c r="B22" s="21" t="n">
        <v>240000</v>
      </c>
    </row>
    <row r="23">
      <c r="A23" s="21" t="n">
        <v>250000</v>
      </c>
      <c r="B23" s="21" t="n">
        <v>260000</v>
      </c>
    </row>
    <row r="24">
      <c r="A24" s="21" t="n">
        <v>270000</v>
      </c>
      <c r="B24" s="21" t="n">
        <v>280000</v>
      </c>
    </row>
    <row r="25">
      <c r="A25" s="21" t="n">
        <v>290000</v>
      </c>
      <c r="B25" s="21" t="n">
        <v>300000</v>
      </c>
    </row>
    <row r="26">
      <c r="A26" s="21" t="n">
        <v>310000</v>
      </c>
      <c r="B26" s="21" t="n">
        <v>320000</v>
      </c>
    </row>
    <row r="27">
      <c r="A27" s="21" t="n">
        <v>330000</v>
      </c>
      <c r="B27" s="21" t="n">
        <v>340000</v>
      </c>
    </row>
    <row r="28">
      <c r="A28" s="21" t="n">
        <v>350000</v>
      </c>
      <c r="B28" s="21" t="n">
        <v>360000</v>
      </c>
    </row>
    <row r="29">
      <c r="A29" s="21" t="n">
        <v>370000</v>
      </c>
      <c r="B29" s="21" t="n">
        <v>380000</v>
      </c>
    </row>
    <row r="30">
      <c r="A30" s="21" t="n">
        <v>395000</v>
      </c>
      <c r="B30" s="21" t="n">
        <v>410000</v>
      </c>
    </row>
    <row r="31">
      <c r="A31" s="21" t="n">
        <v>425000</v>
      </c>
      <c r="B31" s="21" t="n">
        <v>440000</v>
      </c>
    </row>
    <row r="32">
      <c r="A32" s="21" t="n">
        <v>455000</v>
      </c>
      <c r="B32" s="21" t="n">
        <v>470000</v>
      </c>
    </row>
    <row r="33">
      <c r="A33" s="21" t="n">
        <v>485000</v>
      </c>
      <c r="B33" s="21" t="n">
        <v>500000</v>
      </c>
    </row>
    <row r="34">
      <c r="A34" s="21" t="n">
        <v>515000</v>
      </c>
      <c r="B34" s="21" t="n">
        <v>530000</v>
      </c>
    </row>
    <row r="35">
      <c r="A35" s="21" t="n">
        <v>545000</v>
      </c>
      <c r="B35" s="21" t="n">
        <v>560000</v>
      </c>
    </row>
    <row r="36">
      <c r="A36" s="21" t="n">
        <v>575000</v>
      </c>
      <c r="B36" s="21" t="n">
        <v>590000</v>
      </c>
    </row>
    <row r="37">
      <c r="A37" s="21" t="n">
        <v>605000</v>
      </c>
      <c r="B37" s="21" t="n">
        <v>620000</v>
      </c>
    </row>
    <row r="38">
      <c r="A38" s="21" t="n">
        <v>635000</v>
      </c>
      <c r="B38" s="21" t="n">
        <v>650000</v>
      </c>
    </row>
    <row r="39">
      <c r="A39" s="21" t="n">
        <v>665000</v>
      </c>
      <c r="B39" s="21" t="n">
        <v>680000</v>
      </c>
    </row>
    <row r="40">
      <c r="A40" s="21" t="n">
        <v>695000</v>
      </c>
      <c r="B40" s="21" t="n">
        <v>710000</v>
      </c>
    </row>
    <row r="41">
      <c r="A41" s="21" t="n">
        <v>730000</v>
      </c>
      <c r="B41" s="21" t="n">
        <v>750000</v>
      </c>
    </row>
    <row r="42">
      <c r="A42" s="21" t="n">
        <v>770000</v>
      </c>
      <c r="B42" s="21" t="n">
        <v>790000</v>
      </c>
    </row>
    <row r="43">
      <c r="A43" s="21" t="n">
        <v>810000</v>
      </c>
      <c r="B43" s="21" t="n">
        <v>830000</v>
      </c>
    </row>
    <row r="44">
      <c r="A44" s="21" t="n">
        <v>855000</v>
      </c>
      <c r="B44" s="21" t="n">
        <v>880000</v>
      </c>
    </row>
    <row r="45">
      <c r="A45" s="21" t="n">
        <v>905000</v>
      </c>
      <c r="B45" s="21" t="n">
        <v>930000</v>
      </c>
    </row>
    <row r="46">
      <c r="A46" s="21" t="n">
        <v>955000</v>
      </c>
      <c r="B46" s="21" t="n">
        <v>980000</v>
      </c>
    </row>
    <row r="47">
      <c r="A47" s="21" t="n">
        <v>1005000</v>
      </c>
      <c r="B47" s="21" t="n">
        <v>1030000</v>
      </c>
    </row>
    <row r="48">
      <c r="A48" s="21" t="n">
        <v>1055000</v>
      </c>
      <c r="B48" s="21" t="n">
        <v>1090000</v>
      </c>
    </row>
    <row r="49">
      <c r="A49" s="21" t="n">
        <v>1115000</v>
      </c>
      <c r="B49" s="21" t="n">
        <v>1150000</v>
      </c>
    </row>
    <row r="50">
      <c r="A50" s="21" t="n">
        <v>1175000</v>
      </c>
      <c r="B50" s="21" t="n">
        <v>1210000</v>
      </c>
    </row>
    <row r="51">
      <c r="A51" s="21" t="n">
        <v>1235000</v>
      </c>
      <c r="B51" s="21" t="n">
        <v>1270000</v>
      </c>
    </row>
    <row r="52">
      <c r="A52" s="21" t="n">
        <v>1295000</v>
      </c>
      <c r="B52" s="21" t="n">
        <v>1330000</v>
      </c>
    </row>
    <row r="53">
      <c r="A53" s="21" t="n">
        <v>1355000</v>
      </c>
      <c r="B53" s="21" t="n">
        <v>1390000</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2026-10-06T05:41:54Z</dcterms:created>
  <dcterms:modified xmlns:dcterms="http://purl.org/dc/terms/" xmlns:xsi="http://www.w3.org/2001/XMLSchema-instance" xsi:type="dcterms:W3CDTF">2026-10-06T05:41:54Z</dcterms:modified>
</cp:coreProperties>
</file>