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祝日" sheetId="1" state="visible" r:id="rId1"/>
    <sheet xmlns:r="http://schemas.openxmlformats.org/officeDocument/2006/relationships" name="2_暦" sheetId="2" state="visible" r:id="rId2"/>
    <sheet xmlns:r="http://schemas.openxmlformats.org/officeDocument/2006/relationships" name="3_最長" sheetId="3" state="visible" r:id="rId3"/>
    <sheet xmlns:r="http://schemas.openxmlformats.org/officeDocument/2006/relationships" name="4_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/d"/>
    <numFmt numFmtId="165" formatCode="m/d(aaa)"/>
    <numFmt numFmtId="166" formatCode="yyyy-mm-dd"/>
    <numFmt numFmtId="167" formatCode="yyyy/m/d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888888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F2F2F2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4" borderId="1" applyAlignment="1" pivotButton="0" quotePrefix="0" xfId="0">
      <alignment horizontal="center" vertical="center" wrapText="1"/>
    </xf>
    <xf numFmtId="167" fontId="0" fillId="0" borderId="1" pivotButton="0" quotePrefix="0" xfId="0"/>
    <xf numFmtId="0" fontId="0" fillId="0" borderId="1" pivotButton="0" quotePrefix="0" xfId="0"/>
    <xf numFmtId="167" fontId="0" fillId="2" borderId="1" pivotButton="0" quotePrefix="0" xfId="0"/>
    <xf numFmtId="0" fontId="0" fillId="2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0" fillId="3" borderId="0" pivotButton="0" quotePrefix="0" xfId="0"/>
    <xf numFmtId="0" fontId="3" fillId="0" borderId="0" pivotButton="0" quotePrefix="0" xfId="0"/>
    <xf numFmtId="165" fontId="0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ill>
        <patternFill patternType="solid">
          <fgColor rgb="00FDE8E8"/>
          <bgColor rgb="00FDE8E8"/>
        </patternFill>
      </fill>
    </dxf>
    <dxf>
      <fill>
        <patternFill patternType="solid">
          <fgColor rgb="00FFE08A"/>
          <bgColor rgb="00FFE08A"/>
        </patternFill>
      </fill>
    </dxf>
    <dxf>
      <fill>
        <patternFill patternType="solid">
          <fgColor rgb="00CFE8DA"/>
          <bgColor rgb="00CFE8DA"/>
        </patternFill>
      </fill>
    </dxf>
    <dxf>
      <fill>
        <patternFill patternType="solid">
          <fgColor rgb="00E3F1E6"/>
          <bgColor rgb="00E3F1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4" max="4"/>
    <col width="22" customWidth="1" min="5" max="5"/>
  </cols>
  <sheetData>
    <row r="1">
      <c r="A1" s="1" t="inlineStr">
        <is>
          <t>祝日の一覧（内閣府のCSV）と会社の休み。黄色を足せる</t>
        </is>
      </c>
    </row>
    <row r="3">
      <c r="A3" s="2" t="inlineStr">
        <is>
          <t>日付</t>
        </is>
      </c>
      <c r="B3" s="2" t="inlineStr">
        <is>
          <t>名前</t>
        </is>
      </c>
      <c r="D3" s="2" t="inlineStr">
        <is>
          <t>会社の休み</t>
        </is>
      </c>
      <c r="E3" s="2" t="inlineStr">
        <is>
          <t>メモ</t>
        </is>
      </c>
    </row>
    <row r="4">
      <c r="A4" s="3" t="n">
        <v>46023</v>
      </c>
      <c r="B4" s="4" t="inlineStr">
        <is>
          <t>元日</t>
        </is>
      </c>
      <c r="D4" s="5" t="n"/>
      <c r="E4" s="6" t="n"/>
    </row>
    <row r="5">
      <c r="A5" s="3" t="n">
        <v>46034</v>
      </c>
      <c r="B5" s="4" t="inlineStr">
        <is>
          <t>成人の日</t>
        </is>
      </c>
      <c r="D5" s="5" t="n"/>
      <c r="E5" s="6" t="n"/>
    </row>
    <row r="6">
      <c r="A6" s="3" t="n">
        <v>46064</v>
      </c>
      <c r="B6" s="4" t="inlineStr">
        <is>
          <t>建国記念の日</t>
        </is>
      </c>
      <c r="D6" s="5" t="n"/>
      <c r="E6" s="6" t="n"/>
    </row>
    <row r="7">
      <c r="A7" s="3" t="n">
        <v>46076</v>
      </c>
      <c r="B7" s="4" t="inlineStr">
        <is>
          <t>天皇誕生日</t>
        </is>
      </c>
      <c r="D7" s="5" t="n"/>
      <c r="E7" s="6" t="n"/>
    </row>
    <row r="8">
      <c r="A8" s="3" t="n">
        <v>46101</v>
      </c>
      <c r="B8" s="4" t="inlineStr">
        <is>
          <t>春分の日</t>
        </is>
      </c>
      <c r="D8" s="5" t="n"/>
      <c r="E8" s="6" t="n"/>
    </row>
    <row r="9">
      <c r="A9" s="3" t="n">
        <v>46141</v>
      </c>
      <c r="B9" s="4" t="inlineStr">
        <is>
          <t>昭和の日</t>
        </is>
      </c>
      <c r="D9" s="5" t="n"/>
      <c r="E9" s="6" t="n"/>
    </row>
    <row r="10">
      <c r="A10" s="3" t="n">
        <v>46145</v>
      </c>
      <c r="B10" s="4" t="inlineStr">
        <is>
          <t>憲法記念日</t>
        </is>
      </c>
      <c r="D10" s="5" t="n"/>
      <c r="E10" s="6" t="n"/>
    </row>
    <row r="11">
      <c r="A11" s="3" t="n">
        <v>46146</v>
      </c>
      <c r="B11" s="4" t="inlineStr">
        <is>
          <t>みどりの日</t>
        </is>
      </c>
      <c r="D11" s="5" t="n"/>
      <c r="E11" s="6" t="n"/>
    </row>
    <row r="12">
      <c r="A12" s="3" t="n">
        <v>46147</v>
      </c>
      <c r="B12" s="4" t="inlineStr">
        <is>
          <t>こどもの日</t>
        </is>
      </c>
      <c r="D12" s="5" t="n"/>
      <c r="E12" s="6" t="n"/>
    </row>
    <row r="13">
      <c r="A13" s="3" t="n">
        <v>46148</v>
      </c>
      <c r="B13" s="4" t="inlineStr">
        <is>
          <t>休日</t>
        </is>
      </c>
      <c r="D13" s="5" t="n"/>
      <c r="E13" s="6" t="n"/>
    </row>
    <row r="14">
      <c r="A14" s="3" t="n">
        <v>46223</v>
      </c>
      <c r="B14" s="4" t="inlineStr">
        <is>
          <t>海の日</t>
        </is>
      </c>
      <c r="D14" s="5" t="n"/>
      <c r="E14" s="6" t="n"/>
    </row>
    <row r="15">
      <c r="A15" s="3" t="n">
        <v>46245</v>
      </c>
      <c r="B15" s="4" t="inlineStr">
        <is>
          <t>山の日</t>
        </is>
      </c>
      <c r="D15" s="5" t="n"/>
      <c r="E15" s="6" t="n"/>
    </row>
    <row r="16">
      <c r="A16" s="3" t="n">
        <v>46286</v>
      </c>
      <c r="B16" s="4" t="inlineStr">
        <is>
          <t>敬老の日</t>
        </is>
      </c>
      <c r="D16" s="5" t="n"/>
      <c r="E16" s="6" t="n"/>
    </row>
    <row r="17">
      <c r="A17" s="3" t="n">
        <v>46287</v>
      </c>
      <c r="B17" s="4" t="inlineStr">
        <is>
          <t>休日</t>
        </is>
      </c>
      <c r="D17" s="5" t="n"/>
      <c r="E17" s="6" t="n"/>
    </row>
    <row r="18">
      <c r="A18" s="3" t="n">
        <v>46288</v>
      </c>
      <c r="B18" s="4" t="inlineStr">
        <is>
          <t>秋分の日</t>
        </is>
      </c>
      <c r="D18" s="5" t="n"/>
      <c r="E18" s="6" t="n"/>
    </row>
    <row r="19">
      <c r="A19" s="3" t="n">
        <v>46307</v>
      </c>
      <c r="B19" s="4" t="inlineStr">
        <is>
          <t>スポーツの日</t>
        </is>
      </c>
      <c r="D19" s="5" t="n"/>
      <c r="E19" s="6" t="n"/>
    </row>
    <row r="20">
      <c r="A20" s="3" t="n">
        <v>46329</v>
      </c>
      <c r="B20" s="4" t="inlineStr">
        <is>
          <t>文化の日</t>
        </is>
      </c>
      <c r="D20" s="5" t="n"/>
      <c r="E20" s="6" t="n"/>
    </row>
    <row r="21">
      <c r="A21" s="3" t="n">
        <v>46349</v>
      </c>
      <c r="B21" s="4" t="inlineStr">
        <is>
          <t>勤労感謝の日</t>
        </is>
      </c>
      <c r="D21" s="5" t="n"/>
      <c r="E21" s="6" t="n"/>
    </row>
    <row r="22">
      <c r="A22" s="3" t="n">
        <v>46388</v>
      </c>
      <c r="B22" s="4" t="inlineStr">
        <is>
          <t>元日</t>
        </is>
      </c>
      <c r="D22" s="5" t="n"/>
      <c r="E22" s="6" t="n"/>
    </row>
    <row r="23">
      <c r="A23" s="3" t="n">
        <v>46398</v>
      </c>
      <c r="B23" s="4" t="inlineStr">
        <is>
          <t>成人の日</t>
        </is>
      </c>
      <c r="D23" s="5" t="n"/>
      <c r="E23" s="6" t="n"/>
    </row>
    <row r="24">
      <c r="A24" s="3" t="n">
        <v>46429</v>
      </c>
      <c r="B24" s="4" t="inlineStr">
        <is>
          <t>建国記念の日</t>
        </is>
      </c>
      <c r="D24" s="5" t="n"/>
      <c r="E24" s="6" t="n"/>
    </row>
    <row r="25">
      <c r="A25" s="3" t="n">
        <v>46441</v>
      </c>
      <c r="B25" s="4" t="inlineStr">
        <is>
          <t>天皇誕生日</t>
        </is>
      </c>
      <c r="D25" s="5" t="n"/>
      <c r="E25" s="6" t="n"/>
    </row>
    <row r="26">
      <c r="A26" s="3" t="n">
        <v>46467</v>
      </c>
      <c r="B26" s="4" t="inlineStr">
        <is>
          <t>春分の日</t>
        </is>
      </c>
      <c r="D26" s="5" t="n"/>
      <c r="E26" s="6" t="n"/>
    </row>
    <row r="27">
      <c r="A27" s="3" t="n">
        <v>46468</v>
      </c>
      <c r="B27" s="4" t="inlineStr">
        <is>
          <t>休日</t>
        </is>
      </c>
      <c r="D27" s="5" t="n"/>
      <c r="E27" s="6" t="n"/>
    </row>
    <row r="28">
      <c r="A28" s="3" t="n">
        <v>46506</v>
      </c>
      <c r="B28" s="4" t="inlineStr">
        <is>
          <t>昭和の日</t>
        </is>
      </c>
      <c r="D28" s="5" t="n"/>
      <c r="E28" s="6" t="n"/>
    </row>
    <row r="29">
      <c r="A29" s="3" t="n">
        <v>46510</v>
      </c>
      <c r="B29" s="4" t="inlineStr">
        <is>
          <t>憲法記念日</t>
        </is>
      </c>
      <c r="D29" s="5" t="n"/>
      <c r="E29" s="6" t="n"/>
    </row>
    <row r="30">
      <c r="A30" s="3" t="n">
        <v>46511</v>
      </c>
      <c r="B30" s="4" t="inlineStr">
        <is>
          <t>みどりの日</t>
        </is>
      </c>
      <c r="D30" s="5" t="n"/>
      <c r="E30" s="6" t="n"/>
    </row>
    <row r="31">
      <c r="A31" s="3" t="n">
        <v>46512</v>
      </c>
      <c r="B31" s="4" t="inlineStr">
        <is>
          <t>こどもの日</t>
        </is>
      </c>
      <c r="D31" s="5" t="n"/>
      <c r="E31" s="6" t="n"/>
    </row>
    <row r="32">
      <c r="A32" s="3" t="n">
        <v>46587</v>
      </c>
      <c r="B32" s="4" t="inlineStr">
        <is>
          <t>海の日</t>
        </is>
      </c>
      <c r="D32" s="5" t="n"/>
      <c r="E32" s="6" t="n"/>
    </row>
    <row r="33">
      <c r="A33" s="3" t="n">
        <v>46610</v>
      </c>
      <c r="B33" s="4" t="inlineStr">
        <is>
          <t>山の日</t>
        </is>
      </c>
      <c r="D33" s="5" t="n"/>
      <c r="E33" s="6" t="n"/>
    </row>
    <row r="34">
      <c r="A34" s="3" t="n">
        <v>46650</v>
      </c>
      <c r="B34" s="4" t="inlineStr">
        <is>
          <t>敬老の日</t>
        </is>
      </c>
      <c r="D34" s="5" t="n"/>
      <c r="E34" s="6" t="n"/>
    </row>
    <row r="35">
      <c r="A35" s="3" t="n">
        <v>46653</v>
      </c>
      <c r="B35" s="4" t="inlineStr">
        <is>
          <t>秋分の日</t>
        </is>
      </c>
      <c r="D35" s="5" t="n"/>
      <c r="E35" s="6" t="n"/>
    </row>
    <row r="36">
      <c r="A36" s="3" t="n">
        <v>46671</v>
      </c>
      <c r="B36" s="4" t="inlineStr">
        <is>
          <t>スポーツの日</t>
        </is>
      </c>
      <c r="D36" s="5" t="n"/>
      <c r="E36" s="6" t="n"/>
    </row>
    <row r="37">
      <c r="A37" s="3" t="n">
        <v>46694</v>
      </c>
      <c r="B37" s="4" t="inlineStr">
        <is>
          <t>文化の日</t>
        </is>
      </c>
      <c r="D37" s="5" t="n"/>
      <c r="E37" s="6" t="n"/>
    </row>
    <row r="38">
      <c r="A38" s="3" t="n">
        <v>46714</v>
      </c>
      <c r="B38" s="4" t="inlineStr">
        <is>
          <t>勤労感謝の日</t>
        </is>
      </c>
      <c r="D38" s="5" t="n"/>
      <c r="E38" s="6" t="n"/>
    </row>
    <row r="39">
      <c r="A39" s="3" t="n">
        <v>46753</v>
      </c>
      <c r="B39" s="4" t="inlineStr">
        <is>
          <t>元日（CSVになし）</t>
        </is>
      </c>
      <c r="D39" s="5" t="n"/>
      <c r="E39" s="6" t="n"/>
    </row>
    <row r="40">
      <c r="A40" s="5" t="n"/>
      <c r="B40" s="6" t="n"/>
      <c r="D40" s="5" t="n"/>
      <c r="E40" s="6" t="n"/>
    </row>
    <row r="41">
      <c r="A41" s="5" t="n"/>
      <c r="B41" s="6" t="n"/>
      <c r="D41" s="5" t="n"/>
      <c r="E41" s="6" t="n"/>
    </row>
    <row r="42">
      <c r="A42" s="5" t="n"/>
      <c r="B42" s="6" t="n"/>
      <c r="D42" s="5" t="n"/>
      <c r="E42" s="6" t="n"/>
    </row>
    <row r="43">
      <c r="A43" s="5" t="n"/>
      <c r="B43" s="6" t="n"/>
      <c r="D43" s="5" t="n"/>
      <c r="E43" s="6" t="n"/>
    </row>
    <row r="44">
      <c r="A44" s="5" t="n"/>
      <c r="B44" s="6" t="n"/>
    </row>
    <row r="45">
      <c r="A45" s="5" t="n"/>
      <c r="B45" s="6" t="n"/>
    </row>
    <row r="46">
      <c r="A46" s="5" t="n"/>
      <c r="B46" s="6" t="n"/>
    </row>
    <row r="47">
      <c r="A47" s="5" t="n"/>
      <c r="B47" s="6" t="n"/>
    </row>
    <row r="48">
      <c r="A48" s="5" t="n"/>
      <c r="B48" s="6" t="n"/>
    </row>
    <row r="49">
      <c r="A49" s="5" t="n"/>
      <c r="B49" s="6" t="n"/>
    </row>
    <row r="50">
      <c r="A50" s="5" t="n"/>
      <c r="B50" s="6" t="n"/>
    </row>
    <row r="51">
      <c r="A51" s="5" t="n"/>
      <c r="B51" s="6" t="n"/>
    </row>
    <row r="52">
      <c r="A52" s="5" t="n"/>
      <c r="B52" s="6" t="n"/>
    </row>
    <row r="53">
      <c r="A53" s="5" t="n"/>
      <c r="B53" s="6" t="n"/>
    </row>
    <row r="54">
      <c r="A54" s="5" t="n"/>
      <c r="B54" s="6" t="n"/>
    </row>
    <row r="55">
      <c r="A55" s="5" t="n"/>
      <c r="B55" s="6" t="n"/>
    </row>
    <row r="56">
      <c r="A56" s="5" t="n"/>
      <c r="B56" s="6" t="n"/>
    </row>
    <row r="57">
      <c r="A57" s="5" t="n"/>
      <c r="B57" s="6" t="n"/>
    </row>
    <row r="58">
      <c r="A58" s="5" t="n"/>
      <c r="B58" s="6" t="n"/>
    </row>
    <row r="59">
      <c r="A59" s="5" t="n"/>
      <c r="B59" s="6" t="n"/>
    </row>
    <row r="60">
      <c r="A60" s="5" t="n"/>
      <c r="B60" s="6" t="n"/>
    </row>
    <row r="61">
      <c r="A61" s="5" t="n"/>
      <c r="B61" s="6" t="n"/>
    </row>
    <row r="62">
      <c r="A62" s="5" t="n"/>
      <c r="B62" s="6" t="n"/>
    </row>
    <row r="63">
      <c r="A63" s="5" t="n"/>
      <c r="B63" s="6" t="n"/>
    </row>
    <row r="64">
      <c r="A64" s="5" t="n"/>
      <c r="B64" s="6" t="n"/>
    </row>
    <row r="65">
      <c r="A65" s="5" t="n"/>
      <c r="B65" s="6" t="n"/>
    </row>
    <row r="66">
      <c r="A66" s="5" t="n"/>
      <c r="B66" s="6" t="n"/>
    </row>
    <row r="67">
      <c r="A67" s="5" t="n"/>
      <c r="B67" s="6" t="n"/>
    </row>
    <row r="68">
      <c r="A68" s="5" t="n"/>
      <c r="B68" s="6" t="n"/>
    </row>
    <row r="69">
      <c r="A69" s="5" t="n"/>
      <c r="B69" s="6" t="n"/>
    </row>
    <row r="70">
      <c r="A70" s="5" t="n"/>
      <c r="B70" s="6" t="n"/>
    </row>
    <row r="71">
      <c r="A71" s="5" t="n"/>
      <c r="B71" s="6" t="n"/>
    </row>
    <row r="72">
      <c r="A72" s="5" t="n"/>
      <c r="B72" s="6" t="n"/>
    </row>
    <row r="73">
      <c r="A73" s="5" t="n"/>
      <c r="B73" s="6" t="n"/>
    </row>
    <row r="74">
      <c r="A74" s="5" t="n"/>
      <c r="B74" s="6" t="n"/>
    </row>
    <row r="75">
      <c r="A75" s="5" t="n"/>
      <c r="B75" s="6" t="n"/>
    </row>
    <row r="76">
      <c r="A76" s="5" t="n"/>
      <c r="B76" s="6" t="n"/>
    </row>
    <row r="77">
      <c r="A77" s="5" t="n"/>
      <c r="B77" s="6" t="n"/>
    </row>
    <row r="78">
      <c r="A78" s="5" t="n"/>
      <c r="B78" s="6" t="n"/>
    </row>
    <row r="79">
      <c r="A79" s="5" t="n"/>
      <c r="B79" s="6" t="n"/>
    </row>
    <row r="80">
      <c r="A80" s="5" t="n"/>
      <c r="B80" s="6" t="n"/>
    </row>
    <row r="81">
      <c r="A81" s="5" t="n"/>
      <c r="B81" s="6" t="n"/>
    </row>
    <row r="82">
      <c r="A82" s="5" t="n"/>
      <c r="B82" s="6" t="n"/>
    </row>
    <row r="83">
      <c r="A83" s="5" t="n"/>
      <c r="B83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6" customWidth="1" min="3" max="3"/>
    <col width="7" customWidth="1" min="4" max="4"/>
    <col width="7" customWidth="1" min="5" max="5"/>
    <col width="8" customWidth="1" min="6" max="6"/>
    <col width="8" customWidth="1" min="7" max="7"/>
    <col width="8" customWidth="1" min="8" max="8"/>
    <col width="12" customWidth="1" min="9" max="9"/>
    <col width="10" customWidth="1" min="10" max="10"/>
    <col width="12" customWidth="1" min="11" max="11"/>
  </cols>
  <sheetData>
    <row r="1">
      <c r="A1" s="1" t="inlineStr">
        <is>
          <t>2027年の暦。有給を入れる日に、E列で 1 を入れる</t>
        </is>
      </c>
    </row>
    <row r="2">
      <c r="A2" t="inlineStr">
        <is>
          <t>数える年</t>
        </is>
      </c>
      <c r="B2" s="7" t="n">
        <v>2027</v>
      </c>
      <c r="E2" t="inlineStr">
        <is>
          <t>有給の日数</t>
        </is>
      </c>
      <c r="F2" s="8">
        <f>COUNTIF($E$7:$E$433,1)</f>
        <v/>
      </c>
    </row>
    <row r="3">
      <c r="A3" t="inlineStr">
        <is>
          <t>年末年始12/29〜1/3も休み</t>
        </is>
      </c>
      <c r="B3" s="7" t="n">
        <v>0</v>
      </c>
      <c r="C3" t="inlineStr">
        <is>
          <t>1で休み。0なら土日祝と会社の休みだけ</t>
        </is>
      </c>
      <c r="E3" t="inlineStr">
        <is>
          <t>休みの日に入れた有給</t>
        </is>
      </c>
      <c r="F3" s="8">
        <f>COUNTIFS($D$7:$D$433,1,$E$7:$E$433,1)</f>
        <v/>
      </c>
    </row>
    <row r="4">
      <c r="E4" t="inlineStr">
        <is>
          <t>いま一番長い連休</t>
        </is>
      </c>
      <c r="F4" s="9">
        <f>MAX($J$7:$J$433)</f>
        <v/>
      </c>
    </row>
    <row r="6">
      <c r="A6" s="2" t="inlineStr">
        <is>
          <t>日付</t>
        </is>
      </c>
      <c r="B6" s="2" t="inlineStr">
        <is>
          <t>曜日</t>
        </is>
      </c>
      <c r="C6" s="2" t="inlineStr">
        <is>
          <t>祝日</t>
        </is>
      </c>
      <c r="D6" s="2" t="inlineStr">
        <is>
          <t>休み</t>
        </is>
      </c>
      <c r="E6" s="2" t="inlineStr">
        <is>
          <t>有給</t>
        </is>
      </c>
      <c r="F6" s="2" t="inlineStr">
        <is>
          <t>休み計</t>
        </is>
      </c>
      <c r="G6" s="2" t="inlineStr">
        <is>
          <t>前から</t>
        </is>
      </c>
      <c r="H6" s="2" t="inlineStr">
        <is>
          <t>後ろから</t>
        </is>
      </c>
      <c r="I6" s="2" t="inlineStr">
        <is>
          <t>注意</t>
        </is>
      </c>
      <c r="J6" s="2" t="inlineStr">
        <is>
          <t>連休の長さ</t>
        </is>
      </c>
      <c r="K6" s="2" t="inlineStr">
        <is>
          <t>出勤日の番号</t>
        </is>
      </c>
    </row>
    <row r="7">
      <c r="A7" s="10">
        <f>DATE($B$2-1,12,1)+0</f>
        <v/>
      </c>
      <c r="B7" s="11">
        <f>TEXT(A7,"aaa")</f>
        <v/>
      </c>
      <c r="C7" s="12">
        <f>IFERROR(VLOOKUP(A7,'1_祝日'!$A$4:$B$83,2,FALSE),"")</f>
        <v/>
      </c>
      <c r="D7" s="11">
        <f>IF(OR(WEEKDAY(A7,2)&gt;=6,C7&lt;&gt;"",COUNTIF('1_祝日'!$D$4:$D$43,A7)&gt;0,AND($B$3=1,OR(AND(MONTH(A7)=12,DAY(A7)&gt;=29),AND(MONTH(A7)=1,DAY(A7)&lt;=3)))),1,0)</f>
        <v/>
      </c>
      <c r="E7" s="7" t="n"/>
      <c r="F7" s="11">
        <f>IF(OR(D7=1,E7=1),1,0)</f>
        <v/>
      </c>
      <c r="G7" s="11">
        <f>F7</f>
        <v/>
      </c>
      <c r="H7" s="11">
        <f>IF(F7=1,H8+1,0)</f>
        <v/>
      </c>
      <c r="I7" s="11">
        <f>IF(AND(D7=1,E7=1),"もとから休み","")</f>
        <v/>
      </c>
      <c r="J7" s="11">
        <f>IF(F7=1,G7+H7-1,"")</f>
        <v/>
      </c>
      <c r="K7" s="11">
        <f>IF(D7=0,COUNTIF($D$7:D7,0),"")</f>
        <v/>
      </c>
    </row>
    <row r="8">
      <c r="A8" s="10">
        <f>DATE($B$2-1,12,1)+1</f>
        <v/>
      </c>
      <c r="B8" s="11">
        <f>TEXT(A8,"aaa")</f>
        <v/>
      </c>
      <c r="C8" s="12">
        <f>IFERROR(VLOOKUP(A8,'1_祝日'!$A$4:$B$83,2,FALSE),"")</f>
        <v/>
      </c>
      <c r="D8" s="11">
        <f>IF(OR(WEEKDAY(A8,2)&gt;=6,C8&lt;&gt;"",COUNTIF('1_祝日'!$D$4:$D$43,A8)&gt;0,AND($B$3=1,OR(AND(MONTH(A8)=12,DAY(A8)&gt;=29),AND(MONTH(A8)=1,DAY(A8)&lt;=3)))),1,0)</f>
        <v/>
      </c>
      <c r="E8" s="7" t="n"/>
      <c r="F8" s="11">
        <f>IF(OR(D8=1,E8=1),1,0)</f>
        <v/>
      </c>
      <c r="G8" s="11">
        <f>IF(F8=1,G7+1,0)</f>
        <v/>
      </c>
      <c r="H8" s="11">
        <f>IF(F8=1,H9+1,0)</f>
        <v/>
      </c>
      <c r="I8" s="11">
        <f>IF(AND(D8=1,E8=1),"もとから休み","")</f>
        <v/>
      </c>
      <c r="J8" s="11">
        <f>IF(F8=1,G8+H8-1,"")</f>
        <v/>
      </c>
      <c r="K8" s="11">
        <f>IF(D8=0,COUNTIF($D$7:D8,0),"")</f>
        <v/>
      </c>
    </row>
    <row r="9">
      <c r="A9" s="10">
        <f>DATE($B$2-1,12,1)+2</f>
        <v/>
      </c>
      <c r="B9" s="11">
        <f>TEXT(A9,"aaa")</f>
        <v/>
      </c>
      <c r="C9" s="12">
        <f>IFERROR(VLOOKUP(A9,'1_祝日'!$A$4:$B$83,2,FALSE),"")</f>
        <v/>
      </c>
      <c r="D9" s="11">
        <f>IF(OR(WEEKDAY(A9,2)&gt;=6,C9&lt;&gt;"",COUNTIF('1_祝日'!$D$4:$D$43,A9)&gt;0,AND($B$3=1,OR(AND(MONTH(A9)=12,DAY(A9)&gt;=29),AND(MONTH(A9)=1,DAY(A9)&lt;=3)))),1,0)</f>
        <v/>
      </c>
      <c r="E9" s="7" t="n"/>
      <c r="F9" s="11">
        <f>IF(OR(D9=1,E9=1),1,0)</f>
        <v/>
      </c>
      <c r="G9" s="11">
        <f>IF(F9=1,G8+1,0)</f>
        <v/>
      </c>
      <c r="H9" s="11">
        <f>IF(F9=1,H10+1,0)</f>
        <v/>
      </c>
      <c r="I9" s="11">
        <f>IF(AND(D9=1,E9=1),"もとから休み","")</f>
        <v/>
      </c>
      <c r="J9" s="11">
        <f>IF(F9=1,G9+H9-1,"")</f>
        <v/>
      </c>
      <c r="K9" s="11">
        <f>IF(D9=0,COUNTIF($D$7:D9,0),"")</f>
        <v/>
      </c>
    </row>
    <row r="10">
      <c r="A10" s="10">
        <f>DATE($B$2-1,12,1)+3</f>
        <v/>
      </c>
      <c r="B10" s="11">
        <f>TEXT(A10,"aaa")</f>
        <v/>
      </c>
      <c r="C10" s="12">
        <f>IFERROR(VLOOKUP(A10,'1_祝日'!$A$4:$B$83,2,FALSE),"")</f>
        <v/>
      </c>
      <c r="D10" s="11">
        <f>IF(OR(WEEKDAY(A10,2)&gt;=6,C10&lt;&gt;"",COUNTIF('1_祝日'!$D$4:$D$43,A10)&gt;0,AND($B$3=1,OR(AND(MONTH(A10)=12,DAY(A10)&gt;=29),AND(MONTH(A10)=1,DAY(A10)&lt;=3)))),1,0)</f>
        <v/>
      </c>
      <c r="E10" s="7" t="n"/>
      <c r="F10" s="11">
        <f>IF(OR(D10=1,E10=1),1,0)</f>
        <v/>
      </c>
      <c r="G10" s="11">
        <f>IF(F10=1,G9+1,0)</f>
        <v/>
      </c>
      <c r="H10" s="11">
        <f>IF(F10=1,H11+1,0)</f>
        <v/>
      </c>
      <c r="I10" s="11">
        <f>IF(AND(D10=1,E10=1),"もとから休み","")</f>
        <v/>
      </c>
      <c r="J10" s="11">
        <f>IF(F10=1,G10+H10-1,"")</f>
        <v/>
      </c>
      <c r="K10" s="11">
        <f>IF(D10=0,COUNTIF($D$7:D10,0),"")</f>
        <v/>
      </c>
    </row>
    <row r="11">
      <c r="A11" s="10">
        <f>DATE($B$2-1,12,1)+4</f>
        <v/>
      </c>
      <c r="B11" s="11">
        <f>TEXT(A11,"aaa")</f>
        <v/>
      </c>
      <c r="C11" s="12">
        <f>IFERROR(VLOOKUP(A11,'1_祝日'!$A$4:$B$83,2,FALSE),"")</f>
        <v/>
      </c>
      <c r="D11" s="11">
        <f>IF(OR(WEEKDAY(A11,2)&gt;=6,C11&lt;&gt;"",COUNTIF('1_祝日'!$D$4:$D$43,A11)&gt;0,AND($B$3=1,OR(AND(MONTH(A11)=12,DAY(A11)&gt;=29),AND(MONTH(A11)=1,DAY(A11)&lt;=3)))),1,0)</f>
        <v/>
      </c>
      <c r="E11" s="7" t="n"/>
      <c r="F11" s="11">
        <f>IF(OR(D11=1,E11=1),1,0)</f>
        <v/>
      </c>
      <c r="G11" s="11">
        <f>IF(F11=1,G10+1,0)</f>
        <v/>
      </c>
      <c r="H11" s="11">
        <f>IF(F11=1,H12+1,0)</f>
        <v/>
      </c>
      <c r="I11" s="11">
        <f>IF(AND(D11=1,E11=1),"もとから休み","")</f>
        <v/>
      </c>
      <c r="J11" s="11">
        <f>IF(F11=1,G11+H11-1,"")</f>
        <v/>
      </c>
      <c r="K11" s="11">
        <f>IF(D11=0,COUNTIF($D$7:D11,0),"")</f>
        <v/>
      </c>
    </row>
    <row r="12">
      <c r="A12" s="10">
        <f>DATE($B$2-1,12,1)+5</f>
        <v/>
      </c>
      <c r="B12" s="11">
        <f>TEXT(A12,"aaa")</f>
        <v/>
      </c>
      <c r="C12" s="12">
        <f>IFERROR(VLOOKUP(A12,'1_祝日'!$A$4:$B$83,2,FALSE),"")</f>
        <v/>
      </c>
      <c r="D12" s="11">
        <f>IF(OR(WEEKDAY(A12,2)&gt;=6,C12&lt;&gt;"",COUNTIF('1_祝日'!$D$4:$D$43,A12)&gt;0,AND($B$3=1,OR(AND(MONTH(A12)=12,DAY(A12)&gt;=29),AND(MONTH(A12)=1,DAY(A12)&lt;=3)))),1,0)</f>
        <v/>
      </c>
      <c r="E12" s="7" t="n"/>
      <c r="F12" s="11">
        <f>IF(OR(D12=1,E12=1),1,0)</f>
        <v/>
      </c>
      <c r="G12" s="11">
        <f>IF(F12=1,G11+1,0)</f>
        <v/>
      </c>
      <c r="H12" s="11">
        <f>IF(F12=1,H13+1,0)</f>
        <v/>
      </c>
      <c r="I12" s="11">
        <f>IF(AND(D12=1,E12=1),"もとから休み","")</f>
        <v/>
      </c>
      <c r="J12" s="11">
        <f>IF(F12=1,G12+H12-1,"")</f>
        <v/>
      </c>
      <c r="K12" s="11">
        <f>IF(D12=0,COUNTIF($D$7:D12,0),"")</f>
        <v/>
      </c>
    </row>
    <row r="13">
      <c r="A13" s="10">
        <f>DATE($B$2-1,12,1)+6</f>
        <v/>
      </c>
      <c r="B13" s="11">
        <f>TEXT(A13,"aaa")</f>
        <v/>
      </c>
      <c r="C13" s="12">
        <f>IFERROR(VLOOKUP(A13,'1_祝日'!$A$4:$B$83,2,FALSE),"")</f>
        <v/>
      </c>
      <c r="D13" s="11">
        <f>IF(OR(WEEKDAY(A13,2)&gt;=6,C13&lt;&gt;"",COUNTIF('1_祝日'!$D$4:$D$43,A13)&gt;0,AND($B$3=1,OR(AND(MONTH(A13)=12,DAY(A13)&gt;=29),AND(MONTH(A13)=1,DAY(A13)&lt;=3)))),1,0)</f>
        <v/>
      </c>
      <c r="E13" s="7" t="n"/>
      <c r="F13" s="11">
        <f>IF(OR(D13=1,E13=1),1,0)</f>
        <v/>
      </c>
      <c r="G13" s="11">
        <f>IF(F13=1,G12+1,0)</f>
        <v/>
      </c>
      <c r="H13" s="11">
        <f>IF(F13=1,H14+1,0)</f>
        <v/>
      </c>
      <c r="I13" s="11">
        <f>IF(AND(D13=1,E13=1),"もとから休み","")</f>
        <v/>
      </c>
      <c r="J13" s="11">
        <f>IF(F13=1,G13+H13-1,"")</f>
        <v/>
      </c>
      <c r="K13" s="11">
        <f>IF(D13=0,COUNTIF($D$7:D13,0),"")</f>
        <v/>
      </c>
    </row>
    <row r="14">
      <c r="A14" s="10">
        <f>DATE($B$2-1,12,1)+7</f>
        <v/>
      </c>
      <c r="B14" s="11">
        <f>TEXT(A14,"aaa")</f>
        <v/>
      </c>
      <c r="C14" s="12">
        <f>IFERROR(VLOOKUP(A14,'1_祝日'!$A$4:$B$83,2,FALSE),"")</f>
        <v/>
      </c>
      <c r="D14" s="11">
        <f>IF(OR(WEEKDAY(A14,2)&gt;=6,C14&lt;&gt;"",COUNTIF('1_祝日'!$D$4:$D$43,A14)&gt;0,AND($B$3=1,OR(AND(MONTH(A14)=12,DAY(A14)&gt;=29),AND(MONTH(A14)=1,DAY(A14)&lt;=3)))),1,0)</f>
        <v/>
      </c>
      <c r="E14" s="7" t="n"/>
      <c r="F14" s="11">
        <f>IF(OR(D14=1,E14=1),1,0)</f>
        <v/>
      </c>
      <c r="G14" s="11">
        <f>IF(F14=1,G13+1,0)</f>
        <v/>
      </c>
      <c r="H14" s="11">
        <f>IF(F14=1,H15+1,0)</f>
        <v/>
      </c>
      <c r="I14" s="11">
        <f>IF(AND(D14=1,E14=1),"もとから休み","")</f>
        <v/>
      </c>
      <c r="J14" s="11">
        <f>IF(F14=1,G14+H14-1,"")</f>
        <v/>
      </c>
      <c r="K14" s="11">
        <f>IF(D14=0,COUNTIF($D$7:D14,0),"")</f>
        <v/>
      </c>
    </row>
    <row r="15">
      <c r="A15" s="10">
        <f>DATE($B$2-1,12,1)+8</f>
        <v/>
      </c>
      <c r="B15" s="11">
        <f>TEXT(A15,"aaa")</f>
        <v/>
      </c>
      <c r="C15" s="12">
        <f>IFERROR(VLOOKUP(A15,'1_祝日'!$A$4:$B$83,2,FALSE),"")</f>
        <v/>
      </c>
      <c r="D15" s="11">
        <f>IF(OR(WEEKDAY(A15,2)&gt;=6,C15&lt;&gt;"",COUNTIF('1_祝日'!$D$4:$D$43,A15)&gt;0,AND($B$3=1,OR(AND(MONTH(A15)=12,DAY(A15)&gt;=29),AND(MONTH(A15)=1,DAY(A15)&lt;=3)))),1,0)</f>
        <v/>
      </c>
      <c r="E15" s="7" t="n"/>
      <c r="F15" s="11">
        <f>IF(OR(D15=1,E15=1),1,0)</f>
        <v/>
      </c>
      <c r="G15" s="11">
        <f>IF(F15=1,G14+1,0)</f>
        <v/>
      </c>
      <c r="H15" s="11">
        <f>IF(F15=1,H16+1,0)</f>
        <v/>
      </c>
      <c r="I15" s="11">
        <f>IF(AND(D15=1,E15=1),"もとから休み","")</f>
        <v/>
      </c>
      <c r="J15" s="11">
        <f>IF(F15=1,G15+H15-1,"")</f>
        <v/>
      </c>
      <c r="K15" s="11">
        <f>IF(D15=0,COUNTIF($D$7:D15,0),"")</f>
        <v/>
      </c>
    </row>
    <row r="16">
      <c r="A16" s="10">
        <f>DATE($B$2-1,12,1)+9</f>
        <v/>
      </c>
      <c r="B16" s="11">
        <f>TEXT(A16,"aaa")</f>
        <v/>
      </c>
      <c r="C16" s="12">
        <f>IFERROR(VLOOKUP(A16,'1_祝日'!$A$4:$B$83,2,FALSE),"")</f>
        <v/>
      </c>
      <c r="D16" s="11">
        <f>IF(OR(WEEKDAY(A16,2)&gt;=6,C16&lt;&gt;"",COUNTIF('1_祝日'!$D$4:$D$43,A16)&gt;0,AND($B$3=1,OR(AND(MONTH(A16)=12,DAY(A16)&gt;=29),AND(MONTH(A16)=1,DAY(A16)&lt;=3)))),1,0)</f>
        <v/>
      </c>
      <c r="E16" s="7" t="n"/>
      <c r="F16" s="11">
        <f>IF(OR(D16=1,E16=1),1,0)</f>
        <v/>
      </c>
      <c r="G16" s="11">
        <f>IF(F16=1,G15+1,0)</f>
        <v/>
      </c>
      <c r="H16" s="11">
        <f>IF(F16=1,H17+1,0)</f>
        <v/>
      </c>
      <c r="I16" s="11">
        <f>IF(AND(D16=1,E16=1),"もとから休み","")</f>
        <v/>
      </c>
      <c r="J16" s="11">
        <f>IF(F16=1,G16+H16-1,"")</f>
        <v/>
      </c>
      <c r="K16" s="11">
        <f>IF(D16=0,COUNTIF($D$7:D16,0),"")</f>
        <v/>
      </c>
    </row>
    <row r="17">
      <c r="A17" s="10">
        <f>DATE($B$2-1,12,1)+10</f>
        <v/>
      </c>
      <c r="B17" s="11">
        <f>TEXT(A17,"aaa")</f>
        <v/>
      </c>
      <c r="C17" s="12">
        <f>IFERROR(VLOOKUP(A17,'1_祝日'!$A$4:$B$83,2,FALSE),"")</f>
        <v/>
      </c>
      <c r="D17" s="11">
        <f>IF(OR(WEEKDAY(A17,2)&gt;=6,C17&lt;&gt;"",COUNTIF('1_祝日'!$D$4:$D$43,A17)&gt;0,AND($B$3=1,OR(AND(MONTH(A17)=12,DAY(A17)&gt;=29),AND(MONTH(A17)=1,DAY(A17)&lt;=3)))),1,0)</f>
        <v/>
      </c>
      <c r="E17" s="7" t="n"/>
      <c r="F17" s="11">
        <f>IF(OR(D17=1,E17=1),1,0)</f>
        <v/>
      </c>
      <c r="G17" s="11">
        <f>IF(F17=1,G16+1,0)</f>
        <v/>
      </c>
      <c r="H17" s="11">
        <f>IF(F17=1,H18+1,0)</f>
        <v/>
      </c>
      <c r="I17" s="11">
        <f>IF(AND(D17=1,E17=1),"もとから休み","")</f>
        <v/>
      </c>
      <c r="J17" s="11">
        <f>IF(F17=1,G17+H17-1,"")</f>
        <v/>
      </c>
      <c r="K17" s="11">
        <f>IF(D17=0,COUNTIF($D$7:D17,0),"")</f>
        <v/>
      </c>
    </row>
    <row r="18">
      <c r="A18" s="10">
        <f>DATE($B$2-1,12,1)+11</f>
        <v/>
      </c>
      <c r="B18" s="11">
        <f>TEXT(A18,"aaa")</f>
        <v/>
      </c>
      <c r="C18" s="12">
        <f>IFERROR(VLOOKUP(A18,'1_祝日'!$A$4:$B$83,2,FALSE),"")</f>
        <v/>
      </c>
      <c r="D18" s="11">
        <f>IF(OR(WEEKDAY(A18,2)&gt;=6,C18&lt;&gt;"",COUNTIF('1_祝日'!$D$4:$D$43,A18)&gt;0,AND($B$3=1,OR(AND(MONTH(A18)=12,DAY(A18)&gt;=29),AND(MONTH(A18)=1,DAY(A18)&lt;=3)))),1,0)</f>
        <v/>
      </c>
      <c r="E18" s="7" t="n"/>
      <c r="F18" s="11">
        <f>IF(OR(D18=1,E18=1),1,0)</f>
        <v/>
      </c>
      <c r="G18" s="11">
        <f>IF(F18=1,G17+1,0)</f>
        <v/>
      </c>
      <c r="H18" s="11">
        <f>IF(F18=1,H19+1,0)</f>
        <v/>
      </c>
      <c r="I18" s="11">
        <f>IF(AND(D18=1,E18=1),"もとから休み","")</f>
        <v/>
      </c>
      <c r="J18" s="11">
        <f>IF(F18=1,G18+H18-1,"")</f>
        <v/>
      </c>
      <c r="K18" s="11">
        <f>IF(D18=0,COUNTIF($D$7:D18,0),"")</f>
        <v/>
      </c>
    </row>
    <row r="19">
      <c r="A19" s="10">
        <f>DATE($B$2-1,12,1)+12</f>
        <v/>
      </c>
      <c r="B19" s="11">
        <f>TEXT(A19,"aaa")</f>
        <v/>
      </c>
      <c r="C19" s="12">
        <f>IFERROR(VLOOKUP(A19,'1_祝日'!$A$4:$B$83,2,FALSE),"")</f>
        <v/>
      </c>
      <c r="D19" s="11">
        <f>IF(OR(WEEKDAY(A19,2)&gt;=6,C19&lt;&gt;"",COUNTIF('1_祝日'!$D$4:$D$43,A19)&gt;0,AND($B$3=1,OR(AND(MONTH(A19)=12,DAY(A19)&gt;=29),AND(MONTH(A19)=1,DAY(A19)&lt;=3)))),1,0)</f>
        <v/>
      </c>
      <c r="E19" s="7" t="n"/>
      <c r="F19" s="11">
        <f>IF(OR(D19=1,E19=1),1,0)</f>
        <v/>
      </c>
      <c r="G19" s="11">
        <f>IF(F19=1,G18+1,0)</f>
        <v/>
      </c>
      <c r="H19" s="11">
        <f>IF(F19=1,H20+1,0)</f>
        <v/>
      </c>
      <c r="I19" s="11">
        <f>IF(AND(D19=1,E19=1),"もとから休み","")</f>
        <v/>
      </c>
      <c r="J19" s="11">
        <f>IF(F19=1,G19+H19-1,"")</f>
        <v/>
      </c>
      <c r="K19" s="11">
        <f>IF(D19=0,COUNTIF($D$7:D19,0),"")</f>
        <v/>
      </c>
    </row>
    <row r="20">
      <c r="A20" s="10">
        <f>DATE($B$2-1,12,1)+13</f>
        <v/>
      </c>
      <c r="B20" s="11">
        <f>TEXT(A20,"aaa")</f>
        <v/>
      </c>
      <c r="C20" s="12">
        <f>IFERROR(VLOOKUP(A20,'1_祝日'!$A$4:$B$83,2,FALSE),"")</f>
        <v/>
      </c>
      <c r="D20" s="11">
        <f>IF(OR(WEEKDAY(A20,2)&gt;=6,C20&lt;&gt;"",COUNTIF('1_祝日'!$D$4:$D$43,A20)&gt;0,AND($B$3=1,OR(AND(MONTH(A20)=12,DAY(A20)&gt;=29),AND(MONTH(A20)=1,DAY(A20)&lt;=3)))),1,0)</f>
        <v/>
      </c>
      <c r="E20" s="7" t="n"/>
      <c r="F20" s="11">
        <f>IF(OR(D20=1,E20=1),1,0)</f>
        <v/>
      </c>
      <c r="G20" s="11">
        <f>IF(F20=1,G19+1,0)</f>
        <v/>
      </c>
      <c r="H20" s="11">
        <f>IF(F20=1,H21+1,0)</f>
        <v/>
      </c>
      <c r="I20" s="11">
        <f>IF(AND(D20=1,E20=1),"もとから休み","")</f>
        <v/>
      </c>
      <c r="J20" s="11">
        <f>IF(F20=1,G20+H20-1,"")</f>
        <v/>
      </c>
      <c r="K20" s="11">
        <f>IF(D20=0,COUNTIF($D$7:D20,0),"")</f>
        <v/>
      </c>
    </row>
    <row r="21">
      <c r="A21" s="10">
        <f>DATE($B$2-1,12,1)+14</f>
        <v/>
      </c>
      <c r="B21" s="11">
        <f>TEXT(A21,"aaa")</f>
        <v/>
      </c>
      <c r="C21" s="12">
        <f>IFERROR(VLOOKUP(A21,'1_祝日'!$A$4:$B$83,2,FALSE),"")</f>
        <v/>
      </c>
      <c r="D21" s="11">
        <f>IF(OR(WEEKDAY(A21,2)&gt;=6,C21&lt;&gt;"",COUNTIF('1_祝日'!$D$4:$D$43,A21)&gt;0,AND($B$3=1,OR(AND(MONTH(A21)=12,DAY(A21)&gt;=29),AND(MONTH(A21)=1,DAY(A21)&lt;=3)))),1,0)</f>
        <v/>
      </c>
      <c r="E21" s="7" t="n"/>
      <c r="F21" s="11">
        <f>IF(OR(D21=1,E21=1),1,0)</f>
        <v/>
      </c>
      <c r="G21" s="11">
        <f>IF(F21=1,G20+1,0)</f>
        <v/>
      </c>
      <c r="H21" s="11">
        <f>IF(F21=1,H22+1,0)</f>
        <v/>
      </c>
      <c r="I21" s="11">
        <f>IF(AND(D21=1,E21=1),"もとから休み","")</f>
        <v/>
      </c>
      <c r="J21" s="11">
        <f>IF(F21=1,G21+H21-1,"")</f>
        <v/>
      </c>
      <c r="K21" s="11">
        <f>IF(D21=0,COUNTIF($D$7:D21,0),"")</f>
        <v/>
      </c>
    </row>
    <row r="22">
      <c r="A22" s="10">
        <f>DATE($B$2-1,12,1)+15</f>
        <v/>
      </c>
      <c r="B22" s="11">
        <f>TEXT(A22,"aaa")</f>
        <v/>
      </c>
      <c r="C22" s="12">
        <f>IFERROR(VLOOKUP(A22,'1_祝日'!$A$4:$B$83,2,FALSE),"")</f>
        <v/>
      </c>
      <c r="D22" s="11">
        <f>IF(OR(WEEKDAY(A22,2)&gt;=6,C22&lt;&gt;"",COUNTIF('1_祝日'!$D$4:$D$43,A22)&gt;0,AND($B$3=1,OR(AND(MONTH(A22)=12,DAY(A22)&gt;=29),AND(MONTH(A22)=1,DAY(A22)&lt;=3)))),1,0)</f>
        <v/>
      </c>
      <c r="E22" s="7" t="n"/>
      <c r="F22" s="11">
        <f>IF(OR(D22=1,E22=1),1,0)</f>
        <v/>
      </c>
      <c r="G22" s="11">
        <f>IF(F22=1,G21+1,0)</f>
        <v/>
      </c>
      <c r="H22" s="11">
        <f>IF(F22=1,H23+1,0)</f>
        <v/>
      </c>
      <c r="I22" s="11">
        <f>IF(AND(D22=1,E22=1),"もとから休み","")</f>
        <v/>
      </c>
      <c r="J22" s="11">
        <f>IF(F22=1,G22+H22-1,"")</f>
        <v/>
      </c>
      <c r="K22" s="11">
        <f>IF(D22=0,COUNTIF($D$7:D22,0),"")</f>
        <v/>
      </c>
    </row>
    <row r="23">
      <c r="A23" s="10">
        <f>DATE($B$2-1,12,1)+16</f>
        <v/>
      </c>
      <c r="B23" s="11">
        <f>TEXT(A23,"aaa")</f>
        <v/>
      </c>
      <c r="C23" s="12">
        <f>IFERROR(VLOOKUP(A23,'1_祝日'!$A$4:$B$83,2,FALSE),"")</f>
        <v/>
      </c>
      <c r="D23" s="11">
        <f>IF(OR(WEEKDAY(A23,2)&gt;=6,C23&lt;&gt;"",COUNTIF('1_祝日'!$D$4:$D$43,A23)&gt;0,AND($B$3=1,OR(AND(MONTH(A23)=12,DAY(A23)&gt;=29),AND(MONTH(A23)=1,DAY(A23)&lt;=3)))),1,0)</f>
        <v/>
      </c>
      <c r="E23" s="7" t="n"/>
      <c r="F23" s="11">
        <f>IF(OR(D23=1,E23=1),1,0)</f>
        <v/>
      </c>
      <c r="G23" s="11">
        <f>IF(F23=1,G22+1,0)</f>
        <v/>
      </c>
      <c r="H23" s="11">
        <f>IF(F23=1,H24+1,0)</f>
        <v/>
      </c>
      <c r="I23" s="11">
        <f>IF(AND(D23=1,E23=1),"もとから休み","")</f>
        <v/>
      </c>
      <c r="J23" s="11">
        <f>IF(F23=1,G23+H23-1,"")</f>
        <v/>
      </c>
      <c r="K23" s="11">
        <f>IF(D23=0,COUNTIF($D$7:D23,0),"")</f>
        <v/>
      </c>
    </row>
    <row r="24">
      <c r="A24" s="10">
        <f>DATE($B$2-1,12,1)+17</f>
        <v/>
      </c>
      <c r="B24" s="11">
        <f>TEXT(A24,"aaa")</f>
        <v/>
      </c>
      <c r="C24" s="12">
        <f>IFERROR(VLOOKUP(A24,'1_祝日'!$A$4:$B$83,2,FALSE),"")</f>
        <v/>
      </c>
      <c r="D24" s="11">
        <f>IF(OR(WEEKDAY(A24,2)&gt;=6,C24&lt;&gt;"",COUNTIF('1_祝日'!$D$4:$D$43,A24)&gt;0,AND($B$3=1,OR(AND(MONTH(A24)=12,DAY(A24)&gt;=29),AND(MONTH(A24)=1,DAY(A24)&lt;=3)))),1,0)</f>
        <v/>
      </c>
      <c r="E24" s="7" t="n"/>
      <c r="F24" s="11">
        <f>IF(OR(D24=1,E24=1),1,0)</f>
        <v/>
      </c>
      <c r="G24" s="11">
        <f>IF(F24=1,G23+1,0)</f>
        <v/>
      </c>
      <c r="H24" s="11">
        <f>IF(F24=1,H25+1,0)</f>
        <v/>
      </c>
      <c r="I24" s="11">
        <f>IF(AND(D24=1,E24=1),"もとから休み","")</f>
        <v/>
      </c>
      <c r="J24" s="11">
        <f>IF(F24=1,G24+H24-1,"")</f>
        <v/>
      </c>
      <c r="K24" s="11">
        <f>IF(D24=0,COUNTIF($D$7:D24,0),"")</f>
        <v/>
      </c>
    </row>
    <row r="25">
      <c r="A25" s="10">
        <f>DATE($B$2-1,12,1)+18</f>
        <v/>
      </c>
      <c r="B25" s="11">
        <f>TEXT(A25,"aaa")</f>
        <v/>
      </c>
      <c r="C25" s="12">
        <f>IFERROR(VLOOKUP(A25,'1_祝日'!$A$4:$B$83,2,FALSE),"")</f>
        <v/>
      </c>
      <c r="D25" s="11">
        <f>IF(OR(WEEKDAY(A25,2)&gt;=6,C25&lt;&gt;"",COUNTIF('1_祝日'!$D$4:$D$43,A25)&gt;0,AND($B$3=1,OR(AND(MONTH(A25)=12,DAY(A25)&gt;=29),AND(MONTH(A25)=1,DAY(A25)&lt;=3)))),1,0)</f>
        <v/>
      </c>
      <c r="E25" s="7" t="n"/>
      <c r="F25" s="11">
        <f>IF(OR(D25=1,E25=1),1,0)</f>
        <v/>
      </c>
      <c r="G25" s="11">
        <f>IF(F25=1,G24+1,0)</f>
        <v/>
      </c>
      <c r="H25" s="11">
        <f>IF(F25=1,H26+1,0)</f>
        <v/>
      </c>
      <c r="I25" s="11">
        <f>IF(AND(D25=1,E25=1),"もとから休み","")</f>
        <v/>
      </c>
      <c r="J25" s="11">
        <f>IF(F25=1,G25+H25-1,"")</f>
        <v/>
      </c>
      <c r="K25" s="11">
        <f>IF(D25=0,COUNTIF($D$7:D25,0),"")</f>
        <v/>
      </c>
    </row>
    <row r="26">
      <c r="A26" s="10">
        <f>DATE($B$2-1,12,1)+19</f>
        <v/>
      </c>
      <c r="B26" s="11">
        <f>TEXT(A26,"aaa")</f>
        <v/>
      </c>
      <c r="C26" s="12">
        <f>IFERROR(VLOOKUP(A26,'1_祝日'!$A$4:$B$83,2,FALSE),"")</f>
        <v/>
      </c>
      <c r="D26" s="11">
        <f>IF(OR(WEEKDAY(A26,2)&gt;=6,C26&lt;&gt;"",COUNTIF('1_祝日'!$D$4:$D$43,A26)&gt;0,AND($B$3=1,OR(AND(MONTH(A26)=12,DAY(A26)&gt;=29),AND(MONTH(A26)=1,DAY(A26)&lt;=3)))),1,0)</f>
        <v/>
      </c>
      <c r="E26" s="7" t="n"/>
      <c r="F26" s="11">
        <f>IF(OR(D26=1,E26=1),1,0)</f>
        <v/>
      </c>
      <c r="G26" s="11">
        <f>IF(F26=1,G25+1,0)</f>
        <v/>
      </c>
      <c r="H26" s="11">
        <f>IF(F26=1,H27+1,0)</f>
        <v/>
      </c>
      <c r="I26" s="11">
        <f>IF(AND(D26=1,E26=1),"もとから休み","")</f>
        <v/>
      </c>
      <c r="J26" s="11">
        <f>IF(F26=1,G26+H26-1,"")</f>
        <v/>
      </c>
      <c r="K26" s="11">
        <f>IF(D26=0,COUNTIF($D$7:D26,0),"")</f>
        <v/>
      </c>
    </row>
    <row r="27">
      <c r="A27" s="10">
        <f>DATE($B$2-1,12,1)+20</f>
        <v/>
      </c>
      <c r="B27" s="11">
        <f>TEXT(A27,"aaa")</f>
        <v/>
      </c>
      <c r="C27" s="12">
        <f>IFERROR(VLOOKUP(A27,'1_祝日'!$A$4:$B$83,2,FALSE),"")</f>
        <v/>
      </c>
      <c r="D27" s="11">
        <f>IF(OR(WEEKDAY(A27,2)&gt;=6,C27&lt;&gt;"",COUNTIF('1_祝日'!$D$4:$D$43,A27)&gt;0,AND($B$3=1,OR(AND(MONTH(A27)=12,DAY(A27)&gt;=29),AND(MONTH(A27)=1,DAY(A27)&lt;=3)))),1,0)</f>
        <v/>
      </c>
      <c r="E27" s="7" t="n"/>
      <c r="F27" s="11">
        <f>IF(OR(D27=1,E27=1),1,0)</f>
        <v/>
      </c>
      <c r="G27" s="11">
        <f>IF(F27=1,G26+1,0)</f>
        <v/>
      </c>
      <c r="H27" s="11">
        <f>IF(F27=1,H28+1,0)</f>
        <v/>
      </c>
      <c r="I27" s="11">
        <f>IF(AND(D27=1,E27=1),"もとから休み","")</f>
        <v/>
      </c>
      <c r="J27" s="11">
        <f>IF(F27=1,G27+H27-1,"")</f>
        <v/>
      </c>
      <c r="K27" s="11">
        <f>IF(D27=0,COUNTIF($D$7:D27,0),"")</f>
        <v/>
      </c>
    </row>
    <row r="28">
      <c r="A28" s="10">
        <f>DATE($B$2-1,12,1)+21</f>
        <v/>
      </c>
      <c r="B28" s="11">
        <f>TEXT(A28,"aaa")</f>
        <v/>
      </c>
      <c r="C28" s="12">
        <f>IFERROR(VLOOKUP(A28,'1_祝日'!$A$4:$B$83,2,FALSE),"")</f>
        <v/>
      </c>
      <c r="D28" s="11">
        <f>IF(OR(WEEKDAY(A28,2)&gt;=6,C28&lt;&gt;"",COUNTIF('1_祝日'!$D$4:$D$43,A28)&gt;0,AND($B$3=1,OR(AND(MONTH(A28)=12,DAY(A28)&gt;=29),AND(MONTH(A28)=1,DAY(A28)&lt;=3)))),1,0)</f>
        <v/>
      </c>
      <c r="E28" s="7" t="n"/>
      <c r="F28" s="11">
        <f>IF(OR(D28=1,E28=1),1,0)</f>
        <v/>
      </c>
      <c r="G28" s="11">
        <f>IF(F28=1,G27+1,0)</f>
        <v/>
      </c>
      <c r="H28" s="11">
        <f>IF(F28=1,H29+1,0)</f>
        <v/>
      </c>
      <c r="I28" s="11">
        <f>IF(AND(D28=1,E28=1),"もとから休み","")</f>
        <v/>
      </c>
      <c r="J28" s="11">
        <f>IF(F28=1,G28+H28-1,"")</f>
        <v/>
      </c>
      <c r="K28" s="11">
        <f>IF(D28=0,COUNTIF($D$7:D28,0),"")</f>
        <v/>
      </c>
    </row>
    <row r="29">
      <c r="A29" s="10">
        <f>DATE($B$2-1,12,1)+22</f>
        <v/>
      </c>
      <c r="B29" s="11">
        <f>TEXT(A29,"aaa")</f>
        <v/>
      </c>
      <c r="C29" s="12">
        <f>IFERROR(VLOOKUP(A29,'1_祝日'!$A$4:$B$83,2,FALSE),"")</f>
        <v/>
      </c>
      <c r="D29" s="11">
        <f>IF(OR(WEEKDAY(A29,2)&gt;=6,C29&lt;&gt;"",COUNTIF('1_祝日'!$D$4:$D$43,A29)&gt;0,AND($B$3=1,OR(AND(MONTH(A29)=12,DAY(A29)&gt;=29),AND(MONTH(A29)=1,DAY(A29)&lt;=3)))),1,0)</f>
        <v/>
      </c>
      <c r="E29" s="7" t="n"/>
      <c r="F29" s="11">
        <f>IF(OR(D29=1,E29=1),1,0)</f>
        <v/>
      </c>
      <c r="G29" s="11">
        <f>IF(F29=1,G28+1,0)</f>
        <v/>
      </c>
      <c r="H29" s="11">
        <f>IF(F29=1,H30+1,0)</f>
        <v/>
      </c>
      <c r="I29" s="11">
        <f>IF(AND(D29=1,E29=1),"もとから休み","")</f>
        <v/>
      </c>
      <c r="J29" s="11">
        <f>IF(F29=1,G29+H29-1,"")</f>
        <v/>
      </c>
      <c r="K29" s="11">
        <f>IF(D29=0,COUNTIF($D$7:D29,0),"")</f>
        <v/>
      </c>
    </row>
    <row r="30">
      <c r="A30" s="10">
        <f>DATE($B$2-1,12,1)+23</f>
        <v/>
      </c>
      <c r="B30" s="11">
        <f>TEXT(A30,"aaa")</f>
        <v/>
      </c>
      <c r="C30" s="12">
        <f>IFERROR(VLOOKUP(A30,'1_祝日'!$A$4:$B$83,2,FALSE),"")</f>
        <v/>
      </c>
      <c r="D30" s="11">
        <f>IF(OR(WEEKDAY(A30,2)&gt;=6,C30&lt;&gt;"",COUNTIF('1_祝日'!$D$4:$D$43,A30)&gt;0,AND($B$3=1,OR(AND(MONTH(A30)=12,DAY(A30)&gt;=29),AND(MONTH(A30)=1,DAY(A30)&lt;=3)))),1,0)</f>
        <v/>
      </c>
      <c r="E30" s="7" t="n"/>
      <c r="F30" s="11">
        <f>IF(OR(D30=1,E30=1),1,0)</f>
        <v/>
      </c>
      <c r="G30" s="11">
        <f>IF(F30=1,G29+1,0)</f>
        <v/>
      </c>
      <c r="H30" s="11">
        <f>IF(F30=1,H31+1,0)</f>
        <v/>
      </c>
      <c r="I30" s="11">
        <f>IF(AND(D30=1,E30=1),"もとから休み","")</f>
        <v/>
      </c>
      <c r="J30" s="11">
        <f>IF(F30=1,G30+H30-1,"")</f>
        <v/>
      </c>
      <c r="K30" s="11">
        <f>IF(D30=0,COUNTIF($D$7:D30,0),"")</f>
        <v/>
      </c>
    </row>
    <row r="31">
      <c r="A31" s="10">
        <f>DATE($B$2-1,12,1)+24</f>
        <v/>
      </c>
      <c r="B31" s="11">
        <f>TEXT(A31,"aaa")</f>
        <v/>
      </c>
      <c r="C31" s="12">
        <f>IFERROR(VLOOKUP(A31,'1_祝日'!$A$4:$B$83,2,FALSE),"")</f>
        <v/>
      </c>
      <c r="D31" s="11">
        <f>IF(OR(WEEKDAY(A31,2)&gt;=6,C31&lt;&gt;"",COUNTIF('1_祝日'!$D$4:$D$43,A31)&gt;0,AND($B$3=1,OR(AND(MONTH(A31)=12,DAY(A31)&gt;=29),AND(MONTH(A31)=1,DAY(A31)&lt;=3)))),1,0)</f>
        <v/>
      </c>
      <c r="E31" s="7" t="n"/>
      <c r="F31" s="11">
        <f>IF(OR(D31=1,E31=1),1,0)</f>
        <v/>
      </c>
      <c r="G31" s="11">
        <f>IF(F31=1,G30+1,0)</f>
        <v/>
      </c>
      <c r="H31" s="11">
        <f>IF(F31=1,H32+1,0)</f>
        <v/>
      </c>
      <c r="I31" s="11">
        <f>IF(AND(D31=1,E31=1),"もとから休み","")</f>
        <v/>
      </c>
      <c r="J31" s="11">
        <f>IF(F31=1,G31+H31-1,"")</f>
        <v/>
      </c>
      <c r="K31" s="11">
        <f>IF(D31=0,COUNTIF($D$7:D31,0),"")</f>
        <v/>
      </c>
    </row>
    <row r="32">
      <c r="A32" s="10">
        <f>DATE($B$2-1,12,1)+25</f>
        <v/>
      </c>
      <c r="B32" s="11">
        <f>TEXT(A32,"aaa")</f>
        <v/>
      </c>
      <c r="C32" s="12">
        <f>IFERROR(VLOOKUP(A32,'1_祝日'!$A$4:$B$83,2,FALSE),"")</f>
        <v/>
      </c>
      <c r="D32" s="11">
        <f>IF(OR(WEEKDAY(A32,2)&gt;=6,C32&lt;&gt;"",COUNTIF('1_祝日'!$D$4:$D$43,A32)&gt;0,AND($B$3=1,OR(AND(MONTH(A32)=12,DAY(A32)&gt;=29),AND(MONTH(A32)=1,DAY(A32)&lt;=3)))),1,0)</f>
        <v/>
      </c>
      <c r="E32" s="7" t="n"/>
      <c r="F32" s="11">
        <f>IF(OR(D32=1,E32=1),1,0)</f>
        <v/>
      </c>
      <c r="G32" s="11">
        <f>IF(F32=1,G31+1,0)</f>
        <v/>
      </c>
      <c r="H32" s="11">
        <f>IF(F32=1,H33+1,0)</f>
        <v/>
      </c>
      <c r="I32" s="11">
        <f>IF(AND(D32=1,E32=1),"もとから休み","")</f>
        <v/>
      </c>
      <c r="J32" s="11">
        <f>IF(F32=1,G32+H32-1,"")</f>
        <v/>
      </c>
      <c r="K32" s="11">
        <f>IF(D32=0,COUNTIF($D$7:D32,0),"")</f>
        <v/>
      </c>
    </row>
    <row r="33">
      <c r="A33" s="10">
        <f>DATE($B$2-1,12,1)+26</f>
        <v/>
      </c>
      <c r="B33" s="11">
        <f>TEXT(A33,"aaa")</f>
        <v/>
      </c>
      <c r="C33" s="12">
        <f>IFERROR(VLOOKUP(A33,'1_祝日'!$A$4:$B$83,2,FALSE),"")</f>
        <v/>
      </c>
      <c r="D33" s="11">
        <f>IF(OR(WEEKDAY(A33,2)&gt;=6,C33&lt;&gt;"",COUNTIF('1_祝日'!$D$4:$D$43,A33)&gt;0,AND($B$3=1,OR(AND(MONTH(A33)=12,DAY(A33)&gt;=29),AND(MONTH(A33)=1,DAY(A33)&lt;=3)))),1,0)</f>
        <v/>
      </c>
      <c r="E33" s="7" t="n"/>
      <c r="F33" s="11">
        <f>IF(OR(D33=1,E33=1),1,0)</f>
        <v/>
      </c>
      <c r="G33" s="11">
        <f>IF(F33=1,G32+1,0)</f>
        <v/>
      </c>
      <c r="H33" s="11">
        <f>IF(F33=1,H34+1,0)</f>
        <v/>
      </c>
      <c r="I33" s="11">
        <f>IF(AND(D33=1,E33=1),"もとから休み","")</f>
        <v/>
      </c>
      <c r="J33" s="11">
        <f>IF(F33=1,G33+H33-1,"")</f>
        <v/>
      </c>
      <c r="K33" s="11">
        <f>IF(D33=0,COUNTIF($D$7:D33,0),"")</f>
        <v/>
      </c>
    </row>
    <row r="34">
      <c r="A34" s="10">
        <f>DATE($B$2-1,12,1)+27</f>
        <v/>
      </c>
      <c r="B34" s="11">
        <f>TEXT(A34,"aaa")</f>
        <v/>
      </c>
      <c r="C34" s="12">
        <f>IFERROR(VLOOKUP(A34,'1_祝日'!$A$4:$B$83,2,FALSE),"")</f>
        <v/>
      </c>
      <c r="D34" s="11">
        <f>IF(OR(WEEKDAY(A34,2)&gt;=6,C34&lt;&gt;"",COUNTIF('1_祝日'!$D$4:$D$43,A34)&gt;0,AND($B$3=1,OR(AND(MONTH(A34)=12,DAY(A34)&gt;=29),AND(MONTH(A34)=1,DAY(A34)&lt;=3)))),1,0)</f>
        <v/>
      </c>
      <c r="E34" s="7" t="n"/>
      <c r="F34" s="11">
        <f>IF(OR(D34=1,E34=1),1,0)</f>
        <v/>
      </c>
      <c r="G34" s="11">
        <f>IF(F34=1,G33+1,0)</f>
        <v/>
      </c>
      <c r="H34" s="11">
        <f>IF(F34=1,H35+1,0)</f>
        <v/>
      </c>
      <c r="I34" s="11">
        <f>IF(AND(D34=1,E34=1),"もとから休み","")</f>
        <v/>
      </c>
      <c r="J34" s="11">
        <f>IF(F34=1,G34+H34-1,"")</f>
        <v/>
      </c>
      <c r="K34" s="11">
        <f>IF(D34=0,COUNTIF($D$7:D34,0),"")</f>
        <v/>
      </c>
    </row>
    <row r="35">
      <c r="A35" s="10">
        <f>DATE($B$2-1,12,1)+28</f>
        <v/>
      </c>
      <c r="B35" s="11">
        <f>TEXT(A35,"aaa")</f>
        <v/>
      </c>
      <c r="C35" s="12">
        <f>IFERROR(VLOOKUP(A35,'1_祝日'!$A$4:$B$83,2,FALSE),"")</f>
        <v/>
      </c>
      <c r="D35" s="11">
        <f>IF(OR(WEEKDAY(A35,2)&gt;=6,C35&lt;&gt;"",COUNTIF('1_祝日'!$D$4:$D$43,A35)&gt;0,AND($B$3=1,OR(AND(MONTH(A35)=12,DAY(A35)&gt;=29),AND(MONTH(A35)=1,DAY(A35)&lt;=3)))),1,0)</f>
        <v/>
      </c>
      <c r="E35" s="7" t="n"/>
      <c r="F35" s="11">
        <f>IF(OR(D35=1,E35=1),1,0)</f>
        <v/>
      </c>
      <c r="G35" s="11">
        <f>IF(F35=1,G34+1,0)</f>
        <v/>
      </c>
      <c r="H35" s="11">
        <f>IF(F35=1,H36+1,0)</f>
        <v/>
      </c>
      <c r="I35" s="11">
        <f>IF(AND(D35=1,E35=1),"もとから休み","")</f>
        <v/>
      </c>
      <c r="J35" s="11">
        <f>IF(F35=1,G35+H35-1,"")</f>
        <v/>
      </c>
      <c r="K35" s="11">
        <f>IF(D35=0,COUNTIF($D$7:D35,0),"")</f>
        <v/>
      </c>
    </row>
    <row r="36">
      <c r="A36" s="10">
        <f>DATE($B$2-1,12,1)+29</f>
        <v/>
      </c>
      <c r="B36" s="11">
        <f>TEXT(A36,"aaa")</f>
        <v/>
      </c>
      <c r="C36" s="12">
        <f>IFERROR(VLOOKUP(A36,'1_祝日'!$A$4:$B$83,2,FALSE),"")</f>
        <v/>
      </c>
      <c r="D36" s="11">
        <f>IF(OR(WEEKDAY(A36,2)&gt;=6,C36&lt;&gt;"",COUNTIF('1_祝日'!$D$4:$D$43,A36)&gt;0,AND($B$3=1,OR(AND(MONTH(A36)=12,DAY(A36)&gt;=29),AND(MONTH(A36)=1,DAY(A36)&lt;=3)))),1,0)</f>
        <v/>
      </c>
      <c r="E36" s="7" t="n"/>
      <c r="F36" s="11">
        <f>IF(OR(D36=1,E36=1),1,0)</f>
        <v/>
      </c>
      <c r="G36" s="11">
        <f>IF(F36=1,G35+1,0)</f>
        <v/>
      </c>
      <c r="H36" s="11">
        <f>IF(F36=1,H37+1,0)</f>
        <v/>
      </c>
      <c r="I36" s="11">
        <f>IF(AND(D36=1,E36=1),"もとから休み","")</f>
        <v/>
      </c>
      <c r="J36" s="11">
        <f>IF(F36=1,G36+H36-1,"")</f>
        <v/>
      </c>
      <c r="K36" s="11">
        <f>IF(D36=0,COUNTIF($D$7:D36,0),"")</f>
        <v/>
      </c>
    </row>
    <row r="37">
      <c r="A37" s="10">
        <f>DATE($B$2-1,12,1)+30</f>
        <v/>
      </c>
      <c r="B37" s="11">
        <f>TEXT(A37,"aaa")</f>
        <v/>
      </c>
      <c r="C37" s="12">
        <f>IFERROR(VLOOKUP(A37,'1_祝日'!$A$4:$B$83,2,FALSE),"")</f>
        <v/>
      </c>
      <c r="D37" s="11">
        <f>IF(OR(WEEKDAY(A37,2)&gt;=6,C37&lt;&gt;"",COUNTIF('1_祝日'!$D$4:$D$43,A37)&gt;0,AND($B$3=1,OR(AND(MONTH(A37)=12,DAY(A37)&gt;=29),AND(MONTH(A37)=1,DAY(A37)&lt;=3)))),1,0)</f>
        <v/>
      </c>
      <c r="E37" s="7" t="n"/>
      <c r="F37" s="11">
        <f>IF(OR(D37=1,E37=1),1,0)</f>
        <v/>
      </c>
      <c r="G37" s="11">
        <f>IF(F37=1,G36+1,0)</f>
        <v/>
      </c>
      <c r="H37" s="11">
        <f>IF(F37=1,H38+1,0)</f>
        <v/>
      </c>
      <c r="I37" s="11">
        <f>IF(AND(D37=1,E37=1),"もとから休み","")</f>
        <v/>
      </c>
      <c r="J37" s="11">
        <f>IF(F37=1,G37+H37-1,"")</f>
        <v/>
      </c>
      <c r="K37" s="11">
        <f>IF(D37=0,COUNTIF($D$7:D37,0),"")</f>
        <v/>
      </c>
    </row>
    <row r="38">
      <c r="A38" s="10">
        <f>DATE($B$2-1,12,1)+31</f>
        <v/>
      </c>
      <c r="B38" s="11">
        <f>TEXT(A38,"aaa")</f>
        <v/>
      </c>
      <c r="C38" s="12">
        <f>IFERROR(VLOOKUP(A38,'1_祝日'!$A$4:$B$83,2,FALSE),"")</f>
        <v/>
      </c>
      <c r="D38" s="11">
        <f>IF(OR(WEEKDAY(A38,2)&gt;=6,C38&lt;&gt;"",COUNTIF('1_祝日'!$D$4:$D$43,A38)&gt;0,AND($B$3=1,OR(AND(MONTH(A38)=12,DAY(A38)&gt;=29),AND(MONTH(A38)=1,DAY(A38)&lt;=3)))),1,0)</f>
        <v/>
      </c>
      <c r="E38" s="7" t="n"/>
      <c r="F38" s="11">
        <f>IF(OR(D38=1,E38=1),1,0)</f>
        <v/>
      </c>
      <c r="G38" s="11">
        <f>IF(F38=1,G37+1,0)</f>
        <v/>
      </c>
      <c r="H38" s="11">
        <f>IF(F38=1,H39+1,0)</f>
        <v/>
      </c>
      <c r="I38" s="11">
        <f>IF(AND(D38=1,E38=1),"もとから休み","")</f>
        <v/>
      </c>
      <c r="J38" s="11">
        <f>IF(F38=1,G38+H38-1,"")</f>
        <v/>
      </c>
      <c r="K38" s="11">
        <f>IF(D38=0,COUNTIF($D$7:D38,0),"")</f>
        <v/>
      </c>
    </row>
    <row r="39">
      <c r="A39" s="10">
        <f>DATE($B$2-1,12,1)+32</f>
        <v/>
      </c>
      <c r="B39" s="11">
        <f>TEXT(A39,"aaa")</f>
        <v/>
      </c>
      <c r="C39" s="12">
        <f>IFERROR(VLOOKUP(A39,'1_祝日'!$A$4:$B$83,2,FALSE),"")</f>
        <v/>
      </c>
      <c r="D39" s="11">
        <f>IF(OR(WEEKDAY(A39,2)&gt;=6,C39&lt;&gt;"",COUNTIF('1_祝日'!$D$4:$D$43,A39)&gt;0,AND($B$3=1,OR(AND(MONTH(A39)=12,DAY(A39)&gt;=29),AND(MONTH(A39)=1,DAY(A39)&lt;=3)))),1,0)</f>
        <v/>
      </c>
      <c r="E39" s="7" t="n"/>
      <c r="F39" s="11">
        <f>IF(OR(D39=1,E39=1),1,0)</f>
        <v/>
      </c>
      <c r="G39" s="11">
        <f>IF(F39=1,G38+1,0)</f>
        <v/>
      </c>
      <c r="H39" s="11">
        <f>IF(F39=1,H40+1,0)</f>
        <v/>
      </c>
      <c r="I39" s="11">
        <f>IF(AND(D39=1,E39=1),"もとから休み","")</f>
        <v/>
      </c>
      <c r="J39" s="11">
        <f>IF(F39=1,G39+H39-1,"")</f>
        <v/>
      </c>
      <c r="K39" s="11">
        <f>IF(D39=0,COUNTIF($D$7:D39,0),"")</f>
        <v/>
      </c>
    </row>
    <row r="40">
      <c r="A40" s="10">
        <f>DATE($B$2-1,12,1)+33</f>
        <v/>
      </c>
      <c r="B40" s="11">
        <f>TEXT(A40,"aaa")</f>
        <v/>
      </c>
      <c r="C40" s="12">
        <f>IFERROR(VLOOKUP(A40,'1_祝日'!$A$4:$B$83,2,FALSE),"")</f>
        <v/>
      </c>
      <c r="D40" s="11">
        <f>IF(OR(WEEKDAY(A40,2)&gt;=6,C40&lt;&gt;"",COUNTIF('1_祝日'!$D$4:$D$43,A40)&gt;0,AND($B$3=1,OR(AND(MONTH(A40)=12,DAY(A40)&gt;=29),AND(MONTH(A40)=1,DAY(A40)&lt;=3)))),1,0)</f>
        <v/>
      </c>
      <c r="E40" s="7" t="n"/>
      <c r="F40" s="11">
        <f>IF(OR(D40=1,E40=1),1,0)</f>
        <v/>
      </c>
      <c r="G40" s="11">
        <f>IF(F40=1,G39+1,0)</f>
        <v/>
      </c>
      <c r="H40" s="11">
        <f>IF(F40=1,H41+1,0)</f>
        <v/>
      </c>
      <c r="I40" s="11">
        <f>IF(AND(D40=1,E40=1),"もとから休み","")</f>
        <v/>
      </c>
      <c r="J40" s="11">
        <f>IF(F40=1,G40+H40-1,"")</f>
        <v/>
      </c>
      <c r="K40" s="11">
        <f>IF(D40=0,COUNTIF($D$7:D40,0),"")</f>
        <v/>
      </c>
    </row>
    <row r="41">
      <c r="A41" s="10">
        <f>DATE($B$2-1,12,1)+34</f>
        <v/>
      </c>
      <c r="B41" s="11">
        <f>TEXT(A41,"aaa")</f>
        <v/>
      </c>
      <c r="C41" s="12">
        <f>IFERROR(VLOOKUP(A41,'1_祝日'!$A$4:$B$83,2,FALSE),"")</f>
        <v/>
      </c>
      <c r="D41" s="11">
        <f>IF(OR(WEEKDAY(A41,2)&gt;=6,C41&lt;&gt;"",COUNTIF('1_祝日'!$D$4:$D$43,A41)&gt;0,AND($B$3=1,OR(AND(MONTH(A41)=12,DAY(A41)&gt;=29),AND(MONTH(A41)=1,DAY(A41)&lt;=3)))),1,0)</f>
        <v/>
      </c>
      <c r="E41" s="7" t="n"/>
      <c r="F41" s="11">
        <f>IF(OR(D41=1,E41=1),1,0)</f>
        <v/>
      </c>
      <c r="G41" s="11">
        <f>IF(F41=1,G40+1,0)</f>
        <v/>
      </c>
      <c r="H41" s="11">
        <f>IF(F41=1,H42+1,0)</f>
        <v/>
      </c>
      <c r="I41" s="11">
        <f>IF(AND(D41=1,E41=1),"もとから休み","")</f>
        <v/>
      </c>
      <c r="J41" s="11">
        <f>IF(F41=1,G41+H41-1,"")</f>
        <v/>
      </c>
      <c r="K41" s="11">
        <f>IF(D41=0,COUNTIF($D$7:D41,0),"")</f>
        <v/>
      </c>
    </row>
    <row r="42">
      <c r="A42" s="10">
        <f>DATE($B$2-1,12,1)+35</f>
        <v/>
      </c>
      <c r="B42" s="11">
        <f>TEXT(A42,"aaa")</f>
        <v/>
      </c>
      <c r="C42" s="12">
        <f>IFERROR(VLOOKUP(A42,'1_祝日'!$A$4:$B$83,2,FALSE),"")</f>
        <v/>
      </c>
      <c r="D42" s="11">
        <f>IF(OR(WEEKDAY(A42,2)&gt;=6,C42&lt;&gt;"",COUNTIF('1_祝日'!$D$4:$D$43,A42)&gt;0,AND($B$3=1,OR(AND(MONTH(A42)=12,DAY(A42)&gt;=29),AND(MONTH(A42)=1,DAY(A42)&lt;=3)))),1,0)</f>
        <v/>
      </c>
      <c r="E42" s="7" t="n"/>
      <c r="F42" s="11">
        <f>IF(OR(D42=1,E42=1),1,0)</f>
        <v/>
      </c>
      <c r="G42" s="11">
        <f>IF(F42=1,G41+1,0)</f>
        <v/>
      </c>
      <c r="H42" s="11">
        <f>IF(F42=1,H43+1,0)</f>
        <v/>
      </c>
      <c r="I42" s="11">
        <f>IF(AND(D42=1,E42=1),"もとから休み","")</f>
        <v/>
      </c>
      <c r="J42" s="11">
        <f>IF(F42=1,G42+H42-1,"")</f>
        <v/>
      </c>
      <c r="K42" s="11">
        <f>IF(D42=0,COUNTIF($D$7:D42,0),"")</f>
        <v/>
      </c>
    </row>
    <row r="43">
      <c r="A43" s="10">
        <f>DATE($B$2-1,12,1)+36</f>
        <v/>
      </c>
      <c r="B43" s="11">
        <f>TEXT(A43,"aaa")</f>
        <v/>
      </c>
      <c r="C43" s="12">
        <f>IFERROR(VLOOKUP(A43,'1_祝日'!$A$4:$B$83,2,FALSE),"")</f>
        <v/>
      </c>
      <c r="D43" s="11">
        <f>IF(OR(WEEKDAY(A43,2)&gt;=6,C43&lt;&gt;"",COUNTIF('1_祝日'!$D$4:$D$43,A43)&gt;0,AND($B$3=1,OR(AND(MONTH(A43)=12,DAY(A43)&gt;=29),AND(MONTH(A43)=1,DAY(A43)&lt;=3)))),1,0)</f>
        <v/>
      </c>
      <c r="E43" s="7" t="n"/>
      <c r="F43" s="11">
        <f>IF(OR(D43=1,E43=1),1,0)</f>
        <v/>
      </c>
      <c r="G43" s="11">
        <f>IF(F43=1,G42+1,0)</f>
        <v/>
      </c>
      <c r="H43" s="11">
        <f>IF(F43=1,H44+1,0)</f>
        <v/>
      </c>
      <c r="I43" s="11">
        <f>IF(AND(D43=1,E43=1),"もとから休み","")</f>
        <v/>
      </c>
      <c r="J43" s="11">
        <f>IF(F43=1,G43+H43-1,"")</f>
        <v/>
      </c>
      <c r="K43" s="11">
        <f>IF(D43=0,COUNTIF($D$7:D43,0),"")</f>
        <v/>
      </c>
    </row>
    <row r="44">
      <c r="A44" s="10">
        <f>DATE($B$2-1,12,1)+37</f>
        <v/>
      </c>
      <c r="B44" s="11">
        <f>TEXT(A44,"aaa")</f>
        <v/>
      </c>
      <c r="C44" s="12">
        <f>IFERROR(VLOOKUP(A44,'1_祝日'!$A$4:$B$83,2,FALSE),"")</f>
        <v/>
      </c>
      <c r="D44" s="11">
        <f>IF(OR(WEEKDAY(A44,2)&gt;=6,C44&lt;&gt;"",COUNTIF('1_祝日'!$D$4:$D$43,A44)&gt;0,AND($B$3=1,OR(AND(MONTH(A44)=12,DAY(A44)&gt;=29),AND(MONTH(A44)=1,DAY(A44)&lt;=3)))),1,0)</f>
        <v/>
      </c>
      <c r="E44" s="7" t="n"/>
      <c r="F44" s="11">
        <f>IF(OR(D44=1,E44=1),1,0)</f>
        <v/>
      </c>
      <c r="G44" s="11">
        <f>IF(F44=1,G43+1,0)</f>
        <v/>
      </c>
      <c r="H44" s="11">
        <f>IF(F44=1,H45+1,0)</f>
        <v/>
      </c>
      <c r="I44" s="11">
        <f>IF(AND(D44=1,E44=1),"もとから休み","")</f>
        <v/>
      </c>
      <c r="J44" s="11">
        <f>IF(F44=1,G44+H44-1,"")</f>
        <v/>
      </c>
      <c r="K44" s="11">
        <f>IF(D44=0,COUNTIF($D$7:D44,0),"")</f>
        <v/>
      </c>
    </row>
    <row r="45">
      <c r="A45" s="10">
        <f>DATE($B$2-1,12,1)+38</f>
        <v/>
      </c>
      <c r="B45" s="11">
        <f>TEXT(A45,"aaa")</f>
        <v/>
      </c>
      <c r="C45" s="12">
        <f>IFERROR(VLOOKUP(A45,'1_祝日'!$A$4:$B$83,2,FALSE),"")</f>
        <v/>
      </c>
      <c r="D45" s="11">
        <f>IF(OR(WEEKDAY(A45,2)&gt;=6,C45&lt;&gt;"",COUNTIF('1_祝日'!$D$4:$D$43,A45)&gt;0,AND($B$3=1,OR(AND(MONTH(A45)=12,DAY(A45)&gt;=29),AND(MONTH(A45)=1,DAY(A45)&lt;=3)))),1,0)</f>
        <v/>
      </c>
      <c r="E45" s="7" t="n"/>
      <c r="F45" s="11">
        <f>IF(OR(D45=1,E45=1),1,0)</f>
        <v/>
      </c>
      <c r="G45" s="11">
        <f>IF(F45=1,G44+1,0)</f>
        <v/>
      </c>
      <c r="H45" s="11">
        <f>IF(F45=1,H46+1,0)</f>
        <v/>
      </c>
      <c r="I45" s="11">
        <f>IF(AND(D45=1,E45=1),"もとから休み","")</f>
        <v/>
      </c>
      <c r="J45" s="11">
        <f>IF(F45=1,G45+H45-1,"")</f>
        <v/>
      </c>
      <c r="K45" s="11">
        <f>IF(D45=0,COUNTIF($D$7:D45,0),"")</f>
        <v/>
      </c>
    </row>
    <row r="46">
      <c r="A46" s="10">
        <f>DATE($B$2-1,12,1)+39</f>
        <v/>
      </c>
      <c r="B46" s="11">
        <f>TEXT(A46,"aaa")</f>
        <v/>
      </c>
      <c r="C46" s="12">
        <f>IFERROR(VLOOKUP(A46,'1_祝日'!$A$4:$B$83,2,FALSE),"")</f>
        <v/>
      </c>
      <c r="D46" s="11">
        <f>IF(OR(WEEKDAY(A46,2)&gt;=6,C46&lt;&gt;"",COUNTIF('1_祝日'!$D$4:$D$43,A46)&gt;0,AND($B$3=1,OR(AND(MONTH(A46)=12,DAY(A46)&gt;=29),AND(MONTH(A46)=1,DAY(A46)&lt;=3)))),1,0)</f>
        <v/>
      </c>
      <c r="E46" s="7" t="n"/>
      <c r="F46" s="11">
        <f>IF(OR(D46=1,E46=1),1,0)</f>
        <v/>
      </c>
      <c r="G46" s="11">
        <f>IF(F46=1,G45+1,0)</f>
        <v/>
      </c>
      <c r="H46" s="11">
        <f>IF(F46=1,H47+1,0)</f>
        <v/>
      </c>
      <c r="I46" s="11">
        <f>IF(AND(D46=1,E46=1),"もとから休み","")</f>
        <v/>
      </c>
      <c r="J46" s="11">
        <f>IF(F46=1,G46+H46-1,"")</f>
        <v/>
      </c>
      <c r="K46" s="11">
        <f>IF(D46=0,COUNTIF($D$7:D46,0),"")</f>
        <v/>
      </c>
    </row>
    <row r="47">
      <c r="A47" s="10">
        <f>DATE($B$2-1,12,1)+40</f>
        <v/>
      </c>
      <c r="B47" s="11">
        <f>TEXT(A47,"aaa")</f>
        <v/>
      </c>
      <c r="C47" s="12">
        <f>IFERROR(VLOOKUP(A47,'1_祝日'!$A$4:$B$83,2,FALSE),"")</f>
        <v/>
      </c>
      <c r="D47" s="11">
        <f>IF(OR(WEEKDAY(A47,2)&gt;=6,C47&lt;&gt;"",COUNTIF('1_祝日'!$D$4:$D$43,A47)&gt;0,AND($B$3=1,OR(AND(MONTH(A47)=12,DAY(A47)&gt;=29),AND(MONTH(A47)=1,DAY(A47)&lt;=3)))),1,0)</f>
        <v/>
      </c>
      <c r="E47" s="7" t="n"/>
      <c r="F47" s="11">
        <f>IF(OR(D47=1,E47=1),1,0)</f>
        <v/>
      </c>
      <c r="G47" s="11">
        <f>IF(F47=1,G46+1,0)</f>
        <v/>
      </c>
      <c r="H47" s="11">
        <f>IF(F47=1,H48+1,0)</f>
        <v/>
      </c>
      <c r="I47" s="11">
        <f>IF(AND(D47=1,E47=1),"もとから休み","")</f>
        <v/>
      </c>
      <c r="J47" s="11">
        <f>IF(F47=1,G47+H47-1,"")</f>
        <v/>
      </c>
      <c r="K47" s="11">
        <f>IF(D47=0,COUNTIF($D$7:D47,0),"")</f>
        <v/>
      </c>
    </row>
    <row r="48">
      <c r="A48" s="10">
        <f>DATE($B$2-1,12,1)+41</f>
        <v/>
      </c>
      <c r="B48" s="11">
        <f>TEXT(A48,"aaa")</f>
        <v/>
      </c>
      <c r="C48" s="12">
        <f>IFERROR(VLOOKUP(A48,'1_祝日'!$A$4:$B$83,2,FALSE),"")</f>
        <v/>
      </c>
      <c r="D48" s="11">
        <f>IF(OR(WEEKDAY(A48,2)&gt;=6,C48&lt;&gt;"",COUNTIF('1_祝日'!$D$4:$D$43,A48)&gt;0,AND($B$3=1,OR(AND(MONTH(A48)=12,DAY(A48)&gt;=29),AND(MONTH(A48)=1,DAY(A48)&lt;=3)))),1,0)</f>
        <v/>
      </c>
      <c r="E48" s="7" t="n"/>
      <c r="F48" s="11">
        <f>IF(OR(D48=1,E48=1),1,0)</f>
        <v/>
      </c>
      <c r="G48" s="11">
        <f>IF(F48=1,G47+1,0)</f>
        <v/>
      </c>
      <c r="H48" s="11">
        <f>IF(F48=1,H49+1,0)</f>
        <v/>
      </c>
      <c r="I48" s="11">
        <f>IF(AND(D48=1,E48=1),"もとから休み","")</f>
        <v/>
      </c>
      <c r="J48" s="11">
        <f>IF(F48=1,G48+H48-1,"")</f>
        <v/>
      </c>
      <c r="K48" s="11">
        <f>IF(D48=0,COUNTIF($D$7:D48,0),"")</f>
        <v/>
      </c>
    </row>
    <row r="49">
      <c r="A49" s="10">
        <f>DATE($B$2-1,12,1)+42</f>
        <v/>
      </c>
      <c r="B49" s="11">
        <f>TEXT(A49,"aaa")</f>
        <v/>
      </c>
      <c r="C49" s="12">
        <f>IFERROR(VLOOKUP(A49,'1_祝日'!$A$4:$B$83,2,FALSE),"")</f>
        <v/>
      </c>
      <c r="D49" s="11">
        <f>IF(OR(WEEKDAY(A49,2)&gt;=6,C49&lt;&gt;"",COUNTIF('1_祝日'!$D$4:$D$43,A49)&gt;0,AND($B$3=1,OR(AND(MONTH(A49)=12,DAY(A49)&gt;=29),AND(MONTH(A49)=1,DAY(A49)&lt;=3)))),1,0)</f>
        <v/>
      </c>
      <c r="E49" s="7" t="n"/>
      <c r="F49" s="11">
        <f>IF(OR(D49=1,E49=1),1,0)</f>
        <v/>
      </c>
      <c r="G49" s="11">
        <f>IF(F49=1,G48+1,0)</f>
        <v/>
      </c>
      <c r="H49" s="11">
        <f>IF(F49=1,H50+1,0)</f>
        <v/>
      </c>
      <c r="I49" s="11">
        <f>IF(AND(D49=1,E49=1),"もとから休み","")</f>
        <v/>
      </c>
      <c r="J49" s="11">
        <f>IF(F49=1,G49+H49-1,"")</f>
        <v/>
      </c>
      <c r="K49" s="11">
        <f>IF(D49=0,COUNTIF($D$7:D49,0),"")</f>
        <v/>
      </c>
    </row>
    <row r="50">
      <c r="A50" s="10">
        <f>DATE($B$2-1,12,1)+43</f>
        <v/>
      </c>
      <c r="B50" s="11">
        <f>TEXT(A50,"aaa")</f>
        <v/>
      </c>
      <c r="C50" s="12">
        <f>IFERROR(VLOOKUP(A50,'1_祝日'!$A$4:$B$83,2,FALSE),"")</f>
        <v/>
      </c>
      <c r="D50" s="11">
        <f>IF(OR(WEEKDAY(A50,2)&gt;=6,C50&lt;&gt;"",COUNTIF('1_祝日'!$D$4:$D$43,A50)&gt;0,AND($B$3=1,OR(AND(MONTH(A50)=12,DAY(A50)&gt;=29),AND(MONTH(A50)=1,DAY(A50)&lt;=3)))),1,0)</f>
        <v/>
      </c>
      <c r="E50" s="7" t="n"/>
      <c r="F50" s="11">
        <f>IF(OR(D50=1,E50=1),1,0)</f>
        <v/>
      </c>
      <c r="G50" s="11">
        <f>IF(F50=1,G49+1,0)</f>
        <v/>
      </c>
      <c r="H50" s="11">
        <f>IF(F50=1,H51+1,0)</f>
        <v/>
      </c>
      <c r="I50" s="11">
        <f>IF(AND(D50=1,E50=1),"もとから休み","")</f>
        <v/>
      </c>
      <c r="J50" s="11">
        <f>IF(F50=1,G50+H50-1,"")</f>
        <v/>
      </c>
      <c r="K50" s="11">
        <f>IF(D50=0,COUNTIF($D$7:D50,0),"")</f>
        <v/>
      </c>
    </row>
    <row r="51">
      <c r="A51" s="10">
        <f>DATE($B$2-1,12,1)+44</f>
        <v/>
      </c>
      <c r="B51" s="11">
        <f>TEXT(A51,"aaa")</f>
        <v/>
      </c>
      <c r="C51" s="12">
        <f>IFERROR(VLOOKUP(A51,'1_祝日'!$A$4:$B$83,2,FALSE),"")</f>
        <v/>
      </c>
      <c r="D51" s="11">
        <f>IF(OR(WEEKDAY(A51,2)&gt;=6,C51&lt;&gt;"",COUNTIF('1_祝日'!$D$4:$D$43,A51)&gt;0,AND($B$3=1,OR(AND(MONTH(A51)=12,DAY(A51)&gt;=29),AND(MONTH(A51)=1,DAY(A51)&lt;=3)))),1,0)</f>
        <v/>
      </c>
      <c r="E51" s="7" t="n"/>
      <c r="F51" s="11">
        <f>IF(OR(D51=1,E51=1),1,0)</f>
        <v/>
      </c>
      <c r="G51" s="11">
        <f>IF(F51=1,G50+1,0)</f>
        <v/>
      </c>
      <c r="H51" s="11">
        <f>IF(F51=1,H52+1,0)</f>
        <v/>
      </c>
      <c r="I51" s="11">
        <f>IF(AND(D51=1,E51=1),"もとから休み","")</f>
        <v/>
      </c>
      <c r="J51" s="11">
        <f>IF(F51=1,G51+H51-1,"")</f>
        <v/>
      </c>
      <c r="K51" s="11">
        <f>IF(D51=0,COUNTIF($D$7:D51,0),"")</f>
        <v/>
      </c>
    </row>
    <row r="52">
      <c r="A52" s="10">
        <f>DATE($B$2-1,12,1)+45</f>
        <v/>
      </c>
      <c r="B52" s="11">
        <f>TEXT(A52,"aaa")</f>
        <v/>
      </c>
      <c r="C52" s="12">
        <f>IFERROR(VLOOKUP(A52,'1_祝日'!$A$4:$B$83,2,FALSE),"")</f>
        <v/>
      </c>
      <c r="D52" s="11">
        <f>IF(OR(WEEKDAY(A52,2)&gt;=6,C52&lt;&gt;"",COUNTIF('1_祝日'!$D$4:$D$43,A52)&gt;0,AND($B$3=1,OR(AND(MONTH(A52)=12,DAY(A52)&gt;=29),AND(MONTH(A52)=1,DAY(A52)&lt;=3)))),1,0)</f>
        <v/>
      </c>
      <c r="E52" s="7" t="n"/>
      <c r="F52" s="11">
        <f>IF(OR(D52=1,E52=1),1,0)</f>
        <v/>
      </c>
      <c r="G52" s="11">
        <f>IF(F52=1,G51+1,0)</f>
        <v/>
      </c>
      <c r="H52" s="11">
        <f>IF(F52=1,H53+1,0)</f>
        <v/>
      </c>
      <c r="I52" s="11">
        <f>IF(AND(D52=1,E52=1),"もとから休み","")</f>
        <v/>
      </c>
      <c r="J52" s="11">
        <f>IF(F52=1,G52+H52-1,"")</f>
        <v/>
      </c>
      <c r="K52" s="11">
        <f>IF(D52=0,COUNTIF($D$7:D52,0),"")</f>
        <v/>
      </c>
    </row>
    <row r="53">
      <c r="A53" s="10">
        <f>DATE($B$2-1,12,1)+46</f>
        <v/>
      </c>
      <c r="B53" s="11">
        <f>TEXT(A53,"aaa")</f>
        <v/>
      </c>
      <c r="C53" s="12">
        <f>IFERROR(VLOOKUP(A53,'1_祝日'!$A$4:$B$83,2,FALSE),"")</f>
        <v/>
      </c>
      <c r="D53" s="11">
        <f>IF(OR(WEEKDAY(A53,2)&gt;=6,C53&lt;&gt;"",COUNTIF('1_祝日'!$D$4:$D$43,A53)&gt;0,AND($B$3=1,OR(AND(MONTH(A53)=12,DAY(A53)&gt;=29),AND(MONTH(A53)=1,DAY(A53)&lt;=3)))),1,0)</f>
        <v/>
      </c>
      <c r="E53" s="7" t="n"/>
      <c r="F53" s="11">
        <f>IF(OR(D53=1,E53=1),1,0)</f>
        <v/>
      </c>
      <c r="G53" s="11">
        <f>IF(F53=1,G52+1,0)</f>
        <v/>
      </c>
      <c r="H53" s="11">
        <f>IF(F53=1,H54+1,0)</f>
        <v/>
      </c>
      <c r="I53" s="11">
        <f>IF(AND(D53=1,E53=1),"もとから休み","")</f>
        <v/>
      </c>
      <c r="J53" s="11">
        <f>IF(F53=1,G53+H53-1,"")</f>
        <v/>
      </c>
      <c r="K53" s="11">
        <f>IF(D53=0,COUNTIF($D$7:D53,0),"")</f>
        <v/>
      </c>
    </row>
    <row r="54">
      <c r="A54" s="10">
        <f>DATE($B$2-1,12,1)+47</f>
        <v/>
      </c>
      <c r="B54" s="11">
        <f>TEXT(A54,"aaa")</f>
        <v/>
      </c>
      <c r="C54" s="12">
        <f>IFERROR(VLOOKUP(A54,'1_祝日'!$A$4:$B$83,2,FALSE),"")</f>
        <v/>
      </c>
      <c r="D54" s="11">
        <f>IF(OR(WEEKDAY(A54,2)&gt;=6,C54&lt;&gt;"",COUNTIF('1_祝日'!$D$4:$D$43,A54)&gt;0,AND($B$3=1,OR(AND(MONTH(A54)=12,DAY(A54)&gt;=29),AND(MONTH(A54)=1,DAY(A54)&lt;=3)))),1,0)</f>
        <v/>
      </c>
      <c r="E54" s="7" t="n"/>
      <c r="F54" s="11">
        <f>IF(OR(D54=1,E54=1),1,0)</f>
        <v/>
      </c>
      <c r="G54" s="11">
        <f>IF(F54=1,G53+1,0)</f>
        <v/>
      </c>
      <c r="H54" s="11">
        <f>IF(F54=1,H55+1,0)</f>
        <v/>
      </c>
      <c r="I54" s="11">
        <f>IF(AND(D54=1,E54=1),"もとから休み","")</f>
        <v/>
      </c>
      <c r="J54" s="11">
        <f>IF(F54=1,G54+H54-1,"")</f>
        <v/>
      </c>
      <c r="K54" s="11">
        <f>IF(D54=0,COUNTIF($D$7:D54,0),"")</f>
        <v/>
      </c>
    </row>
    <row r="55">
      <c r="A55" s="10">
        <f>DATE($B$2-1,12,1)+48</f>
        <v/>
      </c>
      <c r="B55" s="11">
        <f>TEXT(A55,"aaa")</f>
        <v/>
      </c>
      <c r="C55" s="12">
        <f>IFERROR(VLOOKUP(A55,'1_祝日'!$A$4:$B$83,2,FALSE),"")</f>
        <v/>
      </c>
      <c r="D55" s="11">
        <f>IF(OR(WEEKDAY(A55,2)&gt;=6,C55&lt;&gt;"",COUNTIF('1_祝日'!$D$4:$D$43,A55)&gt;0,AND($B$3=1,OR(AND(MONTH(A55)=12,DAY(A55)&gt;=29),AND(MONTH(A55)=1,DAY(A55)&lt;=3)))),1,0)</f>
        <v/>
      </c>
      <c r="E55" s="7" t="n"/>
      <c r="F55" s="11">
        <f>IF(OR(D55=1,E55=1),1,0)</f>
        <v/>
      </c>
      <c r="G55" s="11">
        <f>IF(F55=1,G54+1,0)</f>
        <v/>
      </c>
      <c r="H55" s="11">
        <f>IF(F55=1,H56+1,0)</f>
        <v/>
      </c>
      <c r="I55" s="11">
        <f>IF(AND(D55=1,E55=1),"もとから休み","")</f>
        <v/>
      </c>
      <c r="J55" s="11">
        <f>IF(F55=1,G55+H55-1,"")</f>
        <v/>
      </c>
      <c r="K55" s="11">
        <f>IF(D55=0,COUNTIF($D$7:D55,0),"")</f>
        <v/>
      </c>
    </row>
    <row r="56">
      <c r="A56" s="10">
        <f>DATE($B$2-1,12,1)+49</f>
        <v/>
      </c>
      <c r="B56" s="11">
        <f>TEXT(A56,"aaa")</f>
        <v/>
      </c>
      <c r="C56" s="12">
        <f>IFERROR(VLOOKUP(A56,'1_祝日'!$A$4:$B$83,2,FALSE),"")</f>
        <v/>
      </c>
      <c r="D56" s="11">
        <f>IF(OR(WEEKDAY(A56,2)&gt;=6,C56&lt;&gt;"",COUNTIF('1_祝日'!$D$4:$D$43,A56)&gt;0,AND($B$3=1,OR(AND(MONTH(A56)=12,DAY(A56)&gt;=29),AND(MONTH(A56)=1,DAY(A56)&lt;=3)))),1,0)</f>
        <v/>
      </c>
      <c r="E56" s="7" t="n"/>
      <c r="F56" s="11">
        <f>IF(OR(D56=1,E56=1),1,0)</f>
        <v/>
      </c>
      <c r="G56" s="11">
        <f>IF(F56=1,G55+1,0)</f>
        <v/>
      </c>
      <c r="H56" s="11">
        <f>IF(F56=1,H57+1,0)</f>
        <v/>
      </c>
      <c r="I56" s="11">
        <f>IF(AND(D56=1,E56=1),"もとから休み","")</f>
        <v/>
      </c>
      <c r="J56" s="11">
        <f>IF(F56=1,G56+H56-1,"")</f>
        <v/>
      </c>
      <c r="K56" s="11">
        <f>IF(D56=0,COUNTIF($D$7:D56,0),"")</f>
        <v/>
      </c>
    </row>
    <row r="57">
      <c r="A57" s="10">
        <f>DATE($B$2-1,12,1)+50</f>
        <v/>
      </c>
      <c r="B57" s="11">
        <f>TEXT(A57,"aaa")</f>
        <v/>
      </c>
      <c r="C57" s="12">
        <f>IFERROR(VLOOKUP(A57,'1_祝日'!$A$4:$B$83,2,FALSE),"")</f>
        <v/>
      </c>
      <c r="D57" s="11">
        <f>IF(OR(WEEKDAY(A57,2)&gt;=6,C57&lt;&gt;"",COUNTIF('1_祝日'!$D$4:$D$43,A57)&gt;0,AND($B$3=1,OR(AND(MONTH(A57)=12,DAY(A57)&gt;=29),AND(MONTH(A57)=1,DAY(A57)&lt;=3)))),1,0)</f>
        <v/>
      </c>
      <c r="E57" s="7" t="n"/>
      <c r="F57" s="11">
        <f>IF(OR(D57=1,E57=1),1,0)</f>
        <v/>
      </c>
      <c r="G57" s="11">
        <f>IF(F57=1,G56+1,0)</f>
        <v/>
      </c>
      <c r="H57" s="11">
        <f>IF(F57=1,H58+1,0)</f>
        <v/>
      </c>
      <c r="I57" s="11">
        <f>IF(AND(D57=1,E57=1),"もとから休み","")</f>
        <v/>
      </c>
      <c r="J57" s="11">
        <f>IF(F57=1,G57+H57-1,"")</f>
        <v/>
      </c>
      <c r="K57" s="11">
        <f>IF(D57=0,COUNTIF($D$7:D57,0),"")</f>
        <v/>
      </c>
    </row>
    <row r="58">
      <c r="A58" s="10">
        <f>DATE($B$2-1,12,1)+51</f>
        <v/>
      </c>
      <c r="B58" s="11">
        <f>TEXT(A58,"aaa")</f>
        <v/>
      </c>
      <c r="C58" s="12">
        <f>IFERROR(VLOOKUP(A58,'1_祝日'!$A$4:$B$83,2,FALSE),"")</f>
        <v/>
      </c>
      <c r="D58" s="11">
        <f>IF(OR(WEEKDAY(A58,2)&gt;=6,C58&lt;&gt;"",COUNTIF('1_祝日'!$D$4:$D$43,A58)&gt;0,AND($B$3=1,OR(AND(MONTH(A58)=12,DAY(A58)&gt;=29),AND(MONTH(A58)=1,DAY(A58)&lt;=3)))),1,0)</f>
        <v/>
      </c>
      <c r="E58" s="7" t="n"/>
      <c r="F58" s="11">
        <f>IF(OR(D58=1,E58=1),1,0)</f>
        <v/>
      </c>
      <c r="G58" s="11">
        <f>IF(F58=1,G57+1,0)</f>
        <v/>
      </c>
      <c r="H58" s="11">
        <f>IF(F58=1,H59+1,0)</f>
        <v/>
      </c>
      <c r="I58" s="11">
        <f>IF(AND(D58=1,E58=1),"もとから休み","")</f>
        <v/>
      </c>
      <c r="J58" s="11">
        <f>IF(F58=1,G58+H58-1,"")</f>
        <v/>
      </c>
      <c r="K58" s="11">
        <f>IF(D58=0,COUNTIF($D$7:D58,0),"")</f>
        <v/>
      </c>
    </row>
    <row r="59">
      <c r="A59" s="10">
        <f>DATE($B$2-1,12,1)+52</f>
        <v/>
      </c>
      <c r="B59" s="11">
        <f>TEXT(A59,"aaa")</f>
        <v/>
      </c>
      <c r="C59" s="12">
        <f>IFERROR(VLOOKUP(A59,'1_祝日'!$A$4:$B$83,2,FALSE),"")</f>
        <v/>
      </c>
      <c r="D59" s="11">
        <f>IF(OR(WEEKDAY(A59,2)&gt;=6,C59&lt;&gt;"",COUNTIF('1_祝日'!$D$4:$D$43,A59)&gt;0,AND($B$3=1,OR(AND(MONTH(A59)=12,DAY(A59)&gt;=29),AND(MONTH(A59)=1,DAY(A59)&lt;=3)))),1,0)</f>
        <v/>
      </c>
      <c r="E59" s="7" t="n"/>
      <c r="F59" s="11">
        <f>IF(OR(D59=1,E59=1),1,0)</f>
        <v/>
      </c>
      <c r="G59" s="11">
        <f>IF(F59=1,G58+1,0)</f>
        <v/>
      </c>
      <c r="H59" s="11">
        <f>IF(F59=1,H60+1,0)</f>
        <v/>
      </c>
      <c r="I59" s="11">
        <f>IF(AND(D59=1,E59=1),"もとから休み","")</f>
        <v/>
      </c>
      <c r="J59" s="11">
        <f>IF(F59=1,G59+H59-1,"")</f>
        <v/>
      </c>
      <c r="K59" s="11">
        <f>IF(D59=0,COUNTIF($D$7:D59,0),"")</f>
        <v/>
      </c>
    </row>
    <row r="60">
      <c r="A60" s="10">
        <f>DATE($B$2-1,12,1)+53</f>
        <v/>
      </c>
      <c r="B60" s="11">
        <f>TEXT(A60,"aaa")</f>
        <v/>
      </c>
      <c r="C60" s="12">
        <f>IFERROR(VLOOKUP(A60,'1_祝日'!$A$4:$B$83,2,FALSE),"")</f>
        <v/>
      </c>
      <c r="D60" s="11">
        <f>IF(OR(WEEKDAY(A60,2)&gt;=6,C60&lt;&gt;"",COUNTIF('1_祝日'!$D$4:$D$43,A60)&gt;0,AND($B$3=1,OR(AND(MONTH(A60)=12,DAY(A60)&gt;=29),AND(MONTH(A60)=1,DAY(A60)&lt;=3)))),1,0)</f>
        <v/>
      </c>
      <c r="E60" s="7" t="n"/>
      <c r="F60" s="11">
        <f>IF(OR(D60=1,E60=1),1,0)</f>
        <v/>
      </c>
      <c r="G60" s="11">
        <f>IF(F60=1,G59+1,0)</f>
        <v/>
      </c>
      <c r="H60" s="11">
        <f>IF(F60=1,H61+1,0)</f>
        <v/>
      </c>
      <c r="I60" s="11">
        <f>IF(AND(D60=1,E60=1),"もとから休み","")</f>
        <v/>
      </c>
      <c r="J60" s="11">
        <f>IF(F60=1,G60+H60-1,"")</f>
        <v/>
      </c>
      <c r="K60" s="11">
        <f>IF(D60=0,COUNTIF($D$7:D60,0),"")</f>
        <v/>
      </c>
    </row>
    <row r="61">
      <c r="A61" s="10">
        <f>DATE($B$2-1,12,1)+54</f>
        <v/>
      </c>
      <c r="B61" s="11">
        <f>TEXT(A61,"aaa")</f>
        <v/>
      </c>
      <c r="C61" s="12">
        <f>IFERROR(VLOOKUP(A61,'1_祝日'!$A$4:$B$83,2,FALSE),"")</f>
        <v/>
      </c>
      <c r="D61" s="11">
        <f>IF(OR(WEEKDAY(A61,2)&gt;=6,C61&lt;&gt;"",COUNTIF('1_祝日'!$D$4:$D$43,A61)&gt;0,AND($B$3=1,OR(AND(MONTH(A61)=12,DAY(A61)&gt;=29),AND(MONTH(A61)=1,DAY(A61)&lt;=3)))),1,0)</f>
        <v/>
      </c>
      <c r="E61" s="7" t="n"/>
      <c r="F61" s="11">
        <f>IF(OR(D61=1,E61=1),1,0)</f>
        <v/>
      </c>
      <c r="G61" s="11">
        <f>IF(F61=1,G60+1,0)</f>
        <v/>
      </c>
      <c r="H61" s="11">
        <f>IF(F61=1,H62+1,0)</f>
        <v/>
      </c>
      <c r="I61" s="11">
        <f>IF(AND(D61=1,E61=1),"もとから休み","")</f>
        <v/>
      </c>
      <c r="J61" s="11">
        <f>IF(F61=1,G61+H61-1,"")</f>
        <v/>
      </c>
      <c r="K61" s="11">
        <f>IF(D61=0,COUNTIF($D$7:D61,0),"")</f>
        <v/>
      </c>
    </row>
    <row r="62">
      <c r="A62" s="10">
        <f>DATE($B$2-1,12,1)+55</f>
        <v/>
      </c>
      <c r="B62" s="11">
        <f>TEXT(A62,"aaa")</f>
        <v/>
      </c>
      <c r="C62" s="12">
        <f>IFERROR(VLOOKUP(A62,'1_祝日'!$A$4:$B$83,2,FALSE),"")</f>
        <v/>
      </c>
      <c r="D62" s="11">
        <f>IF(OR(WEEKDAY(A62,2)&gt;=6,C62&lt;&gt;"",COUNTIF('1_祝日'!$D$4:$D$43,A62)&gt;0,AND($B$3=1,OR(AND(MONTH(A62)=12,DAY(A62)&gt;=29),AND(MONTH(A62)=1,DAY(A62)&lt;=3)))),1,0)</f>
        <v/>
      </c>
      <c r="E62" s="7" t="n"/>
      <c r="F62" s="11">
        <f>IF(OR(D62=1,E62=1),1,0)</f>
        <v/>
      </c>
      <c r="G62" s="11">
        <f>IF(F62=1,G61+1,0)</f>
        <v/>
      </c>
      <c r="H62" s="11">
        <f>IF(F62=1,H63+1,0)</f>
        <v/>
      </c>
      <c r="I62" s="11">
        <f>IF(AND(D62=1,E62=1),"もとから休み","")</f>
        <v/>
      </c>
      <c r="J62" s="11">
        <f>IF(F62=1,G62+H62-1,"")</f>
        <v/>
      </c>
      <c r="K62" s="11">
        <f>IF(D62=0,COUNTIF($D$7:D62,0),"")</f>
        <v/>
      </c>
    </row>
    <row r="63">
      <c r="A63" s="10">
        <f>DATE($B$2-1,12,1)+56</f>
        <v/>
      </c>
      <c r="B63" s="11">
        <f>TEXT(A63,"aaa")</f>
        <v/>
      </c>
      <c r="C63" s="12">
        <f>IFERROR(VLOOKUP(A63,'1_祝日'!$A$4:$B$83,2,FALSE),"")</f>
        <v/>
      </c>
      <c r="D63" s="11">
        <f>IF(OR(WEEKDAY(A63,2)&gt;=6,C63&lt;&gt;"",COUNTIF('1_祝日'!$D$4:$D$43,A63)&gt;0,AND($B$3=1,OR(AND(MONTH(A63)=12,DAY(A63)&gt;=29),AND(MONTH(A63)=1,DAY(A63)&lt;=3)))),1,0)</f>
        <v/>
      </c>
      <c r="E63" s="7" t="n"/>
      <c r="F63" s="11">
        <f>IF(OR(D63=1,E63=1),1,0)</f>
        <v/>
      </c>
      <c r="G63" s="11">
        <f>IF(F63=1,G62+1,0)</f>
        <v/>
      </c>
      <c r="H63" s="11">
        <f>IF(F63=1,H64+1,0)</f>
        <v/>
      </c>
      <c r="I63" s="11">
        <f>IF(AND(D63=1,E63=1),"もとから休み","")</f>
        <v/>
      </c>
      <c r="J63" s="11">
        <f>IF(F63=1,G63+H63-1,"")</f>
        <v/>
      </c>
      <c r="K63" s="11">
        <f>IF(D63=0,COUNTIF($D$7:D63,0),"")</f>
        <v/>
      </c>
    </row>
    <row r="64">
      <c r="A64" s="10">
        <f>DATE($B$2-1,12,1)+57</f>
        <v/>
      </c>
      <c r="B64" s="11">
        <f>TEXT(A64,"aaa")</f>
        <v/>
      </c>
      <c r="C64" s="12">
        <f>IFERROR(VLOOKUP(A64,'1_祝日'!$A$4:$B$83,2,FALSE),"")</f>
        <v/>
      </c>
      <c r="D64" s="11">
        <f>IF(OR(WEEKDAY(A64,2)&gt;=6,C64&lt;&gt;"",COUNTIF('1_祝日'!$D$4:$D$43,A64)&gt;0,AND($B$3=1,OR(AND(MONTH(A64)=12,DAY(A64)&gt;=29),AND(MONTH(A64)=1,DAY(A64)&lt;=3)))),1,0)</f>
        <v/>
      </c>
      <c r="E64" s="7" t="n"/>
      <c r="F64" s="11">
        <f>IF(OR(D64=1,E64=1),1,0)</f>
        <v/>
      </c>
      <c r="G64" s="11">
        <f>IF(F64=1,G63+1,0)</f>
        <v/>
      </c>
      <c r="H64" s="11">
        <f>IF(F64=1,H65+1,0)</f>
        <v/>
      </c>
      <c r="I64" s="11">
        <f>IF(AND(D64=1,E64=1),"もとから休み","")</f>
        <v/>
      </c>
      <c r="J64" s="11">
        <f>IF(F64=1,G64+H64-1,"")</f>
        <v/>
      </c>
      <c r="K64" s="11">
        <f>IF(D64=0,COUNTIF($D$7:D64,0),"")</f>
        <v/>
      </c>
    </row>
    <row r="65">
      <c r="A65" s="10">
        <f>DATE($B$2-1,12,1)+58</f>
        <v/>
      </c>
      <c r="B65" s="11">
        <f>TEXT(A65,"aaa")</f>
        <v/>
      </c>
      <c r="C65" s="12">
        <f>IFERROR(VLOOKUP(A65,'1_祝日'!$A$4:$B$83,2,FALSE),"")</f>
        <v/>
      </c>
      <c r="D65" s="11">
        <f>IF(OR(WEEKDAY(A65,2)&gt;=6,C65&lt;&gt;"",COUNTIF('1_祝日'!$D$4:$D$43,A65)&gt;0,AND($B$3=1,OR(AND(MONTH(A65)=12,DAY(A65)&gt;=29),AND(MONTH(A65)=1,DAY(A65)&lt;=3)))),1,0)</f>
        <v/>
      </c>
      <c r="E65" s="7" t="n"/>
      <c r="F65" s="11">
        <f>IF(OR(D65=1,E65=1),1,0)</f>
        <v/>
      </c>
      <c r="G65" s="11">
        <f>IF(F65=1,G64+1,0)</f>
        <v/>
      </c>
      <c r="H65" s="11">
        <f>IF(F65=1,H66+1,0)</f>
        <v/>
      </c>
      <c r="I65" s="11">
        <f>IF(AND(D65=1,E65=1),"もとから休み","")</f>
        <v/>
      </c>
      <c r="J65" s="11">
        <f>IF(F65=1,G65+H65-1,"")</f>
        <v/>
      </c>
      <c r="K65" s="11">
        <f>IF(D65=0,COUNTIF($D$7:D65,0),"")</f>
        <v/>
      </c>
    </row>
    <row r="66">
      <c r="A66" s="10">
        <f>DATE($B$2-1,12,1)+59</f>
        <v/>
      </c>
      <c r="B66" s="11">
        <f>TEXT(A66,"aaa")</f>
        <v/>
      </c>
      <c r="C66" s="12">
        <f>IFERROR(VLOOKUP(A66,'1_祝日'!$A$4:$B$83,2,FALSE),"")</f>
        <v/>
      </c>
      <c r="D66" s="11">
        <f>IF(OR(WEEKDAY(A66,2)&gt;=6,C66&lt;&gt;"",COUNTIF('1_祝日'!$D$4:$D$43,A66)&gt;0,AND($B$3=1,OR(AND(MONTH(A66)=12,DAY(A66)&gt;=29),AND(MONTH(A66)=1,DAY(A66)&lt;=3)))),1,0)</f>
        <v/>
      </c>
      <c r="E66" s="7" t="n"/>
      <c r="F66" s="11">
        <f>IF(OR(D66=1,E66=1),1,0)</f>
        <v/>
      </c>
      <c r="G66" s="11">
        <f>IF(F66=1,G65+1,0)</f>
        <v/>
      </c>
      <c r="H66" s="11">
        <f>IF(F66=1,H67+1,0)</f>
        <v/>
      </c>
      <c r="I66" s="11">
        <f>IF(AND(D66=1,E66=1),"もとから休み","")</f>
        <v/>
      </c>
      <c r="J66" s="11">
        <f>IF(F66=1,G66+H66-1,"")</f>
        <v/>
      </c>
      <c r="K66" s="11">
        <f>IF(D66=0,COUNTIF($D$7:D66,0),"")</f>
        <v/>
      </c>
    </row>
    <row r="67">
      <c r="A67" s="10">
        <f>DATE($B$2-1,12,1)+60</f>
        <v/>
      </c>
      <c r="B67" s="11">
        <f>TEXT(A67,"aaa")</f>
        <v/>
      </c>
      <c r="C67" s="12">
        <f>IFERROR(VLOOKUP(A67,'1_祝日'!$A$4:$B$83,2,FALSE),"")</f>
        <v/>
      </c>
      <c r="D67" s="11">
        <f>IF(OR(WEEKDAY(A67,2)&gt;=6,C67&lt;&gt;"",COUNTIF('1_祝日'!$D$4:$D$43,A67)&gt;0,AND($B$3=1,OR(AND(MONTH(A67)=12,DAY(A67)&gt;=29),AND(MONTH(A67)=1,DAY(A67)&lt;=3)))),1,0)</f>
        <v/>
      </c>
      <c r="E67" s="7" t="n"/>
      <c r="F67" s="11">
        <f>IF(OR(D67=1,E67=1),1,0)</f>
        <v/>
      </c>
      <c r="G67" s="11">
        <f>IF(F67=1,G66+1,0)</f>
        <v/>
      </c>
      <c r="H67" s="11">
        <f>IF(F67=1,H68+1,0)</f>
        <v/>
      </c>
      <c r="I67" s="11">
        <f>IF(AND(D67=1,E67=1),"もとから休み","")</f>
        <v/>
      </c>
      <c r="J67" s="11">
        <f>IF(F67=1,G67+H67-1,"")</f>
        <v/>
      </c>
      <c r="K67" s="11">
        <f>IF(D67=0,COUNTIF($D$7:D67,0),"")</f>
        <v/>
      </c>
    </row>
    <row r="68">
      <c r="A68" s="10">
        <f>DATE($B$2-1,12,1)+61</f>
        <v/>
      </c>
      <c r="B68" s="11">
        <f>TEXT(A68,"aaa")</f>
        <v/>
      </c>
      <c r="C68" s="12">
        <f>IFERROR(VLOOKUP(A68,'1_祝日'!$A$4:$B$83,2,FALSE),"")</f>
        <v/>
      </c>
      <c r="D68" s="11">
        <f>IF(OR(WEEKDAY(A68,2)&gt;=6,C68&lt;&gt;"",COUNTIF('1_祝日'!$D$4:$D$43,A68)&gt;0,AND($B$3=1,OR(AND(MONTH(A68)=12,DAY(A68)&gt;=29),AND(MONTH(A68)=1,DAY(A68)&lt;=3)))),1,0)</f>
        <v/>
      </c>
      <c r="E68" s="7" t="n"/>
      <c r="F68" s="11">
        <f>IF(OR(D68=1,E68=1),1,0)</f>
        <v/>
      </c>
      <c r="G68" s="11">
        <f>IF(F68=1,G67+1,0)</f>
        <v/>
      </c>
      <c r="H68" s="11">
        <f>IF(F68=1,H69+1,0)</f>
        <v/>
      </c>
      <c r="I68" s="11">
        <f>IF(AND(D68=1,E68=1),"もとから休み","")</f>
        <v/>
      </c>
      <c r="J68" s="11">
        <f>IF(F68=1,G68+H68-1,"")</f>
        <v/>
      </c>
      <c r="K68" s="11">
        <f>IF(D68=0,COUNTIF($D$7:D68,0),"")</f>
        <v/>
      </c>
    </row>
    <row r="69">
      <c r="A69" s="10">
        <f>DATE($B$2-1,12,1)+62</f>
        <v/>
      </c>
      <c r="B69" s="11">
        <f>TEXT(A69,"aaa")</f>
        <v/>
      </c>
      <c r="C69" s="12">
        <f>IFERROR(VLOOKUP(A69,'1_祝日'!$A$4:$B$83,2,FALSE),"")</f>
        <v/>
      </c>
      <c r="D69" s="11">
        <f>IF(OR(WEEKDAY(A69,2)&gt;=6,C69&lt;&gt;"",COUNTIF('1_祝日'!$D$4:$D$43,A69)&gt;0,AND($B$3=1,OR(AND(MONTH(A69)=12,DAY(A69)&gt;=29),AND(MONTH(A69)=1,DAY(A69)&lt;=3)))),1,0)</f>
        <v/>
      </c>
      <c r="E69" s="7" t="n"/>
      <c r="F69" s="11">
        <f>IF(OR(D69=1,E69=1),1,0)</f>
        <v/>
      </c>
      <c r="G69" s="11">
        <f>IF(F69=1,G68+1,0)</f>
        <v/>
      </c>
      <c r="H69" s="11">
        <f>IF(F69=1,H70+1,0)</f>
        <v/>
      </c>
      <c r="I69" s="11">
        <f>IF(AND(D69=1,E69=1),"もとから休み","")</f>
        <v/>
      </c>
      <c r="J69" s="11">
        <f>IF(F69=1,G69+H69-1,"")</f>
        <v/>
      </c>
      <c r="K69" s="11">
        <f>IF(D69=0,COUNTIF($D$7:D69,0),"")</f>
        <v/>
      </c>
    </row>
    <row r="70">
      <c r="A70" s="10">
        <f>DATE($B$2-1,12,1)+63</f>
        <v/>
      </c>
      <c r="B70" s="11">
        <f>TEXT(A70,"aaa")</f>
        <v/>
      </c>
      <c r="C70" s="12">
        <f>IFERROR(VLOOKUP(A70,'1_祝日'!$A$4:$B$83,2,FALSE),"")</f>
        <v/>
      </c>
      <c r="D70" s="11">
        <f>IF(OR(WEEKDAY(A70,2)&gt;=6,C70&lt;&gt;"",COUNTIF('1_祝日'!$D$4:$D$43,A70)&gt;0,AND($B$3=1,OR(AND(MONTH(A70)=12,DAY(A70)&gt;=29),AND(MONTH(A70)=1,DAY(A70)&lt;=3)))),1,0)</f>
        <v/>
      </c>
      <c r="E70" s="7" t="n"/>
      <c r="F70" s="11">
        <f>IF(OR(D70=1,E70=1),1,0)</f>
        <v/>
      </c>
      <c r="G70" s="11">
        <f>IF(F70=1,G69+1,0)</f>
        <v/>
      </c>
      <c r="H70" s="11">
        <f>IF(F70=1,H71+1,0)</f>
        <v/>
      </c>
      <c r="I70" s="11">
        <f>IF(AND(D70=1,E70=1),"もとから休み","")</f>
        <v/>
      </c>
      <c r="J70" s="11">
        <f>IF(F70=1,G70+H70-1,"")</f>
        <v/>
      </c>
      <c r="K70" s="11">
        <f>IF(D70=0,COUNTIF($D$7:D70,0),"")</f>
        <v/>
      </c>
    </row>
    <row r="71">
      <c r="A71" s="10">
        <f>DATE($B$2-1,12,1)+64</f>
        <v/>
      </c>
      <c r="B71" s="11">
        <f>TEXT(A71,"aaa")</f>
        <v/>
      </c>
      <c r="C71" s="12">
        <f>IFERROR(VLOOKUP(A71,'1_祝日'!$A$4:$B$83,2,FALSE),"")</f>
        <v/>
      </c>
      <c r="D71" s="11">
        <f>IF(OR(WEEKDAY(A71,2)&gt;=6,C71&lt;&gt;"",COUNTIF('1_祝日'!$D$4:$D$43,A71)&gt;0,AND($B$3=1,OR(AND(MONTH(A71)=12,DAY(A71)&gt;=29),AND(MONTH(A71)=1,DAY(A71)&lt;=3)))),1,0)</f>
        <v/>
      </c>
      <c r="E71" s="7" t="n"/>
      <c r="F71" s="11">
        <f>IF(OR(D71=1,E71=1),1,0)</f>
        <v/>
      </c>
      <c r="G71" s="11">
        <f>IF(F71=1,G70+1,0)</f>
        <v/>
      </c>
      <c r="H71" s="11">
        <f>IF(F71=1,H72+1,0)</f>
        <v/>
      </c>
      <c r="I71" s="11">
        <f>IF(AND(D71=1,E71=1),"もとから休み","")</f>
        <v/>
      </c>
      <c r="J71" s="11">
        <f>IF(F71=1,G71+H71-1,"")</f>
        <v/>
      </c>
      <c r="K71" s="11">
        <f>IF(D71=0,COUNTIF($D$7:D71,0),"")</f>
        <v/>
      </c>
    </row>
    <row r="72">
      <c r="A72" s="10">
        <f>DATE($B$2-1,12,1)+65</f>
        <v/>
      </c>
      <c r="B72" s="11">
        <f>TEXT(A72,"aaa")</f>
        <v/>
      </c>
      <c r="C72" s="12">
        <f>IFERROR(VLOOKUP(A72,'1_祝日'!$A$4:$B$83,2,FALSE),"")</f>
        <v/>
      </c>
      <c r="D72" s="11">
        <f>IF(OR(WEEKDAY(A72,2)&gt;=6,C72&lt;&gt;"",COUNTIF('1_祝日'!$D$4:$D$43,A72)&gt;0,AND($B$3=1,OR(AND(MONTH(A72)=12,DAY(A72)&gt;=29),AND(MONTH(A72)=1,DAY(A72)&lt;=3)))),1,0)</f>
        <v/>
      </c>
      <c r="E72" s="7" t="n"/>
      <c r="F72" s="11">
        <f>IF(OR(D72=1,E72=1),1,0)</f>
        <v/>
      </c>
      <c r="G72" s="11">
        <f>IF(F72=1,G71+1,0)</f>
        <v/>
      </c>
      <c r="H72" s="11">
        <f>IF(F72=1,H73+1,0)</f>
        <v/>
      </c>
      <c r="I72" s="11">
        <f>IF(AND(D72=1,E72=1),"もとから休み","")</f>
        <v/>
      </c>
      <c r="J72" s="11">
        <f>IF(F72=1,G72+H72-1,"")</f>
        <v/>
      </c>
      <c r="K72" s="11">
        <f>IF(D72=0,COUNTIF($D$7:D72,0),"")</f>
        <v/>
      </c>
    </row>
    <row r="73">
      <c r="A73" s="10">
        <f>DATE($B$2-1,12,1)+66</f>
        <v/>
      </c>
      <c r="B73" s="11">
        <f>TEXT(A73,"aaa")</f>
        <v/>
      </c>
      <c r="C73" s="12">
        <f>IFERROR(VLOOKUP(A73,'1_祝日'!$A$4:$B$83,2,FALSE),"")</f>
        <v/>
      </c>
      <c r="D73" s="11">
        <f>IF(OR(WEEKDAY(A73,2)&gt;=6,C73&lt;&gt;"",COUNTIF('1_祝日'!$D$4:$D$43,A73)&gt;0,AND($B$3=1,OR(AND(MONTH(A73)=12,DAY(A73)&gt;=29),AND(MONTH(A73)=1,DAY(A73)&lt;=3)))),1,0)</f>
        <v/>
      </c>
      <c r="E73" s="7" t="n"/>
      <c r="F73" s="11">
        <f>IF(OR(D73=1,E73=1),1,0)</f>
        <v/>
      </c>
      <c r="G73" s="11">
        <f>IF(F73=1,G72+1,0)</f>
        <v/>
      </c>
      <c r="H73" s="11">
        <f>IF(F73=1,H74+1,0)</f>
        <v/>
      </c>
      <c r="I73" s="11">
        <f>IF(AND(D73=1,E73=1),"もとから休み","")</f>
        <v/>
      </c>
      <c r="J73" s="11">
        <f>IF(F73=1,G73+H73-1,"")</f>
        <v/>
      </c>
      <c r="K73" s="11">
        <f>IF(D73=0,COUNTIF($D$7:D73,0),"")</f>
        <v/>
      </c>
    </row>
    <row r="74">
      <c r="A74" s="10">
        <f>DATE($B$2-1,12,1)+67</f>
        <v/>
      </c>
      <c r="B74" s="11">
        <f>TEXT(A74,"aaa")</f>
        <v/>
      </c>
      <c r="C74" s="12">
        <f>IFERROR(VLOOKUP(A74,'1_祝日'!$A$4:$B$83,2,FALSE),"")</f>
        <v/>
      </c>
      <c r="D74" s="11">
        <f>IF(OR(WEEKDAY(A74,2)&gt;=6,C74&lt;&gt;"",COUNTIF('1_祝日'!$D$4:$D$43,A74)&gt;0,AND($B$3=1,OR(AND(MONTH(A74)=12,DAY(A74)&gt;=29),AND(MONTH(A74)=1,DAY(A74)&lt;=3)))),1,0)</f>
        <v/>
      </c>
      <c r="E74" s="7" t="n"/>
      <c r="F74" s="11">
        <f>IF(OR(D74=1,E74=1),1,0)</f>
        <v/>
      </c>
      <c r="G74" s="11">
        <f>IF(F74=1,G73+1,0)</f>
        <v/>
      </c>
      <c r="H74" s="11">
        <f>IF(F74=1,H75+1,0)</f>
        <v/>
      </c>
      <c r="I74" s="11">
        <f>IF(AND(D74=1,E74=1),"もとから休み","")</f>
        <v/>
      </c>
      <c r="J74" s="11">
        <f>IF(F74=1,G74+H74-1,"")</f>
        <v/>
      </c>
      <c r="K74" s="11">
        <f>IF(D74=0,COUNTIF($D$7:D74,0),"")</f>
        <v/>
      </c>
    </row>
    <row r="75">
      <c r="A75" s="10">
        <f>DATE($B$2-1,12,1)+68</f>
        <v/>
      </c>
      <c r="B75" s="11">
        <f>TEXT(A75,"aaa")</f>
        <v/>
      </c>
      <c r="C75" s="12">
        <f>IFERROR(VLOOKUP(A75,'1_祝日'!$A$4:$B$83,2,FALSE),"")</f>
        <v/>
      </c>
      <c r="D75" s="11">
        <f>IF(OR(WEEKDAY(A75,2)&gt;=6,C75&lt;&gt;"",COUNTIF('1_祝日'!$D$4:$D$43,A75)&gt;0,AND($B$3=1,OR(AND(MONTH(A75)=12,DAY(A75)&gt;=29),AND(MONTH(A75)=1,DAY(A75)&lt;=3)))),1,0)</f>
        <v/>
      </c>
      <c r="E75" s="7" t="n"/>
      <c r="F75" s="11">
        <f>IF(OR(D75=1,E75=1),1,0)</f>
        <v/>
      </c>
      <c r="G75" s="11">
        <f>IF(F75=1,G74+1,0)</f>
        <v/>
      </c>
      <c r="H75" s="11">
        <f>IF(F75=1,H76+1,0)</f>
        <v/>
      </c>
      <c r="I75" s="11">
        <f>IF(AND(D75=1,E75=1),"もとから休み","")</f>
        <v/>
      </c>
      <c r="J75" s="11">
        <f>IF(F75=1,G75+H75-1,"")</f>
        <v/>
      </c>
      <c r="K75" s="11">
        <f>IF(D75=0,COUNTIF($D$7:D75,0),"")</f>
        <v/>
      </c>
    </row>
    <row r="76">
      <c r="A76" s="10">
        <f>DATE($B$2-1,12,1)+69</f>
        <v/>
      </c>
      <c r="B76" s="11">
        <f>TEXT(A76,"aaa")</f>
        <v/>
      </c>
      <c r="C76" s="12">
        <f>IFERROR(VLOOKUP(A76,'1_祝日'!$A$4:$B$83,2,FALSE),"")</f>
        <v/>
      </c>
      <c r="D76" s="11">
        <f>IF(OR(WEEKDAY(A76,2)&gt;=6,C76&lt;&gt;"",COUNTIF('1_祝日'!$D$4:$D$43,A76)&gt;0,AND($B$3=1,OR(AND(MONTH(A76)=12,DAY(A76)&gt;=29),AND(MONTH(A76)=1,DAY(A76)&lt;=3)))),1,0)</f>
        <v/>
      </c>
      <c r="E76" s="7" t="n"/>
      <c r="F76" s="11">
        <f>IF(OR(D76=1,E76=1),1,0)</f>
        <v/>
      </c>
      <c r="G76" s="11">
        <f>IF(F76=1,G75+1,0)</f>
        <v/>
      </c>
      <c r="H76" s="11">
        <f>IF(F76=1,H77+1,0)</f>
        <v/>
      </c>
      <c r="I76" s="11">
        <f>IF(AND(D76=1,E76=1),"もとから休み","")</f>
        <v/>
      </c>
      <c r="J76" s="11">
        <f>IF(F76=1,G76+H76-1,"")</f>
        <v/>
      </c>
      <c r="K76" s="11">
        <f>IF(D76=0,COUNTIF($D$7:D76,0),"")</f>
        <v/>
      </c>
    </row>
    <row r="77">
      <c r="A77" s="10">
        <f>DATE($B$2-1,12,1)+70</f>
        <v/>
      </c>
      <c r="B77" s="11">
        <f>TEXT(A77,"aaa")</f>
        <v/>
      </c>
      <c r="C77" s="12">
        <f>IFERROR(VLOOKUP(A77,'1_祝日'!$A$4:$B$83,2,FALSE),"")</f>
        <v/>
      </c>
      <c r="D77" s="11">
        <f>IF(OR(WEEKDAY(A77,2)&gt;=6,C77&lt;&gt;"",COUNTIF('1_祝日'!$D$4:$D$43,A77)&gt;0,AND($B$3=1,OR(AND(MONTH(A77)=12,DAY(A77)&gt;=29),AND(MONTH(A77)=1,DAY(A77)&lt;=3)))),1,0)</f>
        <v/>
      </c>
      <c r="E77" s="7" t="n"/>
      <c r="F77" s="11">
        <f>IF(OR(D77=1,E77=1),1,0)</f>
        <v/>
      </c>
      <c r="G77" s="11">
        <f>IF(F77=1,G76+1,0)</f>
        <v/>
      </c>
      <c r="H77" s="11">
        <f>IF(F77=1,H78+1,0)</f>
        <v/>
      </c>
      <c r="I77" s="11">
        <f>IF(AND(D77=1,E77=1),"もとから休み","")</f>
        <v/>
      </c>
      <c r="J77" s="11">
        <f>IF(F77=1,G77+H77-1,"")</f>
        <v/>
      </c>
      <c r="K77" s="11">
        <f>IF(D77=0,COUNTIF($D$7:D77,0),"")</f>
        <v/>
      </c>
    </row>
    <row r="78">
      <c r="A78" s="10">
        <f>DATE($B$2-1,12,1)+71</f>
        <v/>
      </c>
      <c r="B78" s="11">
        <f>TEXT(A78,"aaa")</f>
        <v/>
      </c>
      <c r="C78" s="12">
        <f>IFERROR(VLOOKUP(A78,'1_祝日'!$A$4:$B$83,2,FALSE),"")</f>
        <v/>
      </c>
      <c r="D78" s="11">
        <f>IF(OR(WEEKDAY(A78,2)&gt;=6,C78&lt;&gt;"",COUNTIF('1_祝日'!$D$4:$D$43,A78)&gt;0,AND($B$3=1,OR(AND(MONTH(A78)=12,DAY(A78)&gt;=29),AND(MONTH(A78)=1,DAY(A78)&lt;=3)))),1,0)</f>
        <v/>
      </c>
      <c r="E78" s="7" t="n"/>
      <c r="F78" s="11">
        <f>IF(OR(D78=1,E78=1),1,0)</f>
        <v/>
      </c>
      <c r="G78" s="11">
        <f>IF(F78=1,G77+1,0)</f>
        <v/>
      </c>
      <c r="H78" s="11">
        <f>IF(F78=1,H79+1,0)</f>
        <v/>
      </c>
      <c r="I78" s="11">
        <f>IF(AND(D78=1,E78=1),"もとから休み","")</f>
        <v/>
      </c>
      <c r="J78" s="11">
        <f>IF(F78=1,G78+H78-1,"")</f>
        <v/>
      </c>
      <c r="K78" s="11">
        <f>IF(D78=0,COUNTIF($D$7:D78,0),"")</f>
        <v/>
      </c>
    </row>
    <row r="79">
      <c r="A79" s="10">
        <f>DATE($B$2-1,12,1)+72</f>
        <v/>
      </c>
      <c r="B79" s="11">
        <f>TEXT(A79,"aaa")</f>
        <v/>
      </c>
      <c r="C79" s="12">
        <f>IFERROR(VLOOKUP(A79,'1_祝日'!$A$4:$B$83,2,FALSE),"")</f>
        <v/>
      </c>
      <c r="D79" s="11">
        <f>IF(OR(WEEKDAY(A79,2)&gt;=6,C79&lt;&gt;"",COUNTIF('1_祝日'!$D$4:$D$43,A79)&gt;0,AND($B$3=1,OR(AND(MONTH(A79)=12,DAY(A79)&gt;=29),AND(MONTH(A79)=1,DAY(A79)&lt;=3)))),1,0)</f>
        <v/>
      </c>
      <c r="E79" s="7" t="n"/>
      <c r="F79" s="11">
        <f>IF(OR(D79=1,E79=1),1,0)</f>
        <v/>
      </c>
      <c r="G79" s="11">
        <f>IF(F79=1,G78+1,0)</f>
        <v/>
      </c>
      <c r="H79" s="11">
        <f>IF(F79=1,H80+1,0)</f>
        <v/>
      </c>
      <c r="I79" s="11">
        <f>IF(AND(D79=1,E79=1),"もとから休み","")</f>
        <v/>
      </c>
      <c r="J79" s="11">
        <f>IF(F79=1,G79+H79-1,"")</f>
        <v/>
      </c>
      <c r="K79" s="11">
        <f>IF(D79=0,COUNTIF($D$7:D79,0),"")</f>
        <v/>
      </c>
    </row>
    <row r="80">
      <c r="A80" s="10">
        <f>DATE($B$2-1,12,1)+73</f>
        <v/>
      </c>
      <c r="B80" s="11">
        <f>TEXT(A80,"aaa")</f>
        <v/>
      </c>
      <c r="C80" s="12">
        <f>IFERROR(VLOOKUP(A80,'1_祝日'!$A$4:$B$83,2,FALSE),"")</f>
        <v/>
      </c>
      <c r="D80" s="11">
        <f>IF(OR(WEEKDAY(A80,2)&gt;=6,C80&lt;&gt;"",COUNTIF('1_祝日'!$D$4:$D$43,A80)&gt;0,AND($B$3=1,OR(AND(MONTH(A80)=12,DAY(A80)&gt;=29),AND(MONTH(A80)=1,DAY(A80)&lt;=3)))),1,0)</f>
        <v/>
      </c>
      <c r="E80" s="7" t="n"/>
      <c r="F80" s="11">
        <f>IF(OR(D80=1,E80=1),1,0)</f>
        <v/>
      </c>
      <c r="G80" s="11">
        <f>IF(F80=1,G79+1,0)</f>
        <v/>
      </c>
      <c r="H80" s="11">
        <f>IF(F80=1,H81+1,0)</f>
        <v/>
      </c>
      <c r="I80" s="11">
        <f>IF(AND(D80=1,E80=1),"もとから休み","")</f>
        <v/>
      </c>
      <c r="J80" s="11">
        <f>IF(F80=1,G80+H80-1,"")</f>
        <v/>
      </c>
      <c r="K80" s="11">
        <f>IF(D80=0,COUNTIF($D$7:D80,0),"")</f>
        <v/>
      </c>
    </row>
    <row r="81">
      <c r="A81" s="10">
        <f>DATE($B$2-1,12,1)+74</f>
        <v/>
      </c>
      <c r="B81" s="11">
        <f>TEXT(A81,"aaa")</f>
        <v/>
      </c>
      <c r="C81" s="12">
        <f>IFERROR(VLOOKUP(A81,'1_祝日'!$A$4:$B$83,2,FALSE),"")</f>
        <v/>
      </c>
      <c r="D81" s="11">
        <f>IF(OR(WEEKDAY(A81,2)&gt;=6,C81&lt;&gt;"",COUNTIF('1_祝日'!$D$4:$D$43,A81)&gt;0,AND($B$3=1,OR(AND(MONTH(A81)=12,DAY(A81)&gt;=29),AND(MONTH(A81)=1,DAY(A81)&lt;=3)))),1,0)</f>
        <v/>
      </c>
      <c r="E81" s="7" t="n"/>
      <c r="F81" s="11">
        <f>IF(OR(D81=1,E81=1),1,0)</f>
        <v/>
      </c>
      <c r="G81" s="11">
        <f>IF(F81=1,G80+1,0)</f>
        <v/>
      </c>
      <c r="H81" s="11">
        <f>IF(F81=1,H82+1,0)</f>
        <v/>
      </c>
      <c r="I81" s="11">
        <f>IF(AND(D81=1,E81=1),"もとから休み","")</f>
        <v/>
      </c>
      <c r="J81" s="11">
        <f>IF(F81=1,G81+H81-1,"")</f>
        <v/>
      </c>
      <c r="K81" s="11">
        <f>IF(D81=0,COUNTIF($D$7:D81,0),"")</f>
        <v/>
      </c>
    </row>
    <row r="82">
      <c r="A82" s="10">
        <f>DATE($B$2-1,12,1)+75</f>
        <v/>
      </c>
      <c r="B82" s="11">
        <f>TEXT(A82,"aaa")</f>
        <v/>
      </c>
      <c r="C82" s="12">
        <f>IFERROR(VLOOKUP(A82,'1_祝日'!$A$4:$B$83,2,FALSE),"")</f>
        <v/>
      </c>
      <c r="D82" s="11">
        <f>IF(OR(WEEKDAY(A82,2)&gt;=6,C82&lt;&gt;"",COUNTIF('1_祝日'!$D$4:$D$43,A82)&gt;0,AND($B$3=1,OR(AND(MONTH(A82)=12,DAY(A82)&gt;=29),AND(MONTH(A82)=1,DAY(A82)&lt;=3)))),1,0)</f>
        <v/>
      </c>
      <c r="E82" s="7" t="n"/>
      <c r="F82" s="11">
        <f>IF(OR(D82=1,E82=1),1,0)</f>
        <v/>
      </c>
      <c r="G82" s="11">
        <f>IF(F82=1,G81+1,0)</f>
        <v/>
      </c>
      <c r="H82" s="11">
        <f>IF(F82=1,H83+1,0)</f>
        <v/>
      </c>
      <c r="I82" s="11">
        <f>IF(AND(D82=1,E82=1),"もとから休み","")</f>
        <v/>
      </c>
      <c r="J82" s="11">
        <f>IF(F82=1,G82+H82-1,"")</f>
        <v/>
      </c>
      <c r="K82" s="11">
        <f>IF(D82=0,COUNTIF($D$7:D82,0),"")</f>
        <v/>
      </c>
    </row>
    <row r="83">
      <c r="A83" s="10">
        <f>DATE($B$2-1,12,1)+76</f>
        <v/>
      </c>
      <c r="B83" s="11">
        <f>TEXT(A83,"aaa")</f>
        <v/>
      </c>
      <c r="C83" s="12">
        <f>IFERROR(VLOOKUP(A83,'1_祝日'!$A$4:$B$83,2,FALSE),"")</f>
        <v/>
      </c>
      <c r="D83" s="11">
        <f>IF(OR(WEEKDAY(A83,2)&gt;=6,C83&lt;&gt;"",COUNTIF('1_祝日'!$D$4:$D$43,A83)&gt;0,AND($B$3=1,OR(AND(MONTH(A83)=12,DAY(A83)&gt;=29),AND(MONTH(A83)=1,DAY(A83)&lt;=3)))),1,0)</f>
        <v/>
      </c>
      <c r="E83" s="7" t="n"/>
      <c r="F83" s="11">
        <f>IF(OR(D83=1,E83=1),1,0)</f>
        <v/>
      </c>
      <c r="G83" s="11">
        <f>IF(F83=1,G82+1,0)</f>
        <v/>
      </c>
      <c r="H83" s="11">
        <f>IF(F83=1,H84+1,0)</f>
        <v/>
      </c>
      <c r="I83" s="11">
        <f>IF(AND(D83=1,E83=1),"もとから休み","")</f>
        <v/>
      </c>
      <c r="J83" s="11">
        <f>IF(F83=1,G83+H83-1,"")</f>
        <v/>
      </c>
      <c r="K83" s="11">
        <f>IF(D83=0,COUNTIF($D$7:D83,0),"")</f>
        <v/>
      </c>
    </row>
    <row r="84">
      <c r="A84" s="10">
        <f>DATE($B$2-1,12,1)+77</f>
        <v/>
      </c>
      <c r="B84" s="11">
        <f>TEXT(A84,"aaa")</f>
        <v/>
      </c>
      <c r="C84" s="12">
        <f>IFERROR(VLOOKUP(A84,'1_祝日'!$A$4:$B$83,2,FALSE),"")</f>
        <v/>
      </c>
      <c r="D84" s="11">
        <f>IF(OR(WEEKDAY(A84,2)&gt;=6,C84&lt;&gt;"",COUNTIF('1_祝日'!$D$4:$D$43,A84)&gt;0,AND($B$3=1,OR(AND(MONTH(A84)=12,DAY(A84)&gt;=29),AND(MONTH(A84)=1,DAY(A84)&lt;=3)))),1,0)</f>
        <v/>
      </c>
      <c r="E84" s="7" t="n"/>
      <c r="F84" s="11">
        <f>IF(OR(D84=1,E84=1),1,0)</f>
        <v/>
      </c>
      <c r="G84" s="11">
        <f>IF(F84=1,G83+1,0)</f>
        <v/>
      </c>
      <c r="H84" s="11">
        <f>IF(F84=1,H85+1,0)</f>
        <v/>
      </c>
      <c r="I84" s="11">
        <f>IF(AND(D84=1,E84=1),"もとから休み","")</f>
        <v/>
      </c>
      <c r="J84" s="11">
        <f>IF(F84=1,G84+H84-1,"")</f>
        <v/>
      </c>
      <c r="K84" s="11">
        <f>IF(D84=0,COUNTIF($D$7:D84,0),"")</f>
        <v/>
      </c>
    </row>
    <row r="85">
      <c r="A85" s="10">
        <f>DATE($B$2-1,12,1)+78</f>
        <v/>
      </c>
      <c r="B85" s="11">
        <f>TEXT(A85,"aaa")</f>
        <v/>
      </c>
      <c r="C85" s="12">
        <f>IFERROR(VLOOKUP(A85,'1_祝日'!$A$4:$B$83,2,FALSE),"")</f>
        <v/>
      </c>
      <c r="D85" s="11">
        <f>IF(OR(WEEKDAY(A85,2)&gt;=6,C85&lt;&gt;"",COUNTIF('1_祝日'!$D$4:$D$43,A85)&gt;0,AND($B$3=1,OR(AND(MONTH(A85)=12,DAY(A85)&gt;=29),AND(MONTH(A85)=1,DAY(A85)&lt;=3)))),1,0)</f>
        <v/>
      </c>
      <c r="E85" s="7" t="n"/>
      <c r="F85" s="11">
        <f>IF(OR(D85=1,E85=1),1,0)</f>
        <v/>
      </c>
      <c r="G85" s="11">
        <f>IF(F85=1,G84+1,0)</f>
        <v/>
      </c>
      <c r="H85" s="11">
        <f>IF(F85=1,H86+1,0)</f>
        <v/>
      </c>
      <c r="I85" s="11">
        <f>IF(AND(D85=1,E85=1),"もとから休み","")</f>
        <v/>
      </c>
      <c r="J85" s="11">
        <f>IF(F85=1,G85+H85-1,"")</f>
        <v/>
      </c>
      <c r="K85" s="11">
        <f>IF(D85=0,COUNTIF($D$7:D85,0),"")</f>
        <v/>
      </c>
    </row>
    <row r="86">
      <c r="A86" s="10">
        <f>DATE($B$2-1,12,1)+79</f>
        <v/>
      </c>
      <c r="B86" s="11">
        <f>TEXT(A86,"aaa")</f>
        <v/>
      </c>
      <c r="C86" s="12">
        <f>IFERROR(VLOOKUP(A86,'1_祝日'!$A$4:$B$83,2,FALSE),"")</f>
        <v/>
      </c>
      <c r="D86" s="11">
        <f>IF(OR(WEEKDAY(A86,2)&gt;=6,C86&lt;&gt;"",COUNTIF('1_祝日'!$D$4:$D$43,A86)&gt;0,AND($B$3=1,OR(AND(MONTH(A86)=12,DAY(A86)&gt;=29),AND(MONTH(A86)=1,DAY(A86)&lt;=3)))),1,0)</f>
        <v/>
      </c>
      <c r="E86" s="7" t="n"/>
      <c r="F86" s="11">
        <f>IF(OR(D86=1,E86=1),1,0)</f>
        <v/>
      </c>
      <c r="G86" s="11">
        <f>IF(F86=1,G85+1,0)</f>
        <v/>
      </c>
      <c r="H86" s="11">
        <f>IF(F86=1,H87+1,0)</f>
        <v/>
      </c>
      <c r="I86" s="11">
        <f>IF(AND(D86=1,E86=1),"もとから休み","")</f>
        <v/>
      </c>
      <c r="J86" s="11">
        <f>IF(F86=1,G86+H86-1,"")</f>
        <v/>
      </c>
      <c r="K86" s="11">
        <f>IF(D86=0,COUNTIF($D$7:D86,0),"")</f>
        <v/>
      </c>
    </row>
    <row r="87">
      <c r="A87" s="10">
        <f>DATE($B$2-1,12,1)+80</f>
        <v/>
      </c>
      <c r="B87" s="11">
        <f>TEXT(A87,"aaa")</f>
        <v/>
      </c>
      <c r="C87" s="12">
        <f>IFERROR(VLOOKUP(A87,'1_祝日'!$A$4:$B$83,2,FALSE),"")</f>
        <v/>
      </c>
      <c r="D87" s="11">
        <f>IF(OR(WEEKDAY(A87,2)&gt;=6,C87&lt;&gt;"",COUNTIF('1_祝日'!$D$4:$D$43,A87)&gt;0,AND($B$3=1,OR(AND(MONTH(A87)=12,DAY(A87)&gt;=29),AND(MONTH(A87)=1,DAY(A87)&lt;=3)))),1,0)</f>
        <v/>
      </c>
      <c r="E87" s="7" t="n"/>
      <c r="F87" s="11">
        <f>IF(OR(D87=1,E87=1),1,0)</f>
        <v/>
      </c>
      <c r="G87" s="11">
        <f>IF(F87=1,G86+1,0)</f>
        <v/>
      </c>
      <c r="H87" s="11">
        <f>IF(F87=1,H88+1,0)</f>
        <v/>
      </c>
      <c r="I87" s="11">
        <f>IF(AND(D87=1,E87=1),"もとから休み","")</f>
        <v/>
      </c>
      <c r="J87" s="11">
        <f>IF(F87=1,G87+H87-1,"")</f>
        <v/>
      </c>
      <c r="K87" s="11">
        <f>IF(D87=0,COUNTIF($D$7:D87,0),"")</f>
        <v/>
      </c>
    </row>
    <row r="88">
      <c r="A88" s="10">
        <f>DATE($B$2-1,12,1)+81</f>
        <v/>
      </c>
      <c r="B88" s="11">
        <f>TEXT(A88,"aaa")</f>
        <v/>
      </c>
      <c r="C88" s="12">
        <f>IFERROR(VLOOKUP(A88,'1_祝日'!$A$4:$B$83,2,FALSE),"")</f>
        <v/>
      </c>
      <c r="D88" s="11">
        <f>IF(OR(WEEKDAY(A88,2)&gt;=6,C88&lt;&gt;"",COUNTIF('1_祝日'!$D$4:$D$43,A88)&gt;0,AND($B$3=1,OR(AND(MONTH(A88)=12,DAY(A88)&gt;=29),AND(MONTH(A88)=1,DAY(A88)&lt;=3)))),1,0)</f>
        <v/>
      </c>
      <c r="E88" s="7" t="n"/>
      <c r="F88" s="11">
        <f>IF(OR(D88=1,E88=1),1,0)</f>
        <v/>
      </c>
      <c r="G88" s="11">
        <f>IF(F88=1,G87+1,0)</f>
        <v/>
      </c>
      <c r="H88" s="11">
        <f>IF(F88=1,H89+1,0)</f>
        <v/>
      </c>
      <c r="I88" s="11">
        <f>IF(AND(D88=1,E88=1),"もとから休み","")</f>
        <v/>
      </c>
      <c r="J88" s="11">
        <f>IF(F88=1,G88+H88-1,"")</f>
        <v/>
      </c>
      <c r="K88" s="11">
        <f>IF(D88=0,COUNTIF($D$7:D88,0),"")</f>
        <v/>
      </c>
    </row>
    <row r="89">
      <c r="A89" s="10">
        <f>DATE($B$2-1,12,1)+82</f>
        <v/>
      </c>
      <c r="B89" s="11">
        <f>TEXT(A89,"aaa")</f>
        <v/>
      </c>
      <c r="C89" s="12">
        <f>IFERROR(VLOOKUP(A89,'1_祝日'!$A$4:$B$83,2,FALSE),"")</f>
        <v/>
      </c>
      <c r="D89" s="11">
        <f>IF(OR(WEEKDAY(A89,2)&gt;=6,C89&lt;&gt;"",COUNTIF('1_祝日'!$D$4:$D$43,A89)&gt;0,AND($B$3=1,OR(AND(MONTH(A89)=12,DAY(A89)&gt;=29),AND(MONTH(A89)=1,DAY(A89)&lt;=3)))),1,0)</f>
        <v/>
      </c>
      <c r="E89" s="7" t="n"/>
      <c r="F89" s="11">
        <f>IF(OR(D89=1,E89=1),1,0)</f>
        <v/>
      </c>
      <c r="G89" s="11">
        <f>IF(F89=1,G88+1,0)</f>
        <v/>
      </c>
      <c r="H89" s="11">
        <f>IF(F89=1,H90+1,0)</f>
        <v/>
      </c>
      <c r="I89" s="11">
        <f>IF(AND(D89=1,E89=1),"もとから休み","")</f>
        <v/>
      </c>
      <c r="J89" s="11">
        <f>IF(F89=1,G89+H89-1,"")</f>
        <v/>
      </c>
      <c r="K89" s="11">
        <f>IF(D89=0,COUNTIF($D$7:D89,0),"")</f>
        <v/>
      </c>
    </row>
    <row r="90">
      <c r="A90" s="10">
        <f>DATE($B$2-1,12,1)+83</f>
        <v/>
      </c>
      <c r="B90" s="11">
        <f>TEXT(A90,"aaa")</f>
        <v/>
      </c>
      <c r="C90" s="12">
        <f>IFERROR(VLOOKUP(A90,'1_祝日'!$A$4:$B$83,2,FALSE),"")</f>
        <v/>
      </c>
      <c r="D90" s="11">
        <f>IF(OR(WEEKDAY(A90,2)&gt;=6,C90&lt;&gt;"",COUNTIF('1_祝日'!$D$4:$D$43,A90)&gt;0,AND($B$3=1,OR(AND(MONTH(A90)=12,DAY(A90)&gt;=29),AND(MONTH(A90)=1,DAY(A90)&lt;=3)))),1,0)</f>
        <v/>
      </c>
      <c r="E90" s="7" t="n"/>
      <c r="F90" s="11">
        <f>IF(OR(D90=1,E90=1),1,0)</f>
        <v/>
      </c>
      <c r="G90" s="11">
        <f>IF(F90=1,G89+1,0)</f>
        <v/>
      </c>
      <c r="H90" s="11">
        <f>IF(F90=1,H91+1,0)</f>
        <v/>
      </c>
      <c r="I90" s="11">
        <f>IF(AND(D90=1,E90=1),"もとから休み","")</f>
        <v/>
      </c>
      <c r="J90" s="11">
        <f>IF(F90=1,G90+H90-1,"")</f>
        <v/>
      </c>
      <c r="K90" s="11">
        <f>IF(D90=0,COUNTIF($D$7:D90,0),"")</f>
        <v/>
      </c>
    </row>
    <row r="91">
      <c r="A91" s="10">
        <f>DATE($B$2-1,12,1)+84</f>
        <v/>
      </c>
      <c r="B91" s="11">
        <f>TEXT(A91,"aaa")</f>
        <v/>
      </c>
      <c r="C91" s="12">
        <f>IFERROR(VLOOKUP(A91,'1_祝日'!$A$4:$B$83,2,FALSE),"")</f>
        <v/>
      </c>
      <c r="D91" s="11">
        <f>IF(OR(WEEKDAY(A91,2)&gt;=6,C91&lt;&gt;"",COUNTIF('1_祝日'!$D$4:$D$43,A91)&gt;0,AND($B$3=1,OR(AND(MONTH(A91)=12,DAY(A91)&gt;=29),AND(MONTH(A91)=1,DAY(A91)&lt;=3)))),1,0)</f>
        <v/>
      </c>
      <c r="E91" s="7" t="n"/>
      <c r="F91" s="11">
        <f>IF(OR(D91=1,E91=1),1,0)</f>
        <v/>
      </c>
      <c r="G91" s="11">
        <f>IF(F91=1,G90+1,0)</f>
        <v/>
      </c>
      <c r="H91" s="11">
        <f>IF(F91=1,H92+1,0)</f>
        <v/>
      </c>
      <c r="I91" s="11">
        <f>IF(AND(D91=1,E91=1),"もとから休み","")</f>
        <v/>
      </c>
      <c r="J91" s="11">
        <f>IF(F91=1,G91+H91-1,"")</f>
        <v/>
      </c>
      <c r="K91" s="11">
        <f>IF(D91=0,COUNTIF($D$7:D91,0),"")</f>
        <v/>
      </c>
    </row>
    <row r="92">
      <c r="A92" s="10">
        <f>DATE($B$2-1,12,1)+85</f>
        <v/>
      </c>
      <c r="B92" s="11">
        <f>TEXT(A92,"aaa")</f>
        <v/>
      </c>
      <c r="C92" s="12">
        <f>IFERROR(VLOOKUP(A92,'1_祝日'!$A$4:$B$83,2,FALSE),"")</f>
        <v/>
      </c>
      <c r="D92" s="11">
        <f>IF(OR(WEEKDAY(A92,2)&gt;=6,C92&lt;&gt;"",COUNTIF('1_祝日'!$D$4:$D$43,A92)&gt;0,AND($B$3=1,OR(AND(MONTH(A92)=12,DAY(A92)&gt;=29),AND(MONTH(A92)=1,DAY(A92)&lt;=3)))),1,0)</f>
        <v/>
      </c>
      <c r="E92" s="7" t="n"/>
      <c r="F92" s="11">
        <f>IF(OR(D92=1,E92=1),1,0)</f>
        <v/>
      </c>
      <c r="G92" s="11">
        <f>IF(F92=1,G91+1,0)</f>
        <v/>
      </c>
      <c r="H92" s="11">
        <f>IF(F92=1,H93+1,0)</f>
        <v/>
      </c>
      <c r="I92" s="11">
        <f>IF(AND(D92=1,E92=1),"もとから休み","")</f>
        <v/>
      </c>
      <c r="J92" s="11">
        <f>IF(F92=1,G92+H92-1,"")</f>
        <v/>
      </c>
      <c r="K92" s="11">
        <f>IF(D92=0,COUNTIF($D$7:D92,0),"")</f>
        <v/>
      </c>
    </row>
    <row r="93">
      <c r="A93" s="10">
        <f>DATE($B$2-1,12,1)+86</f>
        <v/>
      </c>
      <c r="B93" s="11">
        <f>TEXT(A93,"aaa")</f>
        <v/>
      </c>
      <c r="C93" s="12">
        <f>IFERROR(VLOOKUP(A93,'1_祝日'!$A$4:$B$83,2,FALSE),"")</f>
        <v/>
      </c>
      <c r="D93" s="11">
        <f>IF(OR(WEEKDAY(A93,2)&gt;=6,C93&lt;&gt;"",COUNTIF('1_祝日'!$D$4:$D$43,A93)&gt;0,AND($B$3=1,OR(AND(MONTH(A93)=12,DAY(A93)&gt;=29),AND(MONTH(A93)=1,DAY(A93)&lt;=3)))),1,0)</f>
        <v/>
      </c>
      <c r="E93" s="7" t="n"/>
      <c r="F93" s="11">
        <f>IF(OR(D93=1,E93=1),1,0)</f>
        <v/>
      </c>
      <c r="G93" s="11">
        <f>IF(F93=1,G92+1,0)</f>
        <v/>
      </c>
      <c r="H93" s="11">
        <f>IF(F93=1,H94+1,0)</f>
        <v/>
      </c>
      <c r="I93" s="11">
        <f>IF(AND(D93=1,E93=1),"もとから休み","")</f>
        <v/>
      </c>
      <c r="J93" s="11">
        <f>IF(F93=1,G93+H93-1,"")</f>
        <v/>
      </c>
      <c r="K93" s="11">
        <f>IF(D93=0,COUNTIF($D$7:D93,0),"")</f>
        <v/>
      </c>
    </row>
    <row r="94">
      <c r="A94" s="10">
        <f>DATE($B$2-1,12,1)+87</f>
        <v/>
      </c>
      <c r="B94" s="11">
        <f>TEXT(A94,"aaa")</f>
        <v/>
      </c>
      <c r="C94" s="12">
        <f>IFERROR(VLOOKUP(A94,'1_祝日'!$A$4:$B$83,2,FALSE),"")</f>
        <v/>
      </c>
      <c r="D94" s="11">
        <f>IF(OR(WEEKDAY(A94,2)&gt;=6,C94&lt;&gt;"",COUNTIF('1_祝日'!$D$4:$D$43,A94)&gt;0,AND($B$3=1,OR(AND(MONTH(A94)=12,DAY(A94)&gt;=29),AND(MONTH(A94)=1,DAY(A94)&lt;=3)))),1,0)</f>
        <v/>
      </c>
      <c r="E94" s="7" t="n"/>
      <c r="F94" s="11">
        <f>IF(OR(D94=1,E94=1),1,0)</f>
        <v/>
      </c>
      <c r="G94" s="11">
        <f>IF(F94=1,G93+1,0)</f>
        <v/>
      </c>
      <c r="H94" s="11">
        <f>IF(F94=1,H95+1,0)</f>
        <v/>
      </c>
      <c r="I94" s="11">
        <f>IF(AND(D94=1,E94=1),"もとから休み","")</f>
        <v/>
      </c>
      <c r="J94" s="11">
        <f>IF(F94=1,G94+H94-1,"")</f>
        <v/>
      </c>
      <c r="K94" s="11">
        <f>IF(D94=0,COUNTIF($D$7:D94,0),"")</f>
        <v/>
      </c>
    </row>
    <row r="95">
      <c r="A95" s="10">
        <f>DATE($B$2-1,12,1)+88</f>
        <v/>
      </c>
      <c r="B95" s="11">
        <f>TEXT(A95,"aaa")</f>
        <v/>
      </c>
      <c r="C95" s="12">
        <f>IFERROR(VLOOKUP(A95,'1_祝日'!$A$4:$B$83,2,FALSE),"")</f>
        <v/>
      </c>
      <c r="D95" s="11">
        <f>IF(OR(WEEKDAY(A95,2)&gt;=6,C95&lt;&gt;"",COUNTIF('1_祝日'!$D$4:$D$43,A95)&gt;0,AND($B$3=1,OR(AND(MONTH(A95)=12,DAY(A95)&gt;=29),AND(MONTH(A95)=1,DAY(A95)&lt;=3)))),1,0)</f>
        <v/>
      </c>
      <c r="E95" s="7" t="n"/>
      <c r="F95" s="11">
        <f>IF(OR(D95=1,E95=1),1,0)</f>
        <v/>
      </c>
      <c r="G95" s="11">
        <f>IF(F95=1,G94+1,0)</f>
        <v/>
      </c>
      <c r="H95" s="11">
        <f>IF(F95=1,H96+1,0)</f>
        <v/>
      </c>
      <c r="I95" s="11">
        <f>IF(AND(D95=1,E95=1),"もとから休み","")</f>
        <v/>
      </c>
      <c r="J95" s="11">
        <f>IF(F95=1,G95+H95-1,"")</f>
        <v/>
      </c>
      <c r="K95" s="11">
        <f>IF(D95=0,COUNTIF($D$7:D95,0),"")</f>
        <v/>
      </c>
    </row>
    <row r="96">
      <c r="A96" s="10">
        <f>DATE($B$2-1,12,1)+89</f>
        <v/>
      </c>
      <c r="B96" s="11">
        <f>TEXT(A96,"aaa")</f>
        <v/>
      </c>
      <c r="C96" s="12">
        <f>IFERROR(VLOOKUP(A96,'1_祝日'!$A$4:$B$83,2,FALSE),"")</f>
        <v/>
      </c>
      <c r="D96" s="11">
        <f>IF(OR(WEEKDAY(A96,2)&gt;=6,C96&lt;&gt;"",COUNTIF('1_祝日'!$D$4:$D$43,A96)&gt;0,AND($B$3=1,OR(AND(MONTH(A96)=12,DAY(A96)&gt;=29),AND(MONTH(A96)=1,DAY(A96)&lt;=3)))),1,0)</f>
        <v/>
      </c>
      <c r="E96" s="7" t="n"/>
      <c r="F96" s="11">
        <f>IF(OR(D96=1,E96=1),1,0)</f>
        <v/>
      </c>
      <c r="G96" s="11">
        <f>IF(F96=1,G95+1,0)</f>
        <v/>
      </c>
      <c r="H96" s="11">
        <f>IF(F96=1,H97+1,0)</f>
        <v/>
      </c>
      <c r="I96" s="11">
        <f>IF(AND(D96=1,E96=1),"もとから休み","")</f>
        <v/>
      </c>
      <c r="J96" s="11">
        <f>IF(F96=1,G96+H96-1,"")</f>
        <v/>
      </c>
      <c r="K96" s="11">
        <f>IF(D96=0,COUNTIF($D$7:D96,0),"")</f>
        <v/>
      </c>
    </row>
    <row r="97">
      <c r="A97" s="10">
        <f>DATE($B$2-1,12,1)+90</f>
        <v/>
      </c>
      <c r="B97" s="11">
        <f>TEXT(A97,"aaa")</f>
        <v/>
      </c>
      <c r="C97" s="12">
        <f>IFERROR(VLOOKUP(A97,'1_祝日'!$A$4:$B$83,2,FALSE),"")</f>
        <v/>
      </c>
      <c r="D97" s="11">
        <f>IF(OR(WEEKDAY(A97,2)&gt;=6,C97&lt;&gt;"",COUNTIF('1_祝日'!$D$4:$D$43,A97)&gt;0,AND($B$3=1,OR(AND(MONTH(A97)=12,DAY(A97)&gt;=29),AND(MONTH(A97)=1,DAY(A97)&lt;=3)))),1,0)</f>
        <v/>
      </c>
      <c r="E97" s="7" t="n"/>
      <c r="F97" s="11">
        <f>IF(OR(D97=1,E97=1),1,0)</f>
        <v/>
      </c>
      <c r="G97" s="11">
        <f>IF(F97=1,G96+1,0)</f>
        <v/>
      </c>
      <c r="H97" s="11">
        <f>IF(F97=1,H98+1,0)</f>
        <v/>
      </c>
      <c r="I97" s="11">
        <f>IF(AND(D97=1,E97=1),"もとから休み","")</f>
        <v/>
      </c>
      <c r="J97" s="11">
        <f>IF(F97=1,G97+H97-1,"")</f>
        <v/>
      </c>
      <c r="K97" s="11">
        <f>IF(D97=0,COUNTIF($D$7:D97,0),"")</f>
        <v/>
      </c>
    </row>
    <row r="98">
      <c r="A98" s="10">
        <f>DATE($B$2-1,12,1)+91</f>
        <v/>
      </c>
      <c r="B98" s="11">
        <f>TEXT(A98,"aaa")</f>
        <v/>
      </c>
      <c r="C98" s="12">
        <f>IFERROR(VLOOKUP(A98,'1_祝日'!$A$4:$B$83,2,FALSE),"")</f>
        <v/>
      </c>
      <c r="D98" s="11">
        <f>IF(OR(WEEKDAY(A98,2)&gt;=6,C98&lt;&gt;"",COUNTIF('1_祝日'!$D$4:$D$43,A98)&gt;0,AND($B$3=1,OR(AND(MONTH(A98)=12,DAY(A98)&gt;=29),AND(MONTH(A98)=1,DAY(A98)&lt;=3)))),1,0)</f>
        <v/>
      </c>
      <c r="E98" s="7" t="n"/>
      <c r="F98" s="11">
        <f>IF(OR(D98=1,E98=1),1,0)</f>
        <v/>
      </c>
      <c r="G98" s="11">
        <f>IF(F98=1,G97+1,0)</f>
        <v/>
      </c>
      <c r="H98" s="11">
        <f>IF(F98=1,H99+1,0)</f>
        <v/>
      </c>
      <c r="I98" s="11">
        <f>IF(AND(D98=1,E98=1),"もとから休み","")</f>
        <v/>
      </c>
      <c r="J98" s="11">
        <f>IF(F98=1,G98+H98-1,"")</f>
        <v/>
      </c>
      <c r="K98" s="11">
        <f>IF(D98=0,COUNTIF($D$7:D98,0),"")</f>
        <v/>
      </c>
    </row>
    <row r="99">
      <c r="A99" s="10">
        <f>DATE($B$2-1,12,1)+92</f>
        <v/>
      </c>
      <c r="B99" s="11">
        <f>TEXT(A99,"aaa")</f>
        <v/>
      </c>
      <c r="C99" s="12">
        <f>IFERROR(VLOOKUP(A99,'1_祝日'!$A$4:$B$83,2,FALSE),"")</f>
        <v/>
      </c>
      <c r="D99" s="11">
        <f>IF(OR(WEEKDAY(A99,2)&gt;=6,C99&lt;&gt;"",COUNTIF('1_祝日'!$D$4:$D$43,A99)&gt;0,AND($B$3=1,OR(AND(MONTH(A99)=12,DAY(A99)&gt;=29),AND(MONTH(A99)=1,DAY(A99)&lt;=3)))),1,0)</f>
        <v/>
      </c>
      <c r="E99" s="7" t="n"/>
      <c r="F99" s="11">
        <f>IF(OR(D99=1,E99=1),1,0)</f>
        <v/>
      </c>
      <c r="G99" s="11">
        <f>IF(F99=1,G98+1,0)</f>
        <v/>
      </c>
      <c r="H99" s="11">
        <f>IF(F99=1,H100+1,0)</f>
        <v/>
      </c>
      <c r="I99" s="11">
        <f>IF(AND(D99=1,E99=1),"もとから休み","")</f>
        <v/>
      </c>
      <c r="J99" s="11">
        <f>IF(F99=1,G99+H99-1,"")</f>
        <v/>
      </c>
      <c r="K99" s="11">
        <f>IF(D99=0,COUNTIF($D$7:D99,0),"")</f>
        <v/>
      </c>
    </row>
    <row r="100">
      <c r="A100" s="10">
        <f>DATE($B$2-1,12,1)+93</f>
        <v/>
      </c>
      <c r="B100" s="11">
        <f>TEXT(A100,"aaa")</f>
        <v/>
      </c>
      <c r="C100" s="12">
        <f>IFERROR(VLOOKUP(A100,'1_祝日'!$A$4:$B$83,2,FALSE),"")</f>
        <v/>
      </c>
      <c r="D100" s="11">
        <f>IF(OR(WEEKDAY(A100,2)&gt;=6,C100&lt;&gt;"",COUNTIF('1_祝日'!$D$4:$D$43,A100)&gt;0,AND($B$3=1,OR(AND(MONTH(A100)=12,DAY(A100)&gt;=29),AND(MONTH(A100)=1,DAY(A100)&lt;=3)))),1,0)</f>
        <v/>
      </c>
      <c r="E100" s="7" t="n"/>
      <c r="F100" s="11">
        <f>IF(OR(D100=1,E100=1),1,0)</f>
        <v/>
      </c>
      <c r="G100" s="11">
        <f>IF(F100=1,G99+1,0)</f>
        <v/>
      </c>
      <c r="H100" s="11">
        <f>IF(F100=1,H101+1,0)</f>
        <v/>
      </c>
      <c r="I100" s="11">
        <f>IF(AND(D100=1,E100=1),"もとから休み","")</f>
        <v/>
      </c>
      <c r="J100" s="11">
        <f>IF(F100=1,G100+H100-1,"")</f>
        <v/>
      </c>
      <c r="K100" s="11">
        <f>IF(D100=0,COUNTIF($D$7:D100,0),"")</f>
        <v/>
      </c>
    </row>
    <row r="101">
      <c r="A101" s="10">
        <f>DATE($B$2-1,12,1)+94</f>
        <v/>
      </c>
      <c r="B101" s="11">
        <f>TEXT(A101,"aaa")</f>
        <v/>
      </c>
      <c r="C101" s="12">
        <f>IFERROR(VLOOKUP(A101,'1_祝日'!$A$4:$B$83,2,FALSE),"")</f>
        <v/>
      </c>
      <c r="D101" s="11">
        <f>IF(OR(WEEKDAY(A101,2)&gt;=6,C101&lt;&gt;"",COUNTIF('1_祝日'!$D$4:$D$43,A101)&gt;0,AND($B$3=1,OR(AND(MONTH(A101)=12,DAY(A101)&gt;=29),AND(MONTH(A101)=1,DAY(A101)&lt;=3)))),1,0)</f>
        <v/>
      </c>
      <c r="E101" s="7" t="n"/>
      <c r="F101" s="11">
        <f>IF(OR(D101=1,E101=1),1,0)</f>
        <v/>
      </c>
      <c r="G101" s="11">
        <f>IF(F101=1,G100+1,0)</f>
        <v/>
      </c>
      <c r="H101" s="11">
        <f>IF(F101=1,H102+1,0)</f>
        <v/>
      </c>
      <c r="I101" s="11">
        <f>IF(AND(D101=1,E101=1),"もとから休み","")</f>
        <v/>
      </c>
      <c r="J101" s="11">
        <f>IF(F101=1,G101+H101-1,"")</f>
        <v/>
      </c>
      <c r="K101" s="11">
        <f>IF(D101=0,COUNTIF($D$7:D101,0),"")</f>
        <v/>
      </c>
    </row>
    <row r="102">
      <c r="A102" s="10">
        <f>DATE($B$2-1,12,1)+95</f>
        <v/>
      </c>
      <c r="B102" s="11">
        <f>TEXT(A102,"aaa")</f>
        <v/>
      </c>
      <c r="C102" s="12">
        <f>IFERROR(VLOOKUP(A102,'1_祝日'!$A$4:$B$83,2,FALSE),"")</f>
        <v/>
      </c>
      <c r="D102" s="11">
        <f>IF(OR(WEEKDAY(A102,2)&gt;=6,C102&lt;&gt;"",COUNTIF('1_祝日'!$D$4:$D$43,A102)&gt;0,AND($B$3=1,OR(AND(MONTH(A102)=12,DAY(A102)&gt;=29),AND(MONTH(A102)=1,DAY(A102)&lt;=3)))),1,0)</f>
        <v/>
      </c>
      <c r="E102" s="7" t="n"/>
      <c r="F102" s="11">
        <f>IF(OR(D102=1,E102=1),1,0)</f>
        <v/>
      </c>
      <c r="G102" s="11">
        <f>IF(F102=1,G101+1,0)</f>
        <v/>
      </c>
      <c r="H102" s="11">
        <f>IF(F102=1,H103+1,0)</f>
        <v/>
      </c>
      <c r="I102" s="11">
        <f>IF(AND(D102=1,E102=1),"もとから休み","")</f>
        <v/>
      </c>
      <c r="J102" s="11">
        <f>IF(F102=1,G102+H102-1,"")</f>
        <v/>
      </c>
      <c r="K102" s="11">
        <f>IF(D102=0,COUNTIF($D$7:D102,0),"")</f>
        <v/>
      </c>
    </row>
    <row r="103">
      <c r="A103" s="10">
        <f>DATE($B$2-1,12,1)+96</f>
        <v/>
      </c>
      <c r="B103" s="11">
        <f>TEXT(A103,"aaa")</f>
        <v/>
      </c>
      <c r="C103" s="12">
        <f>IFERROR(VLOOKUP(A103,'1_祝日'!$A$4:$B$83,2,FALSE),"")</f>
        <v/>
      </c>
      <c r="D103" s="11">
        <f>IF(OR(WEEKDAY(A103,2)&gt;=6,C103&lt;&gt;"",COUNTIF('1_祝日'!$D$4:$D$43,A103)&gt;0,AND($B$3=1,OR(AND(MONTH(A103)=12,DAY(A103)&gt;=29),AND(MONTH(A103)=1,DAY(A103)&lt;=3)))),1,0)</f>
        <v/>
      </c>
      <c r="E103" s="7" t="n"/>
      <c r="F103" s="11">
        <f>IF(OR(D103=1,E103=1),1,0)</f>
        <v/>
      </c>
      <c r="G103" s="11">
        <f>IF(F103=1,G102+1,0)</f>
        <v/>
      </c>
      <c r="H103" s="11">
        <f>IF(F103=1,H104+1,0)</f>
        <v/>
      </c>
      <c r="I103" s="11">
        <f>IF(AND(D103=1,E103=1),"もとから休み","")</f>
        <v/>
      </c>
      <c r="J103" s="11">
        <f>IF(F103=1,G103+H103-1,"")</f>
        <v/>
      </c>
      <c r="K103" s="11">
        <f>IF(D103=0,COUNTIF($D$7:D103,0),"")</f>
        <v/>
      </c>
    </row>
    <row r="104">
      <c r="A104" s="10">
        <f>DATE($B$2-1,12,1)+97</f>
        <v/>
      </c>
      <c r="B104" s="11">
        <f>TEXT(A104,"aaa")</f>
        <v/>
      </c>
      <c r="C104" s="12">
        <f>IFERROR(VLOOKUP(A104,'1_祝日'!$A$4:$B$83,2,FALSE),"")</f>
        <v/>
      </c>
      <c r="D104" s="11">
        <f>IF(OR(WEEKDAY(A104,2)&gt;=6,C104&lt;&gt;"",COUNTIF('1_祝日'!$D$4:$D$43,A104)&gt;0,AND($B$3=1,OR(AND(MONTH(A104)=12,DAY(A104)&gt;=29),AND(MONTH(A104)=1,DAY(A104)&lt;=3)))),1,0)</f>
        <v/>
      </c>
      <c r="E104" s="7" t="n"/>
      <c r="F104" s="11">
        <f>IF(OR(D104=1,E104=1),1,0)</f>
        <v/>
      </c>
      <c r="G104" s="11">
        <f>IF(F104=1,G103+1,0)</f>
        <v/>
      </c>
      <c r="H104" s="11">
        <f>IF(F104=1,H105+1,0)</f>
        <v/>
      </c>
      <c r="I104" s="11">
        <f>IF(AND(D104=1,E104=1),"もとから休み","")</f>
        <v/>
      </c>
      <c r="J104" s="11">
        <f>IF(F104=1,G104+H104-1,"")</f>
        <v/>
      </c>
      <c r="K104" s="11">
        <f>IF(D104=0,COUNTIF($D$7:D104,0),"")</f>
        <v/>
      </c>
    </row>
    <row r="105">
      <c r="A105" s="10">
        <f>DATE($B$2-1,12,1)+98</f>
        <v/>
      </c>
      <c r="B105" s="11">
        <f>TEXT(A105,"aaa")</f>
        <v/>
      </c>
      <c r="C105" s="12">
        <f>IFERROR(VLOOKUP(A105,'1_祝日'!$A$4:$B$83,2,FALSE),"")</f>
        <v/>
      </c>
      <c r="D105" s="11">
        <f>IF(OR(WEEKDAY(A105,2)&gt;=6,C105&lt;&gt;"",COUNTIF('1_祝日'!$D$4:$D$43,A105)&gt;0,AND($B$3=1,OR(AND(MONTH(A105)=12,DAY(A105)&gt;=29),AND(MONTH(A105)=1,DAY(A105)&lt;=3)))),1,0)</f>
        <v/>
      </c>
      <c r="E105" s="7" t="n"/>
      <c r="F105" s="11">
        <f>IF(OR(D105=1,E105=1),1,0)</f>
        <v/>
      </c>
      <c r="G105" s="11">
        <f>IF(F105=1,G104+1,0)</f>
        <v/>
      </c>
      <c r="H105" s="11">
        <f>IF(F105=1,H106+1,0)</f>
        <v/>
      </c>
      <c r="I105" s="11">
        <f>IF(AND(D105=1,E105=1),"もとから休み","")</f>
        <v/>
      </c>
      <c r="J105" s="11">
        <f>IF(F105=1,G105+H105-1,"")</f>
        <v/>
      </c>
      <c r="K105" s="11">
        <f>IF(D105=0,COUNTIF($D$7:D105,0),"")</f>
        <v/>
      </c>
    </row>
    <row r="106">
      <c r="A106" s="10">
        <f>DATE($B$2-1,12,1)+99</f>
        <v/>
      </c>
      <c r="B106" s="11">
        <f>TEXT(A106,"aaa")</f>
        <v/>
      </c>
      <c r="C106" s="12">
        <f>IFERROR(VLOOKUP(A106,'1_祝日'!$A$4:$B$83,2,FALSE),"")</f>
        <v/>
      </c>
      <c r="D106" s="11">
        <f>IF(OR(WEEKDAY(A106,2)&gt;=6,C106&lt;&gt;"",COUNTIF('1_祝日'!$D$4:$D$43,A106)&gt;0,AND($B$3=1,OR(AND(MONTH(A106)=12,DAY(A106)&gt;=29),AND(MONTH(A106)=1,DAY(A106)&lt;=3)))),1,0)</f>
        <v/>
      </c>
      <c r="E106" s="7" t="n"/>
      <c r="F106" s="11">
        <f>IF(OR(D106=1,E106=1),1,0)</f>
        <v/>
      </c>
      <c r="G106" s="11">
        <f>IF(F106=1,G105+1,0)</f>
        <v/>
      </c>
      <c r="H106" s="11">
        <f>IF(F106=1,H107+1,0)</f>
        <v/>
      </c>
      <c r="I106" s="11">
        <f>IF(AND(D106=1,E106=1),"もとから休み","")</f>
        <v/>
      </c>
      <c r="J106" s="11">
        <f>IF(F106=1,G106+H106-1,"")</f>
        <v/>
      </c>
      <c r="K106" s="11">
        <f>IF(D106=0,COUNTIF($D$7:D106,0),"")</f>
        <v/>
      </c>
    </row>
    <row r="107">
      <c r="A107" s="10">
        <f>DATE($B$2-1,12,1)+100</f>
        <v/>
      </c>
      <c r="B107" s="11">
        <f>TEXT(A107,"aaa")</f>
        <v/>
      </c>
      <c r="C107" s="12">
        <f>IFERROR(VLOOKUP(A107,'1_祝日'!$A$4:$B$83,2,FALSE),"")</f>
        <v/>
      </c>
      <c r="D107" s="11">
        <f>IF(OR(WEEKDAY(A107,2)&gt;=6,C107&lt;&gt;"",COUNTIF('1_祝日'!$D$4:$D$43,A107)&gt;0,AND($B$3=1,OR(AND(MONTH(A107)=12,DAY(A107)&gt;=29),AND(MONTH(A107)=1,DAY(A107)&lt;=3)))),1,0)</f>
        <v/>
      </c>
      <c r="E107" s="7" t="n"/>
      <c r="F107" s="11">
        <f>IF(OR(D107=1,E107=1),1,0)</f>
        <v/>
      </c>
      <c r="G107" s="11">
        <f>IF(F107=1,G106+1,0)</f>
        <v/>
      </c>
      <c r="H107" s="11">
        <f>IF(F107=1,H108+1,0)</f>
        <v/>
      </c>
      <c r="I107" s="11">
        <f>IF(AND(D107=1,E107=1),"もとから休み","")</f>
        <v/>
      </c>
      <c r="J107" s="11">
        <f>IF(F107=1,G107+H107-1,"")</f>
        <v/>
      </c>
      <c r="K107" s="11">
        <f>IF(D107=0,COUNTIF($D$7:D107,0),"")</f>
        <v/>
      </c>
    </row>
    <row r="108">
      <c r="A108" s="10">
        <f>DATE($B$2-1,12,1)+101</f>
        <v/>
      </c>
      <c r="B108" s="11">
        <f>TEXT(A108,"aaa")</f>
        <v/>
      </c>
      <c r="C108" s="12">
        <f>IFERROR(VLOOKUP(A108,'1_祝日'!$A$4:$B$83,2,FALSE),"")</f>
        <v/>
      </c>
      <c r="D108" s="11">
        <f>IF(OR(WEEKDAY(A108,2)&gt;=6,C108&lt;&gt;"",COUNTIF('1_祝日'!$D$4:$D$43,A108)&gt;0,AND($B$3=1,OR(AND(MONTH(A108)=12,DAY(A108)&gt;=29),AND(MONTH(A108)=1,DAY(A108)&lt;=3)))),1,0)</f>
        <v/>
      </c>
      <c r="E108" s="7" t="n"/>
      <c r="F108" s="11">
        <f>IF(OR(D108=1,E108=1),1,0)</f>
        <v/>
      </c>
      <c r="G108" s="11">
        <f>IF(F108=1,G107+1,0)</f>
        <v/>
      </c>
      <c r="H108" s="11">
        <f>IF(F108=1,H109+1,0)</f>
        <v/>
      </c>
      <c r="I108" s="11">
        <f>IF(AND(D108=1,E108=1),"もとから休み","")</f>
        <v/>
      </c>
      <c r="J108" s="11">
        <f>IF(F108=1,G108+H108-1,"")</f>
        <v/>
      </c>
      <c r="K108" s="11">
        <f>IF(D108=0,COUNTIF($D$7:D108,0),"")</f>
        <v/>
      </c>
    </row>
    <row r="109">
      <c r="A109" s="10">
        <f>DATE($B$2-1,12,1)+102</f>
        <v/>
      </c>
      <c r="B109" s="11">
        <f>TEXT(A109,"aaa")</f>
        <v/>
      </c>
      <c r="C109" s="12">
        <f>IFERROR(VLOOKUP(A109,'1_祝日'!$A$4:$B$83,2,FALSE),"")</f>
        <v/>
      </c>
      <c r="D109" s="11">
        <f>IF(OR(WEEKDAY(A109,2)&gt;=6,C109&lt;&gt;"",COUNTIF('1_祝日'!$D$4:$D$43,A109)&gt;0,AND($B$3=1,OR(AND(MONTH(A109)=12,DAY(A109)&gt;=29),AND(MONTH(A109)=1,DAY(A109)&lt;=3)))),1,0)</f>
        <v/>
      </c>
      <c r="E109" s="7" t="n"/>
      <c r="F109" s="11">
        <f>IF(OR(D109=1,E109=1),1,0)</f>
        <v/>
      </c>
      <c r="G109" s="11">
        <f>IF(F109=1,G108+1,0)</f>
        <v/>
      </c>
      <c r="H109" s="11">
        <f>IF(F109=1,H110+1,0)</f>
        <v/>
      </c>
      <c r="I109" s="11">
        <f>IF(AND(D109=1,E109=1),"もとから休み","")</f>
        <v/>
      </c>
      <c r="J109" s="11">
        <f>IF(F109=1,G109+H109-1,"")</f>
        <v/>
      </c>
      <c r="K109" s="11">
        <f>IF(D109=0,COUNTIF($D$7:D109,0),"")</f>
        <v/>
      </c>
    </row>
    <row r="110">
      <c r="A110" s="10">
        <f>DATE($B$2-1,12,1)+103</f>
        <v/>
      </c>
      <c r="B110" s="11">
        <f>TEXT(A110,"aaa")</f>
        <v/>
      </c>
      <c r="C110" s="12">
        <f>IFERROR(VLOOKUP(A110,'1_祝日'!$A$4:$B$83,2,FALSE),"")</f>
        <v/>
      </c>
      <c r="D110" s="11">
        <f>IF(OR(WEEKDAY(A110,2)&gt;=6,C110&lt;&gt;"",COUNTIF('1_祝日'!$D$4:$D$43,A110)&gt;0,AND($B$3=1,OR(AND(MONTH(A110)=12,DAY(A110)&gt;=29),AND(MONTH(A110)=1,DAY(A110)&lt;=3)))),1,0)</f>
        <v/>
      </c>
      <c r="E110" s="7" t="n"/>
      <c r="F110" s="11">
        <f>IF(OR(D110=1,E110=1),1,0)</f>
        <v/>
      </c>
      <c r="G110" s="11">
        <f>IF(F110=1,G109+1,0)</f>
        <v/>
      </c>
      <c r="H110" s="11">
        <f>IF(F110=1,H111+1,0)</f>
        <v/>
      </c>
      <c r="I110" s="11">
        <f>IF(AND(D110=1,E110=1),"もとから休み","")</f>
        <v/>
      </c>
      <c r="J110" s="11">
        <f>IF(F110=1,G110+H110-1,"")</f>
        <v/>
      </c>
      <c r="K110" s="11">
        <f>IF(D110=0,COUNTIF($D$7:D110,0),"")</f>
        <v/>
      </c>
    </row>
    <row r="111">
      <c r="A111" s="10">
        <f>DATE($B$2-1,12,1)+104</f>
        <v/>
      </c>
      <c r="B111" s="11">
        <f>TEXT(A111,"aaa")</f>
        <v/>
      </c>
      <c r="C111" s="12">
        <f>IFERROR(VLOOKUP(A111,'1_祝日'!$A$4:$B$83,2,FALSE),"")</f>
        <v/>
      </c>
      <c r="D111" s="11">
        <f>IF(OR(WEEKDAY(A111,2)&gt;=6,C111&lt;&gt;"",COUNTIF('1_祝日'!$D$4:$D$43,A111)&gt;0,AND($B$3=1,OR(AND(MONTH(A111)=12,DAY(A111)&gt;=29),AND(MONTH(A111)=1,DAY(A111)&lt;=3)))),1,0)</f>
        <v/>
      </c>
      <c r="E111" s="7" t="n"/>
      <c r="F111" s="11">
        <f>IF(OR(D111=1,E111=1),1,0)</f>
        <v/>
      </c>
      <c r="G111" s="11">
        <f>IF(F111=1,G110+1,0)</f>
        <v/>
      </c>
      <c r="H111" s="11">
        <f>IF(F111=1,H112+1,0)</f>
        <v/>
      </c>
      <c r="I111" s="11">
        <f>IF(AND(D111=1,E111=1),"もとから休み","")</f>
        <v/>
      </c>
      <c r="J111" s="11">
        <f>IF(F111=1,G111+H111-1,"")</f>
        <v/>
      </c>
      <c r="K111" s="11">
        <f>IF(D111=0,COUNTIF($D$7:D111,0),"")</f>
        <v/>
      </c>
    </row>
    <row r="112">
      <c r="A112" s="10">
        <f>DATE($B$2-1,12,1)+105</f>
        <v/>
      </c>
      <c r="B112" s="11">
        <f>TEXT(A112,"aaa")</f>
        <v/>
      </c>
      <c r="C112" s="12">
        <f>IFERROR(VLOOKUP(A112,'1_祝日'!$A$4:$B$83,2,FALSE),"")</f>
        <v/>
      </c>
      <c r="D112" s="11">
        <f>IF(OR(WEEKDAY(A112,2)&gt;=6,C112&lt;&gt;"",COUNTIF('1_祝日'!$D$4:$D$43,A112)&gt;0,AND($B$3=1,OR(AND(MONTH(A112)=12,DAY(A112)&gt;=29),AND(MONTH(A112)=1,DAY(A112)&lt;=3)))),1,0)</f>
        <v/>
      </c>
      <c r="E112" s="7" t="n"/>
      <c r="F112" s="11">
        <f>IF(OR(D112=1,E112=1),1,0)</f>
        <v/>
      </c>
      <c r="G112" s="11">
        <f>IF(F112=1,G111+1,0)</f>
        <v/>
      </c>
      <c r="H112" s="11">
        <f>IF(F112=1,H113+1,0)</f>
        <v/>
      </c>
      <c r="I112" s="11">
        <f>IF(AND(D112=1,E112=1),"もとから休み","")</f>
        <v/>
      </c>
      <c r="J112" s="11">
        <f>IF(F112=1,G112+H112-1,"")</f>
        <v/>
      </c>
      <c r="K112" s="11">
        <f>IF(D112=0,COUNTIF($D$7:D112,0),"")</f>
        <v/>
      </c>
    </row>
    <row r="113">
      <c r="A113" s="10">
        <f>DATE($B$2-1,12,1)+106</f>
        <v/>
      </c>
      <c r="B113" s="11">
        <f>TEXT(A113,"aaa")</f>
        <v/>
      </c>
      <c r="C113" s="12">
        <f>IFERROR(VLOOKUP(A113,'1_祝日'!$A$4:$B$83,2,FALSE),"")</f>
        <v/>
      </c>
      <c r="D113" s="11">
        <f>IF(OR(WEEKDAY(A113,2)&gt;=6,C113&lt;&gt;"",COUNTIF('1_祝日'!$D$4:$D$43,A113)&gt;0,AND($B$3=1,OR(AND(MONTH(A113)=12,DAY(A113)&gt;=29),AND(MONTH(A113)=1,DAY(A113)&lt;=3)))),1,0)</f>
        <v/>
      </c>
      <c r="E113" s="7" t="n"/>
      <c r="F113" s="11">
        <f>IF(OR(D113=1,E113=1),1,0)</f>
        <v/>
      </c>
      <c r="G113" s="11">
        <f>IF(F113=1,G112+1,0)</f>
        <v/>
      </c>
      <c r="H113" s="11">
        <f>IF(F113=1,H114+1,0)</f>
        <v/>
      </c>
      <c r="I113" s="11">
        <f>IF(AND(D113=1,E113=1),"もとから休み","")</f>
        <v/>
      </c>
      <c r="J113" s="11">
        <f>IF(F113=1,G113+H113-1,"")</f>
        <v/>
      </c>
      <c r="K113" s="11">
        <f>IF(D113=0,COUNTIF($D$7:D113,0),"")</f>
        <v/>
      </c>
    </row>
    <row r="114">
      <c r="A114" s="10">
        <f>DATE($B$2-1,12,1)+107</f>
        <v/>
      </c>
      <c r="B114" s="11">
        <f>TEXT(A114,"aaa")</f>
        <v/>
      </c>
      <c r="C114" s="12">
        <f>IFERROR(VLOOKUP(A114,'1_祝日'!$A$4:$B$83,2,FALSE),"")</f>
        <v/>
      </c>
      <c r="D114" s="11">
        <f>IF(OR(WEEKDAY(A114,2)&gt;=6,C114&lt;&gt;"",COUNTIF('1_祝日'!$D$4:$D$43,A114)&gt;0,AND($B$3=1,OR(AND(MONTH(A114)=12,DAY(A114)&gt;=29),AND(MONTH(A114)=1,DAY(A114)&lt;=3)))),1,0)</f>
        <v/>
      </c>
      <c r="E114" s="7" t="n"/>
      <c r="F114" s="11">
        <f>IF(OR(D114=1,E114=1),1,0)</f>
        <v/>
      </c>
      <c r="G114" s="11">
        <f>IF(F114=1,G113+1,0)</f>
        <v/>
      </c>
      <c r="H114" s="11">
        <f>IF(F114=1,H115+1,0)</f>
        <v/>
      </c>
      <c r="I114" s="11">
        <f>IF(AND(D114=1,E114=1),"もとから休み","")</f>
        <v/>
      </c>
      <c r="J114" s="11">
        <f>IF(F114=1,G114+H114-1,"")</f>
        <v/>
      </c>
      <c r="K114" s="11">
        <f>IF(D114=0,COUNTIF($D$7:D114,0),"")</f>
        <v/>
      </c>
    </row>
    <row r="115">
      <c r="A115" s="10">
        <f>DATE($B$2-1,12,1)+108</f>
        <v/>
      </c>
      <c r="B115" s="11">
        <f>TEXT(A115,"aaa")</f>
        <v/>
      </c>
      <c r="C115" s="12">
        <f>IFERROR(VLOOKUP(A115,'1_祝日'!$A$4:$B$83,2,FALSE),"")</f>
        <v/>
      </c>
      <c r="D115" s="11">
        <f>IF(OR(WEEKDAY(A115,2)&gt;=6,C115&lt;&gt;"",COUNTIF('1_祝日'!$D$4:$D$43,A115)&gt;0,AND($B$3=1,OR(AND(MONTH(A115)=12,DAY(A115)&gt;=29),AND(MONTH(A115)=1,DAY(A115)&lt;=3)))),1,0)</f>
        <v/>
      </c>
      <c r="E115" s="7" t="n"/>
      <c r="F115" s="11">
        <f>IF(OR(D115=1,E115=1),1,0)</f>
        <v/>
      </c>
      <c r="G115" s="11">
        <f>IF(F115=1,G114+1,0)</f>
        <v/>
      </c>
      <c r="H115" s="11">
        <f>IF(F115=1,H116+1,0)</f>
        <v/>
      </c>
      <c r="I115" s="11">
        <f>IF(AND(D115=1,E115=1),"もとから休み","")</f>
        <v/>
      </c>
      <c r="J115" s="11">
        <f>IF(F115=1,G115+H115-1,"")</f>
        <v/>
      </c>
      <c r="K115" s="11">
        <f>IF(D115=0,COUNTIF($D$7:D115,0),"")</f>
        <v/>
      </c>
    </row>
    <row r="116">
      <c r="A116" s="10">
        <f>DATE($B$2-1,12,1)+109</f>
        <v/>
      </c>
      <c r="B116" s="11">
        <f>TEXT(A116,"aaa")</f>
        <v/>
      </c>
      <c r="C116" s="12">
        <f>IFERROR(VLOOKUP(A116,'1_祝日'!$A$4:$B$83,2,FALSE),"")</f>
        <v/>
      </c>
      <c r="D116" s="11">
        <f>IF(OR(WEEKDAY(A116,2)&gt;=6,C116&lt;&gt;"",COUNTIF('1_祝日'!$D$4:$D$43,A116)&gt;0,AND($B$3=1,OR(AND(MONTH(A116)=12,DAY(A116)&gt;=29),AND(MONTH(A116)=1,DAY(A116)&lt;=3)))),1,0)</f>
        <v/>
      </c>
      <c r="E116" s="7" t="n"/>
      <c r="F116" s="11">
        <f>IF(OR(D116=1,E116=1),1,0)</f>
        <v/>
      </c>
      <c r="G116" s="11">
        <f>IF(F116=1,G115+1,0)</f>
        <v/>
      </c>
      <c r="H116" s="11">
        <f>IF(F116=1,H117+1,0)</f>
        <v/>
      </c>
      <c r="I116" s="11">
        <f>IF(AND(D116=1,E116=1),"もとから休み","")</f>
        <v/>
      </c>
      <c r="J116" s="11">
        <f>IF(F116=1,G116+H116-1,"")</f>
        <v/>
      </c>
      <c r="K116" s="11">
        <f>IF(D116=0,COUNTIF($D$7:D116,0),"")</f>
        <v/>
      </c>
    </row>
    <row r="117">
      <c r="A117" s="10">
        <f>DATE($B$2-1,12,1)+110</f>
        <v/>
      </c>
      <c r="B117" s="11">
        <f>TEXT(A117,"aaa")</f>
        <v/>
      </c>
      <c r="C117" s="12">
        <f>IFERROR(VLOOKUP(A117,'1_祝日'!$A$4:$B$83,2,FALSE),"")</f>
        <v/>
      </c>
      <c r="D117" s="11">
        <f>IF(OR(WEEKDAY(A117,2)&gt;=6,C117&lt;&gt;"",COUNTIF('1_祝日'!$D$4:$D$43,A117)&gt;0,AND($B$3=1,OR(AND(MONTH(A117)=12,DAY(A117)&gt;=29),AND(MONTH(A117)=1,DAY(A117)&lt;=3)))),1,0)</f>
        <v/>
      </c>
      <c r="E117" s="7" t="n"/>
      <c r="F117" s="11">
        <f>IF(OR(D117=1,E117=1),1,0)</f>
        <v/>
      </c>
      <c r="G117" s="11">
        <f>IF(F117=1,G116+1,0)</f>
        <v/>
      </c>
      <c r="H117" s="11">
        <f>IF(F117=1,H118+1,0)</f>
        <v/>
      </c>
      <c r="I117" s="11">
        <f>IF(AND(D117=1,E117=1),"もとから休み","")</f>
        <v/>
      </c>
      <c r="J117" s="11">
        <f>IF(F117=1,G117+H117-1,"")</f>
        <v/>
      </c>
      <c r="K117" s="11">
        <f>IF(D117=0,COUNTIF($D$7:D117,0),"")</f>
        <v/>
      </c>
    </row>
    <row r="118">
      <c r="A118" s="10">
        <f>DATE($B$2-1,12,1)+111</f>
        <v/>
      </c>
      <c r="B118" s="11">
        <f>TEXT(A118,"aaa")</f>
        <v/>
      </c>
      <c r="C118" s="12">
        <f>IFERROR(VLOOKUP(A118,'1_祝日'!$A$4:$B$83,2,FALSE),"")</f>
        <v/>
      </c>
      <c r="D118" s="11">
        <f>IF(OR(WEEKDAY(A118,2)&gt;=6,C118&lt;&gt;"",COUNTIF('1_祝日'!$D$4:$D$43,A118)&gt;0,AND($B$3=1,OR(AND(MONTH(A118)=12,DAY(A118)&gt;=29),AND(MONTH(A118)=1,DAY(A118)&lt;=3)))),1,0)</f>
        <v/>
      </c>
      <c r="E118" s="7" t="n"/>
      <c r="F118" s="11">
        <f>IF(OR(D118=1,E118=1),1,0)</f>
        <v/>
      </c>
      <c r="G118" s="11">
        <f>IF(F118=1,G117+1,0)</f>
        <v/>
      </c>
      <c r="H118" s="11">
        <f>IF(F118=1,H119+1,0)</f>
        <v/>
      </c>
      <c r="I118" s="11">
        <f>IF(AND(D118=1,E118=1),"もとから休み","")</f>
        <v/>
      </c>
      <c r="J118" s="11">
        <f>IF(F118=1,G118+H118-1,"")</f>
        <v/>
      </c>
      <c r="K118" s="11">
        <f>IF(D118=0,COUNTIF($D$7:D118,0),"")</f>
        <v/>
      </c>
    </row>
    <row r="119">
      <c r="A119" s="10">
        <f>DATE($B$2-1,12,1)+112</f>
        <v/>
      </c>
      <c r="B119" s="11">
        <f>TEXT(A119,"aaa")</f>
        <v/>
      </c>
      <c r="C119" s="12">
        <f>IFERROR(VLOOKUP(A119,'1_祝日'!$A$4:$B$83,2,FALSE),"")</f>
        <v/>
      </c>
      <c r="D119" s="11">
        <f>IF(OR(WEEKDAY(A119,2)&gt;=6,C119&lt;&gt;"",COUNTIF('1_祝日'!$D$4:$D$43,A119)&gt;0,AND($B$3=1,OR(AND(MONTH(A119)=12,DAY(A119)&gt;=29),AND(MONTH(A119)=1,DAY(A119)&lt;=3)))),1,0)</f>
        <v/>
      </c>
      <c r="E119" s="7" t="n"/>
      <c r="F119" s="11">
        <f>IF(OR(D119=1,E119=1),1,0)</f>
        <v/>
      </c>
      <c r="G119" s="11">
        <f>IF(F119=1,G118+1,0)</f>
        <v/>
      </c>
      <c r="H119" s="11">
        <f>IF(F119=1,H120+1,0)</f>
        <v/>
      </c>
      <c r="I119" s="11">
        <f>IF(AND(D119=1,E119=1),"もとから休み","")</f>
        <v/>
      </c>
      <c r="J119" s="11">
        <f>IF(F119=1,G119+H119-1,"")</f>
        <v/>
      </c>
      <c r="K119" s="11">
        <f>IF(D119=0,COUNTIF($D$7:D119,0),"")</f>
        <v/>
      </c>
    </row>
    <row r="120">
      <c r="A120" s="10">
        <f>DATE($B$2-1,12,1)+113</f>
        <v/>
      </c>
      <c r="B120" s="11">
        <f>TEXT(A120,"aaa")</f>
        <v/>
      </c>
      <c r="C120" s="12">
        <f>IFERROR(VLOOKUP(A120,'1_祝日'!$A$4:$B$83,2,FALSE),"")</f>
        <v/>
      </c>
      <c r="D120" s="11">
        <f>IF(OR(WEEKDAY(A120,2)&gt;=6,C120&lt;&gt;"",COUNTIF('1_祝日'!$D$4:$D$43,A120)&gt;0,AND($B$3=1,OR(AND(MONTH(A120)=12,DAY(A120)&gt;=29),AND(MONTH(A120)=1,DAY(A120)&lt;=3)))),1,0)</f>
        <v/>
      </c>
      <c r="E120" s="7" t="n"/>
      <c r="F120" s="11">
        <f>IF(OR(D120=1,E120=1),1,0)</f>
        <v/>
      </c>
      <c r="G120" s="11">
        <f>IF(F120=1,G119+1,0)</f>
        <v/>
      </c>
      <c r="H120" s="11">
        <f>IF(F120=1,H121+1,0)</f>
        <v/>
      </c>
      <c r="I120" s="11">
        <f>IF(AND(D120=1,E120=1),"もとから休み","")</f>
        <v/>
      </c>
      <c r="J120" s="11">
        <f>IF(F120=1,G120+H120-1,"")</f>
        <v/>
      </c>
      <c r="K120" s="11">
        <f>IF(D120=0,COUNTIF($D$7:D120,0),"")</f>
        <v/>
      </c>
    </row>
    <row r="121">
      <c r="A121" s="10">
        <f>DATE($B$2-1,12,1)+114</f>
        <v/>
      </c>
      <c r="B121" s="11">
        <f>TEXT(A121,"aaa")</f>
        <v/>
      </c>
      <c r="C121" s="12">
        <f>IFERROR(VLOOKUP(A121,'1_祝日'!$A$4:$B$83,2,FALSE),"")</f>
        <v/>
      </c>
      <c r="D121" s="11">
        <f>IF(OR(WEEKDAY(A121,2)&gt;=6,C121&lt;&gt;"",COUNTIF('1_祝日'!$D$4:$D$43,A121)&gt;0,AND($B$3=1,OR(AND(MONTH(A121)=12,DAY(A121)&gt;=29),AND(MONTH(A121)=1,DAY(A121)&lt;=3)))),1,0)</f>
        <v/>
      </c>
      <c r="E121" s="7" t="n"/>
      <c r="F121" s="11">
        <f>IF(OR(D121=1,E121=1),1,0)</f>
        <v/>
      </c>
      <c r="G121" s="11">
        <f>IF(F121=1,G120+1,0)</f>
        <v/>
      </c>
      <c r="H121" s="11">
        <f>IF(F121=1,H122+1,0)</f>
        <v/>
      </c>
      <c r="I121" s="11">
        <f>IF(AND(D121=1,E121=1),"もとから休み","")</f>
        <v/>
      </c>
      <c r="J121" s="11">
        <f>IF(F121=1,G121+H121-1,"")</f>
        <v/>
      </c>
      <c r="K121" s="11">
        <f>IF(D121=0,COUNTIF($D$7:D121,0),"")</f>
        <v/>
      </c>
    </row>
    <row r="122">
      <c r="A122" s="10">
        <f>DATE($B$2-1,12,1)+115</f>
        <v/>
      </c>
      <c r="B122" s="11">
        <f>TEXT(A122,"aaa")</f>
        <v/>
      </c>
      <c r="C122" s="12">
        <f>IFERROR(VLOOKUP(A122,'1_祝日'!$A$4:$B$83,2,FALSE),"")</f>
        <v/>
      </c>
      <c r="D122" s="11">
        <f>IF(OR(WEEKDAY(A122,2)&gt;=6,C122&lt;&gt;"",COUNTIF('1_祝日'!$D$4:$D$43,A122)&gt;0,AND($B$3=1,OR(AND(MONTH(A122)=12,DAY(A122)&gt;=29),AND(MONTH(A122)=1,DAY(A122)&lt;=3)))),1,0)</f>
        <v/>
      </c>
      <c r="E122" s="7" t="n"/>
      <c r="F122" s="11">
        <f>IF(OR(D122=1,E122=1),1,0)</f>
        <v/>
      </c>
      <c r="G122" s="11">
        <f>IF(F122=1,G121+1,0)</f>
        <v/>
      </c>
      <c r="H122" s="11">
        <f>IF(F122=1,H123+1,0)</f>
        <v/>
      </c>
      <c r="I122" s="11">
        <f>IF(AND(D122=1,E122=1),"もとから休み","")</f>
        <v/>
      </c>
      <c r="J122" s="11">
        <f>IF(F122=1,G122+H122-1,"")</f>
        <v/>
      </c>
      <c r="K122" s="11">
        <f>IF(D122=0,COUNTIF($D$7:D122,0),"")</f>
        <v/>
      </c>
    </row>
    <row r="123">
      <c r="A123" s="10">
        <f>DATE($B$2-1,12,1)+116</f>
        <v/>
      </c>
      <c r="B123" s="11">
        <f>TEXT(A123,"aaa")</f>
        <v/>
      </c>
      <c r="C123" s="12">
        <f>IFERROR(VLOOKUP(A123,'1_祝日'!$A$4:$B$83,2,FALSE),"")</f>
        <v/>
      </c>
      <c r="D123" s="11">
        <f>IF(OR(WEEKDAY(A123,2)&gt;=6,C123&lt;&gt;"",COUNTIF('1_祝日'!$D$4:$D$43,A123)&gt;0,AND($B$3=1,OR(AND(MONTH(A123)=12,DAY(A123)&gt;=29),AND(MONTH(A123)=1,DAY(A123)&lt;=3)))),1,0)</f>
        <v/>
      </c>
      <c r="E123" s="7" t="n"/>
      <c r="F123" s="11">
        <f>IF(OR(D123=1,E123=1),1,0)</f>
        <v/>
      </c>
      <c r="G123" s="11">
        <f>IF(F123=1,G122+1,0)</f>
        <v/>
      </c>
      <c r="H123" s="11">
        <f>IF(F123=1,H124+1,0)</f>
        <v/>
      </c>
      <c r="I123" s="11">
        <f>IF(AND(D123=1,E123=1),"もとから休み","")</f>
        <v/>
      </c>
      <c r="J123" s="11">
        <f>IF(F123=1,G123+H123-1,"")</f>
        <v/>
      </c>
      <c r="K123" s="11">
        <f>IF(D123=0,COUNTIF($D$7:D123,0),"")</f>
        <v/>
      </c>
    </row>
    <row r="124">
      <c r="A124" s="10">
        <f>DATE($B$2-1,12,1)+117</f>
        <v/>
      </c>
      <c r="B124" s="11">
        <f>TEXT(A124,"aaa")</f>
        <v/>
      </c>
      <c r="C124" s="12">
        <f>IFERROR(VLOOKUP(A124,'1_祝日'!$A$4:$B$83,2,FALSE),"")</f>
        <v/>
      </c>
      <c r="D124" s="11">
        <f>IF(OR(WEEKDAY(A124,2)&gt;=6,C124&lt;&gt;"",COUNTIF('1_祝日'!$D$4:$D$43,A124)&gt;0,AND($B$3=1,OR(AND(MONTH(A124)=12,DAY(A124)&gt;=29),AND(MONTH(A124)=1,DAY(A124)&lt;=3)))),1,0)</f>
        <v/>
      </c>
      <c r="E124" s="7" t="n"/>
      <c r="F124" s="11">
        <f>IF(OR(D124=1,E124=1),1,0)</f>
        <v/>
      </c>
      <c r="G124" s="11">
        <f>IF(F124=1,G123+1,0)</f>
        <v/>
      </c>
      <c r="H124" s="11">
        <f>IF(F124=1,H125+1,0)</f>
        <v/>
      </c>
      <c r="I124" s="11">
        <f>IF(AND(D124=1,E124=1),"もとから休み","")</f>
        <v/>
      </c>
      <c r="J124" s="11">
        <f>IF(F124=1,G124+H124-1,"")</f>
        <v/>
      </c>
      <c r="K124" s="11">
        <f>IF(D124=0,COUNTIF($D$7:D124,0),"")</f>
        <v/>
      </c>
    </row>
    <row r="125">
      <c r="A125" s="10">
        <f>DATE($B$2-1,12,1)+118</f>
        <v/>
      </c>
      <c r="B125" s="11">
        <f>TEXT(A125,"aaa")</f>
        <v/>
      </c>
      <c r="C125" s="12">
        <f>IFERROR(VLOOKUP(A125,'1_祝日'!$A$4:$B$83,2,FALSE),"")</f>
        <v/>
      </c>
      <c r="D125" s="11">
        <f>IF(OR(WEEKDAY(A125,2)&gt;=6,C125&lt;&gt;"",COUNTIF('1_祝日'!$D$4:$D$43,A125)&gt;0,AND($B$3=1,OR(AND(MONTH(A125)=12,DAY(A125)&gt;=29),AND(MONTH(A125)=1,DAY(A125)&lt;=3)))),1,0)</f>
        <v/>
      </c>
      <c r="E125" s="7" t="n"/>
      <c r="F125" s="11">
        <f>IF(OR(D125=1,E125=1),1,0)</f>
        <v/>
      </c>
      <c r="G125" s="11">
        <f>IF(F125=1,G124+1,0)</f>
        <v/>
      </c>
      <c r="H125" s="11">
        <f>IF(F125=1,H126+1,0)</f>
        <v/>
      </c>
      <c r="I125" s="11">
        <f>IF(AND(D125=1,E125=1),"もとから休み","")</f>
        <v/>
      </c>
      <c r="J125" s="11">
        <f>IF(F125=1,G125+H125-1,"")</f>
        <v/>
      </c>
      <c r="K125" s="11">
        <f>IF(D125=0,COUNTIF($D$7:D125,0),"")</f>
        <v/>
      </c>
    </row>
    <row r="126">
      <c r="A126" s="10">
        <f>DATE($B$2-1,12,1)+119</f>
        <v/>
      </c>
      <c r="B126" s="11">
        <f>TEXT(A126,"aaa")</f>
        <v/>
      </c>
      <c r="C126" s="12">
        <f>IFERROR(VLOOKUP(A126,'1_祝日'!$A$4:$B$83,2,FALSE),"")</f>
        <v/>
      </c>
      <c r="D126" s="11">
        <f>IF(OR(WEEKDAY(A126,2)&gt;=6,C126&lt;&gt;"",COUNTIF('1_祝日'!$D$4:$D$43,A126)&gt;0,AND($B$3=1,OR(AND(MONTH(A126)=12,DAY(A126)&gt;=29),AND(MONTH(A126)=1,DAY(A126)&lt;=3)))),1,0)</f>
        <v/>
      </c>
      <c r="E126" s="7" t="n"/>
      <c r="F126" s="11">
        <f>IF(OR(D126=1,E126=1),1,0)</f>
        <v/>
      </c>
      <c r="G126" s="11">
        <f>IF(F126=1,G125+1,0)</f>
        <v/>
      </c>
      <c r="H126" s="11">
        <f>IF(F126=1,H127+1,0)</f>
        <v/>
      </c>
      <c r="I126" s="11">
        <f>IF(AND(D126=1,E126=1),"もとから休み","")</f>
        <v/>
      </c>
      <c r="J126" s="11">
        <f>IF(F126=1,G126+H126-1,"")</f>
        <v/>
      </c>
      <c r="K126" s="11">
        <f>IF(D126=0,COUNTIF($D$7:D126,0),"")</f>
        <v/>
      </c>
    </row>
    <row r="127">
      <c r="A127" s="10">
        <f>DATE($B$2-1,12,1)+120</f>
        <v/>
      </c>
      <c r="B127" s="11">
        <f>TEXT(A127,"aaa")</f>
        <v/>
      </c>
      <c r="C127" s="12">
        <f>IFERROR(VLOOKUP(A127,'1_祝日'!$A$4:$B$83,2,FALSE),"")</f>
        <v/>
      </c>
      <c r="D127" s="11">
        <f>IF(OR(WEEKDAY(A127,2)&gt;=6,C127&lt;&gt;"",COUNTIF('1_祝日'!$D$4:$D$43,A127)&gt;0,AND($B$3=1,OR(AND(MONTH(A127)=12,DAY(A127)&gt;=29),AND(MONTH(A127)=1,DAY(A127)&lt;=3)))),1,0)</f>
        <v/>
      </c>
      <c r="E127" s="7" t="n"/>
      <c r="F127" s="11">
        <f>IF(OR(D127=1,E127=1),1,0)</f>
        <v/>
      </c>
      <c r="G127" s="11">
        <f>IF(F127=1,G126+1,0)</f>
        <v/>
      </c>
      <c r="H127" s="11">
        <f>IF(F127=1,H128+1,0)</f>
        <v/>
      </c>
      <c r="I127" s="11">
        <f>IF(AND(D127=1,E127=1),"もとから休み","")</f>
        <v/>
      </c>
      <c r="J127" s="11">
        <f>IF(F127=1,G127+H127-1,"")</f>
        <v/>
      </c>
      <c r="K127" s="11">
        <f>IF(D127=0,COUNTIF($D$7:D127,0),"")</f>
        <v/>
      </c>
    </row>
    <row r="128">
      <c r="A128" s="10">
        <f>DATE($B$2-1,12,1)+121</f>
        <v/>
      </c>
      <c r="B128" s="11">
        <f>TEXT(A128,"aaa")</f>
        <v/>
      </c>
      <c r="C128" s="12">
        <f>IFERROR(VLOOKUP(A128,'1_祝日'!$A$4:$B$83,2,FALSE),"")</f>
        <v/>
      </c>
      <c r="D128" s="11">
        <f>IF(OR(WEEKDAY(A128,2)&gt;=6,C128&lt;&gt;"",COUNTIF('1_祝日'!$D$4:$D$43,A128)&gt;0,AND($B$3=1,OR(AND(MONTH(A128)=12,DAY(A128)&gt;=29),AND(MONTH(A128)=1,DAY(A128)&lt;=3)))),1,0)</f>
        <v/>
      </c>
      <c r="E128" s="7" t="n"/>
      <c r="F128" s="11">
        <f>IF(OR(D128=1,E128=1),1,0)</f>
        <v/>
      </c>
      <c r="G128" s="11">
        <f>IF(F128=1,G127+1,0)</f>
        <v/>
      </c>
      <c r="H128" s="11">
        <f>IF(F128=1,H129+1,0)</f>
        <v/>
      </c>
      <c r="I128" s="11">
        <f>IF(AND(D128=1,E128=1),"もとから休み","")</f>
        <v/>
      </c>
      <c r="J128" s="11">
        <f>IF(F128=1,G128+H128-1,"")</f>
        <v/>
      </c>
      <c r="K128" s="11">
        <f>IF(D128=0,COUNTIF($D$7:D128,0),"")</f>
        <v/>
      </c>
    </row>
    <row r="129">
      <c r="A129" s="10">
        <f>DATE($B$2-1,12,1)+122</f>
        <v/>
      </c>
      <c r="B129" s="11">
        <f>TEXT(A129,"aaa")</f>
        <v/>
      </c>
      <c r="C129" s="12">
        <f>IFERROR(VLOOKUP(A129,'1_祝日'!$A$4:$B$83,2,FALSE),"")</f>
        <v/>
      </c>
      <c r="D129" s="11">
        <f>IF(OR(WEEKDAY(A129,2)&gt;=6,C129&lt;&gt;"",COUNTIF('1_祝日'!$D$4:$D$43,A129)&gt;0,AND($B$3=1,OR(AND(MONTH(A129)=12,DAY(A129)&gt;=29),AND(MONTH(A129)=1,DAY(A129)&lt;=3)))),1,0)</f>
        <v/>
      </c>
      <c r="E129" s="7" t="n"/>
      <c r="F129" s="11">
        <f>IF(OR(D129=1,E129=1),1,0)</f>
        <v/>
      </c>
      <c r="G129" s="11">
        <f>IF(F129=1,G128+1,0)</f>
        <v/>
      </c>
      <c r="H129" s="11">
        <f>IF(F129=1,H130+1,0)</f>
        <v/>
      </c>
      <c r="I129" s="11">
        <f>IF(AND(D129=1,E129=1),"もとから休み","")</f>
        <v/>
      </c>
      <c r="J129" s="11">
        <f>IF(F129=1,G129+H129-1,"")</f>
        <v/>
      </c>
      <c r="K129" s="11">
        <f>IF(D129=0,COUNTIF($D$7:D129,0),"")</f>
        <v/>
      </c>
    </row>
    <row r="130">
      <c r="A130" s="10">
        <f>DATE($B$2-1,12,1)+123</f>
        <v/>
      </c>
      <c r="B130" s="11">
        <f>TEXT(A130,"aaa")</f>
        <v/>
      </c>
      <c r="C130" s="12">
        <f>IFERROR(VLOOKUP(A130,'1_祝日'!$A$4:$B$83,2,FALSE),"")</f>
        <v/>
      </c>
      <c r="D130" s="11">
        <f>IF(OR(WEEKDAY(A130,2)&gt;=6,C130&lt;&gt;"",COUNTIF('1_祝日'!$D$4:$D$43,A130)&gt;0,AND($B$3=1,OR(AND(MONTH(A130)=12,DAY(A130)&gt;=29),AND(MONTH(A130)=1,DAY(A130)&lt;=3)))),1,0)</f>
        <v/>
      </c>
      <c r="E130" s="7" t="n"/>
      <c r="F130" s="11">
        <f>IF(OR(D130=1,E130=1),1,0)</f>
        <v/>
      </c>
      <c r="G130" s="11">
        <f>IF(F130=1,G129+1,0)</f>
        <v/>
      </c>
      <c r="H130" s="11">
        <f>IF(F130=1,H131+1,0)</f>
        <v/>
      </c>
      <c r="I130" s="11">
        <f>IF(AND(D130=1,E130=1),"もとから休み","")</f>
        <v/>
      </c>
      <c r="J130" s="11">
        <f>IF(F130=1,G130+H130-1,"")</f>
        <v/>
      </c>
      <c r="K130" s="11">
        <f>IF(D130=0,COUNTIF($D$7:D130,0),"")</f>
        <v/>
      </c>
    </row>
    <row r="131">
      <c r="A131" s="10">
        <f>DATE($B$2-1,12,1)+124</f>
        <v/>
      </c>
      <c r="B131" s="11">
        <f>TEXT(A131,"aaa")</f>
        <v/>
      </c>
      <c r="C131" s="12">
        <f>IFERROR(VLOOKUP(A131,'1_祝日'!$A$4:$B$83,2,FALSE),"")</f>
        <v/>
      </c>
      <c r="D131" s="11">
        <f>IF(OR(WEEKDAY(A131,2)&gt;=6,C131&lt;&gt;"",COUNTIF('1_祝日'!$D$4:$D$43,A131)&gt;0,AND($B$3=1,OR(AND(MONTH(A131)=12,DAY(A131)&gt;=29),AND(MONTH(A131)=1,DAY(A131)&lt;=3)))),1,0)</f>
        <v/>
      </c>
      <c r="E131" s="7" t="n"/>
      <c r="F131" s="11">
        <f>IF(OR(D131=1,E131=1),1,0)</f>
        <v/>
      </c>
      <c r="G131" s="11">
        <f>IF(F131=1,G130+1,0)</f>
        <v/>
      </c>
      <c r="H131" s="11">
        <f>IF(F131=1,H132+1,0)</f>
        <v/>
      </c>
      <c r="I131" s="11">
        <f>IF(AND(D131=1,E131=1),"もとから休み","")</f>
        <v/>
      </c>
      <c r="J131" s="11">
        <f>IF(F131=1,G131+H131-1,"")</f>
        <v/>
      </c>
      <c r="K131" s="11">
        <f>IF(D131=0,COUNTIF($D$7:D131,0),"")</f>
        <v/>
      </c>
    </row>
    <row r="132">
      <c r="A132" s="10">
        <f>DATE($B$2-1,12,1)+125</f>
        <v/>
      </c>
      <c r="B132" s="11">
        <f>TEXT(A132,"aaa")</f>
        <v/>
      </c>
      <c r="C132" s="12">
        <f>IFERROR(VLOOKUP(A132,'1_祝日'!$A$4:$B$83,2,FALSE),"")</f>
        <v/>
      </c>
      <c r="D132" s="11">
        <f>IF(OR(WEEKDAY(A132,2)&gt;=6,C132&lt;&gt;"",COUNTIF('1_祝日'!$D$4:$D$43,A132)&gt;0,AND($B$3=1,OR(AND(MONTH(A132)=12,DAY(A132)&gt;=29),AND(MONTH(A132)=1,DAY(A132)&lt;=3)))),1,0)</f>
        <v/>
      </c>
      <c r="E132" s="7" t="n"/>
      <c r="F132" s="11">
        <f>IF(OR(D132=1,E132=1),1,0)</f>
        <v/>
      </c>
      <c r="G132" s="11">
        <f>IF(F132=1,G131+1,0)</f>
        <v/>
      </c>
      <c r="H132" s="11">
        <f>IF(F132=1,H133+1,0)</f>
        <v/>
      </c>
      <c r="I132" s="11">
        <f>IF(AND(D132=1,E132=1),"もとから休み","")</f>
        <v/>
      </c>
      <c r="J132" s="11">
        <f>IF(F132=1,G132+H132-1,"")</f>
        <v/>
      </c>
      <c r="K132" s="11">
        <f>IF(D132=0,COUNTIF($D$7:D132,0),"")</f>
        <v/>
      </c>
    </row>
    <row r="133">
      <c r="A133" s="10">
        <f>DATE($B$2-1,12,1)+126</f>
        <v/>
      </c>
      <c r="B133" s="11">
        <f>TEXT(A133,"aaa")</f>
        <v/>
      </c>
      <c r="C133" s="12">
        <f>IFERROR(VLOOKUP(A133,'1_祝日'!$A$4:$B$83,2,FALSE),"")</f>
        <v/>
      </c>
      <c r="D133" s="11">
        <f>IF(OR(WEEKDAY(A133,2)&gt;=6,C133&lt;&gt;"",COUNTIF('1_祝日'!$D$4:$D$43,A133)&gt;0,AND($B$3=1,OR(AND(MONTH(A133)=12,DAY(A133)&gt;=29),AND(MONTH(A133)=1,DAY(A133)&lt;=3)))),1,0)</f>
        <v/>
      </c>
      <c r="E133" s="7" t="n"/>
      <c r="F133" s="11">
        <f>IF(OR(D133=1,E133=1),1,0)</f>
        <v/>
      </c>
      <c r="G133" s="11">
        <f>IF(F133=1,G132+1,0)</f>
        <v/>
      </c>
      <c r="H133" s="11">
        <f>IF(F133=1,H134+1,0)</f>
        <v/>
      </c>
      <c r="I133" s="11">
        <f>IF(AND(D133=1,E133=1),"もとから休み","")</f>
        <v/>
      </c>
      <c r="J133" s="11">
        <f>IF(F133=1,G133+H133-1,"")</f>
        <v/>
      </c>
      <c r="K133" s="11">
        <f>IF(D133=0,COUNTIF($D$7:D133,0),"")</f>
        <v/>
      </c>
    </row>
    <row r="134">
      <c r="A134" s="10">
        <f>DATE($B$2-1,12,1)+127</f>
        <v/>
      </c>
      <c r="B134" s="11">
        <f>TEXT(A134,"aaa")</f>
        <v/>
      </c>
      <c r="C134" s="12">
        <f>IFERROR(VLOOKUP(A134,'1_祝日'!$A$4:$B$83,2,FALSE),"")</f>
        <v/>
      </c>
      <c r="D134" s="11">
        <f>IF(OR(WEEKDAY(A134,2)&gt;=6,C134&lt;&gt;"",COUNTIF('1_祝日'!$D$4:$D$43,A134)&gt;0,AND($B$3=1,OR(AND(MONTH(A134)=12,DAY(A134)&gt;=29),AND(MONTH(A134)=1,DAY(A134)&lt;=3)))),1,0)</f>
        <v/>
      </c>
      <c r="E134" s="7" t="n"/>
      <c r="F134" s="11">
        <f>IF(OR(D134=1,E134=1),1,0)</f>
        <v/>
      </c>
      <c r="G134" s="11">
        <f>IF(F134=1,G133+1,0)</f>
        <v/>
      </c>
      <c r="H134" s="11">
        <f>IF(F134=1,H135+1,0)</f>
        <v/>
      </c>
      <c r="I134" s="11">
        <f>IF(AND(D134=1,E134=1),"もとから休み","")</f>
        <v/>
      </c>
      <c r="J134" s="11">
        <f>IF(F134=1,G134+H134-1,"")</f>
        <v/>
      </c>
      <c r="K134" s="11">
        <f>IF(D134=0,COUNTIF($D$7:D134,0),"")</f>
        <v/>
      </c>
    </row>
    <row r="135">
      <c r="A135" s="10">
        <f>DATE($B$2-1,12,1)+128</f>
        <v/>
      </c>
      <c r="B135" s="11">
        <f>TEXT(A135,"aaa")</f>
        <v/>
      </c>
      <c r="C135" s="12">
        <f>IFERROR(VLOOKUP(A135,'1_祝日'!$A$4:$B$83,2,FALSE),"")</f>
        <v/>
      </c>
      <c r="D135" s="11">
        <f>IF(OR(WEEKDAY(A135,2)&gt;=6,C135&lt;&gt;"",COUNTIF('1_祝日'!$D$4:$D$43,A135)&gt;0,AND($B$3=1,OR(AND(MONTH(A135)=12,DAY(A135)&gt;=29),AND(MONTH(A135)=1,DAY(A135)&lt;=3)))),1,0)</f>
        <v/>
      </c>
      <c r="E135" s="7" t="n"/>
      <c r="F135" s="11">
        <f>IF(OR(D135=1,E135=1),1,0)</f>
        <v/>
      </c>
      <c r="G135" s="11">
        <f>IF(F135=1,G134+1,0)</f>
        <v/>
      </c>
      <c r="H135" s="11">
        <f>IF(F135=1,H136+1,0)</f>
        <v/>
      </c>
      <c r="I135" s="11">
        <f>IF(AND(D135=1,E135=1),"もとから休み","")</f>
        <v/>
      </c>
      <c r="J135" s="11">
        <f>IF(F135=1,G135+H135-1,"")</f>
        <v/>
      </c>
      <c r="K135" s="11">
        <f>IF(D135=0,COUNTIF($D$7:D135,0),"")</f>
        <v/>
      </c>
    </row>
    <row r="136">
      <c r="A136" s="10">
        <f>DATE($B$2-1,12,1)+129</f>
        <v/>
      </c>
      <c r="B136" s="11">
        <f>TEXT(A136,"aaa")</f>
        <v/>
      </c>
      <c r="C136" s="12">
        <f>IFERROR(VLOOKUP(A136,'1_祝日'!$A$4:$B$83,2,FALSE),"")</f>
        <v/>
      </c>
      <c r="D136" s="11">
        <f>IF(OR(WEEKDAY(A136,2)&gt;=6,C136&lt;&gt;"",COUNTIF('1_祝日'!$D$4:$D$43,A136)&gt;0,AND($B$3=1,OR(AND(MONTH(A136)=12,DAY(A136)&gt;=29),AND(MONTH(A136)=1,DAY(A136)&lt;=3)))),1,0)</f>
        <v/>
      </c>
      <c r="E136" s="7" t="n"/>
      <c r="F136" s="11">
        <f>IF(OR(D136=1,E136=1),1,0)</f>
        <v/>
      </c>
      <c r="G136" s="11">
        <f>IF(F136=1,G135+1,0)</f>
        <v/>
      </c>
      <c r="H136" s="11">
        <f>IF(F136=1,H137+1,0)</f>
        <v/>
      </c>
      <c r="I136" s="11">
        <f>IF(AND(D136=1,E136=1),"もとから休み","")</f>
        <v/>
      </c>
      <c r="J136" s="11">
        <f>IF(F136=1,G136+H136-1,"")</f>
        <v/>
      </c>
      <c r="K136" s="11">
        <f>IF(D136=0,COUNTIF($D$7:D136,0),"")</f>
        <v/>
      </c>
    </row>
    <row r="137">
      <c r="A137" s="10">
        <f>DATE($B$2-1,12,1)+130</f>
        <v/>
      </c>
      <c r="B137" s="11">
        <f>TEXT(A137,"aaa")</f>
        <v/>
      </c>
      <c r="C137" s="12">
        <f>IFERROR(VLOOKUP(A137,'1_祝日'!$A$4:$B$83,2,FALSE),"")</f>
        <v/>
      </c>
      <c r="D137" s="11">
        <f>IF(OR(WEEKDAY(A137,2)&gt;=6,C137&lt;&gt;"",COUNTIF('1_祝日'!$D$4:$D$43,A137)&gt;0,AND($B$3=1,OR(AND(MONTH(A137)=12,DAY(A137)&gt;=29),AND(MONTH(A137)=1,DAY(A137)&lt;=3)))),1,0)</f>
        <v/>
      </c>
      <c r="E137" s="7" t="n"/>
      <c r="F137" s="11">
        <f>IF(OR(D137=1,E137=1),1,0)</f>
        <v/>
      </c>
      <c r="G137" s="11">
        <f>IF(F137=1,G136+1,0)</f>
        <v/>
      </c>
      <c r="H137" s="11">
        <f>IF(F137=1,H138+1,0)</f>
        <v/>
      </c>
      <c r="I137" s="11">
        <f>IF(AND(D137=1,E137=1),"もとから休み","")</f>
        <v/>
      </c>
      <c r="J137" s="11">
        <f>IF(F137=1,G137+H137-1,"")</f>
        <v/>
      </c>
      <c r="K137" s="11">
        <f>IF(D137=0,COUNTIF($D$7:D137,0),"")</f>
        <v/>
      </c>
    </row>
    <row r="138">
      <c r="A138" s="10">
        <f>DATE($B$2-1,12,1)+131</f>
        <v/>
      </c>
      <c r="B138" s="11">
        <f>TEXT(A138,"aaa")</f>
        <v/>
      </c>
      <c r="C138" s="12">
        <f>IFERROR(VLOOKUP(A138,'1_祝日'!$A$4:$B$83,2,FALSE),"")</f>
        <v/>
      </c>
      <c r="D138" s="11">
        <f>IF(OR(WEEKDAY(A138,2)&gt;=6,C138&lt;&gt;"",COUNTIF('1_祝日'!$D$4:$D$43,A138)&gt;0,AND($B$3=1,OR(AND(MONTH(A138)=12,DAY(A138)&gt;=29),AND(MONTH(A138)=1,DAY(A138)&lt;=3)))),1,0)</f>
        <v/>
      </c>
      <c r="E138" s="7" t="n"/>
      <c r="F138" s="11">
        <f>IF(OR(D138=1,E138=1),1,0)</f>
        <v/>
      </c>
      <c r="G138" s="11">
        <f>IF(F138=1,G137+1,0)</f>
        <v/>
      </c>
      <c r="H138" s="11">
        <f>IF(F138=1,H139+1,0)</f>
        <v/>
      </c>
      <c r="I138" s="11">
        <f>IF(AND(D138=1,E138=1),"もとから休み","")</f>
        <v/>
      </c>
      <c r="J138" s="11">
        <f>IF(F138=1,G138+H138-1,"")</f>
        <v/>
      </c>
      <c r="K138" s="11">
        <f>IF(D138=0,COUNTIF($D$7:D138,0),"")</f>
        <v/>
      </c>
    </row>
    <row r="139">
      <c r="A139" s="10">
        <f>DATE($B$2-1,12,1)+132</f>
        <v/>
      </c>
      <c r="B139" s="11">
        <f>TEXT(A139,"aaa")</f>
        <v/>
      </c>
      <c r="C139" s="12">
        <f>IFERROR(VLOOKUP(A139,'1_祝日'!$A$4:$B$83,2,FALSE),"")</f>
        <v/>
      </c>
      <c r="D139" s="11">
        <f>IF(OR(WEEKDAY(A139,2)&gt;=6,C139&lt;&gt;"",COUNTIF('1_祝日'!$D$4:$D$43,A139)&gt;0,AND($B$3=1,OR(AND(MONTH(A139)=12,DAY(A139)&gt;=29),AND(MONTH(A139)=1,DAY(A139)&lt;=3)))),1,0)</f>
        <v/>
      </c>
      <c r="E139" s="7" t="n"/>
      <c r="F139" s="11">
        <f>IF(OR(D139=1,E139=1),1,0)</f>
        <v/>
      </c>
      <c r="G139" s="11">
        <f>IF(F139=1,G138+1,0)</f>
        <v/>
      </c>
      <c r="H139" s="11">
        <f>IF(F139=1,H140+1,0)</f>
        <v/>
      </c>
      <c r="I139" s="11">
        <f>IF(AND(D139=1,E139=1),"もとから休み","")</f>
        <v/>
      </c>
      <c r="J139" s="11">
        <f>IF(F139=1,G139+H139-1,"")</f>
        <v/>
      </c>
      <c r="K139" s="11">
        <f>IF(D139=0,COUNTIF($D$7:D139,0),"")</f>
        <v/>
      </c>
    </row>
    <row r="140">
      <c r="A140" s="10">
        <f>DATE($B$2-1,12,1)+133</f>
        <v/>
      </c>
      <c r="B140" s="11">
        <f>TEXT(A140,"aaa")</f>
        <v/>
      </c>
      <c r="C140" s="12">
        <f>IFERROR(VLOOKUP(A140,'1_祝日'!$A$4:$B$83,2,FALSE),"")</f>
        <v/>
      </c>
      <c r="D140" s="11">
        <f>IF(OR(WEEKDAY(A140,2)&gt;=6,C140&lt;&gt;"",COUNTIF('1_祝日'!$D$4:$D$43,A140)&gt;0,AND($B$3=1,OR(AND(MONTH(A140)=12,DAY(A140)&gt;=29),AND(MONTH(A140)=1,DAY(A140)&lt;=3)))),1,0)</f>
        <v/>
      </c>
      <c r="E140" s="7" t="n"/>
      <c r="F140" s="11">
        <f>IF(OR(D140=1,E140=1),1,0)</f>
        <v/>
      </c>
      <c r="G140" s="11">
        <f>IF(F140=1,G139+1,0)</f>
        <v/>
      </c>
      <c r="H140" s="11">
        <f>IF(F140=1,H141+1,0)</f>
        <v/>
      </c>
      <c r="I140" s="11">
        <f>IF(AND(D140=1,E140=1),"もとから休み","")</f>
        <v/>
      </c>
      <c r="J140" s="11">
        <f>IF(F140=1,G140+H140-1,"")</f>
        <v/>
      </c>
      <c r="K140" s="11">
        <f>IF(D140=0,COUNTIF($D$7:D140,0),"")</f>
        <v/>
      </c>
    </row>
    <row r="141">
      <c r="A141" s="10">
        <f>DATE($B$2-1,12,1)+134</f>
        <v/>
      </c>
      <c r="B141" s="11">
        <f>TEXT(A141,"aaa")</f>
        <v/>
      </c>
      <c r="C141" s="12">
        <f>IFERROR(VLOOKUP(A141,'1_祝日'!$A$4:$B$83,2,FALSE),"")</f>
        <v/>
      </c>
      <c r="D141" s="11">
        <f>IF(OR(WEEKDAY(A141,2)&gt;=6,C141&lt;&gt;"",COUNTIF('1_祝日'!$D$4:$D$43,A141)&gt;0,AND($B$3=1,OR(AND(MONTH(A141)=12,DAY(A141)&gt;=29),AND(MONTH(A141)=1,DAY(A141)&lt;=3)))),1,0)</f>
        <v/>
      </c>
      <c r="E141" s="7" t="n"/>
      <c r="F141" s="11">
        <f>IF(OR(D141=1,E141=1),1,0)</f>
        <v/>
      </c>
      <c r="G141" s="11">
        <f>IF(F141=1,G140+1,0)</f>
        <v/>
      </c>
      <c r="H141" s="11">
        <f>IF(F141=1,H142+1,0)</f>
        <v/>
      </c>
      <c r="I141" s="11">
        <f>IF(AND(D141=1,E141=1),"もとから休み","")</f>
        <v/>
      </c>
      <c r="J141" s="11">
        <f>IF(F141=1,G141+H141-1,"")</f>
        <v/>
      </c>
      <c r="K141" s="11">
        <f>IF(D141=0,COUNTIF($D$7:D141,0),"")</f>
        <v/>
      </c>
    </row>
    <row r="142">
      <c r="A142" s="10">
        <f>DATE($B$2-1,12,1)+135</f>
        <v/>
      </c>
      <c r="B142" s="11">
        <f>TEXT(A142,"aaa")</f>
        <v/>
      </c>
      <c r="C142" s="12">
        <f>IFERROR(VLOOKUP(A142,'1_祝日'!$A$4:$B$83,2,FALSE),"")</f>
        <v/>
      </c>
      <c r="D142" s="11">
        <f>IF(OR(WEEKDAY(A142,2)&gt;=6,C142&lt;&gt;"",COUNTIF('1_祝日'!$D$4:$D$43,A142)&gt;0,AND($B$3=1,OR(AND(MONTH(A142)=12,DAY(A142)&gt;=29),AND(MONTH(A142)=1,DAY(A142)&lt;=3)))),1,0)</f>
        <v/>
      </c>
      <c r="E142" s="7" t="n"/>
      <c r="F142" s="11">
        <f>IF(OR(D142=1,E142=1),1,0)</f>
        <v/>
      </c>
      <c r="G142" s="11">
        <f>IF(F142=1,G141+1,0)</f>
        <v/>
      </c>
      <c r="H142" s="11">
        <f>IF(F142=1,H143+1,0)</f>
        <v/>
      </c>
      <c r="I142" s="11">
        <f>IF(AND(D142=1,E142=1),"もとから休み","")</f>
        <v/>
      </c>
      <c r="J142" s="11">
        <f>IF(F142=1,G142+H142-1,"")</f>
        <v/>
      </c>
      <c r="K142" s="11">
        <f>IF(D142=0,COUNTIF($D$7:D142,0),"")</f>
        <v/>
      </c>
    </row>
    <row r="143">
      <c r="A143" s="10">
        <f>DATE($B$2-1,12,1)+136</f>
        <v/>
      </c>
      <c r="B143" s="11">
        <f>TEXT(A143,"aaa")</f>
        <v/>
      </c>
      <c r="C143" s="12">
        <f>IFERROR(VLOOKUP(A143,'1_祝日'!$A$4:$B$83,2,FALSE),"")</f>
        <v/>
      </c>
      <c r="D143" s="11">
        <f>IF(OR(WEEKDAY(A143,2)&gt;=6,C143&lt;&gt;"",COUNTIF('1_祝日'!$D$4:$D$43,A143)&gt;0,AND($B$3=1,OR(AND(MONTH(A143)=12,DAY(A143)&gt;=29),AND(MONTH(A143)=1,DAY(A143)&lt;=3)))),1,0)</f>
        <v/>
      </c>
      <c r="E143" s="7" t="n"/>
      <c r="F143" s="11">
        <f>IF(OR(D143=1,E143=1),1,0)</f>
        <v/>
      </c>
      <c r="G143" s="11">
        <f>IF(F143=1,G142+1,0)</f>
        <v/>
      </c>
      <c r="H143" s="11">
        <f>IF(F143=1,H144+1,0)</f>
        <v/>
      </c>
      <c r="I143" s="11">
        <f>IF(AND(D143=1,E143=1),"もとから休み","")</f>
        <v/>
      </c>
      <c r="J143" s="11">
        <f>IF(F143=1,G143+H143-1,"")</f>
        <v/>
      </c>
      <c r="K143" s="11">
        <f>IF(D143=0,COUNTIF($D$7:D143,0),"")</f>
        <v/>
      </c>
    </row>
    <row r="144">
      <c r="A144" s="10">
        <f>DATE($B$2-1,12,1)+137</f>
        <v/>
      </c>
      <c r="B144" s="11">
        <f>TEXT(A144,"aaa")</f>
        <v/>
      </c>
      <c r="C144" s="12">
        <f>IFERROR(VLOOKUP(A144,'1_祝日'!$A$4:$B$83,2,FALSE),"")</f>
        <v/>
      </c>
      <c r="D144" s="11">
        <f>IF(OR(WEEKDAY(A144,2)&gt;=6,C144&lt;&gt;"",COUNTIF('1_祝日'!$D$4:$D$43,A144)&gt;0,AND($B$3=1,OR(AND(MONTH(A144)=12,DAY(A144)&gt;=29),AND(MONTH(A144)=1,DAY(A144)&lt;=3)))),1,0)</f>
        <v/>
      </c>
      <c r="E144" s="7" t="n"/>
      <c r="F144" s="11">
        <f>IF(OR(D144=1,E144=1),1,0)</f>
        <v/>
      </c>
      <c r="G144" s="11">
        <f>IF(F144=1,G143+1,0)</f>
        <v/>
      </c>
      <c r="H144" s="11">
        <f>IF(F144=1,H145+1,0)</f>
        <v/>
      </c>
      <c r="I144" s="11">
        <f>IF(AND(D144=1,E144=1),"もとから休み","")</f>
        <v/>
      </c>
      <c r="J144" s="11">
        <f>IF(F144=1,G144+H144-1,"")</f>
        <v/>
      </c>
      <c r="K144" s="11">
        <f>IF(D144=0,COUNTIF($D$7:D144,0),"")</f>
        <v/>
      </c>
    </row>
    <row r="145">
      <c r="A145" s="10">
        <f>DATE($B$2-1,12,1)+138</f>
        <v/>
      </c>
      <c r="B145" s="11">
        <f>TEXT(A145,"aaa")</f>
        <v/>
      </c>
      <c r="C145" s="12">
        <f>IFERROR(VLOOKUP(A145,'1_祝日'!$A$4:$B$83,2,FALSE),"")</f>
        <v/>
      </c>
      <c r="D145" s="11">
        <f>IF(OR(WEEKDAY(A145,2)&gt;=6,C145&lt;&gt;"",COUNTIF('1_祝日'!$D$4:$D$43,A145)&gt;0,AND($B$3=1,OR(AND(MONTH(A145)=12,DAY(A145)&gt;=29),AND(MONTH(A145)=1,DAY(A145)&lt;=3)))),1,0)</f>
        <v/>
      </c>
      <c r="E145" s="7" t="n"/>
      <c r="F145" s="11">
        <f>IF(OR(D145=1,E145=1),1,0)</f>
        <v/>
      </c>
      <c r="G145" s="11">
        <f>IF(F145=1,G144+1,0)</f>
        <v/>
      </c>
      <c r="H145" s="11">
        <f>IF(F145=1,H146+1,0)</f>
        <v/>
      </c>
      <c r="I145" s="11">
        <f>IF(AND(D145=1,E145=1),"もとから休み","")</f>
        <v/>
      </c>
      <c r="J145" s="11">
        <f>IF(F145=1,G145+H145-1,"")</f>
        <v/>
      </c>
      <c r="K145" s="11">
        <f>IF(D145=0,COUNTIF($D$7:D145,0),"")</f>
        <v/>
      </c>
    </row>
    <row r="146">
      <c r="A146" s="10">
        <f>DATE($B$2-1,12,1)+139</f>
        <v/>
      </c>
      <c r="B146" s="11">
        <f>TEXT(A146,"aaa")</f>
        <v/>
      </c>
      <c r="C146" s="12">
        <f>IFERROR(VLOOKUP(A146,'1_祝日'!$A$4:$B$83,2,FALSE),"")</f>
        <v/>
      </c>
      <c r="D146" s="11">
        <f>IF(OR(WEEKDAY(A146,2)&gt;=6,C146&lt;&gt;"",COUNTIF('1_祝日'!$D$4:$D$43,A146)&gt;0,AND($B$3=1,OR(AND(MONTH(A146)=12,DAY(A146)&gt;=29),AND(MONTH(A146)=1,DAY(A146)&lt;=3)))),1,0)</f>
        <v/>
      </c>
      <c r="E146" s="7" t="n"/>
      <c r="F146" s="11">
        <f>IF(OR(D146=1,E146=1),1,0)</f>
        <v/>
      </c>
      <c r="G146" s="11">
        <f>IF(F146=1,G145+1,0)</f>
        <v/>
      </c>
      <c r="H146" s="11">
        <f>IF(F146=1,H147+1,0)</f>
        <v/>
      </c>
      <c r="I146" s="11">
        <f>IF(AND(D146=1,E146=1),"もとから休み","")</f>
        <v/>
      </c>
      <c r="J146" s="11">
        <f>IF(F146=1,G146+H146-1,"")</f>
        <v/>
      </c>
      <c r="K146" s="11">
        <f>IF(D146=0,COUNTIF($D$7:D146,0),"")</f>
        <v/>
      </c>
    </row>
    <row r="147">
      <c r="A147" s="10">
        <f>DATE($B$2-1,12,1)+140</f>
        <v/>
      </c>
      <c r="B147" s="11">
        <f>TEXT(A147,"aaa")</f>
        <v/>
      </c>
      <c r="C147" s="12">
        <f>IFERROR(VLOOKUP(A147,'1_祝日'!$A$4:$B$83,2,FALSE),"")</f>
        <v/>
      </c>
      <c r="D147" s="11">
        <f>IF(OR(WEEKDAY(A147,2)&gt;=6,C147&lt;&gt;"",COUNTIF('1_祝日'!$D$4:$D$43,A147)&gt;0,AND($B$3=1,OR(AND(MONTH(A147)=12,DAY(A147)&gt;=29),AND(MONTH(A147)=1,DAY(A147)&lt;=3)))),1,0)</f>
        <v/>
      </c>
      <c r="E147" s="7" t="n"/>
      <c r="F147" s="11">
        <f>IF(OR(D147=1,E147=1),1,0)</f>
        <v/>
      </c>
      <c r="G147" s="11">
        <f>IF(F147=1,G146+1,0)</f>
        <v/>
      </c>
      <c r="H147" s="11">
        <f>IF(F147=1,H148+1,0)</f>
        <v/>
      </c>
      <c r="I147" s="11">
        <f>IF(AND(D147=1,E147=1),"もとから休み","")</f>
        <v/>
      </c>
      <c r="J147" s="11">
        <f>IF(F147=1,G147+H147-1,"")</f>
        <v/>
      </c>
      <c r="K147" s="11">
        <f>IF(D147=0,COUNTIF($D$7:D147,0),"")</f>
        <v/>
      </c>
    </row>
    <row r="148">
      <c r="A148" s="10">
        <f>DATE($B$2-1,12,1)+141</f>
        <v/>
      </c>
      <c r="B148" s="11">
        <f>TEXT(A148,"aaa")</f>
        <v/>
      </c>
      <c r="C148" s="12">
        <f>IFERROR(VLOOKUP(A148,'1_祝日'!$A$4:$B$83,2,FALSE),"")</f>
        <v/>
      </c>
      <c r="D148" s="11">
        <f>IF(OR(WEEKDAY(A148,2)&gt;=6,C148&lt;&gt;"",COUNTIF('1_祝日'!$D$4:$D$43,A148)&gt;0,AND($B$3=1,OR(AND(MONTH(A148)=12,DAY(A148)&gt;=29),AND(MONTH(A148)=1,DAY(A148)&lt;=3)))),1,0)</f>
        <v/>
      </c>
      <c r="E148" s="7" t="n"/>
      <c r="F148" s="11">
        <f>IF(OR(D148=1,E148=1),1,0)</f>
        <v/>
      </c>
      <c r="G148" s="11">
        <f>IF(F148=1,G147+1,0)</f>
        <v/>
      </c>
      <c r="H148" s="11">
        <f>IF(F148=1,H149+1,0)</f>
        <v/>
      </c>
      <c r="I148" s="11">
        <f>IF(AND(D148=1,E148=1),"もとから休み","")</f>
        <v/>
      </c>
      <c r="J148" s="11">
        <f>IF(F148=1,G148+H148-1,"")</f>
        <v/>
      </c>
      <c r="K148" s="11">
        <f>IF(D148=0,COUNTIF($D$7:D148,0),"")</f>
        <v/>
      </c>
    </row>
    <row r="149">
      <c r="A149" s="10">
        <f>DATE($B$2-1,12,1)+142</f>
        <v/>
      </c>
      <c r="B149" s="11">
        <f>TEXT(A149,"aaa")</f>
        <v/>
      </c>
      <c r="C149" s="12">
        <f>IFERROR(VLOOKUP(A149,'1_祝日'!$A$4:$B$83,2,FALSE),"")</f>
        <v/>
      </c>
      <c r="D149" s="11">
        <f>IF(OR(WEEKDAY(A149,2)&gt;=6,C149&lt;&gt;"",COUNTIF('1_祝日'!$D$4:$D$43,A149)&gt;0,AND($B$3=1,OR(AND(MONTH(A149)=12,DAY(A149)&gt;=29),AND(MONTH(A149)=1,DAY(A149)&lt;=3)))),1,0)</f>
        <v/>
      </c>
      <c r="E149" s="7" t="n"/>
      <c r="F149" s="11">
        <f>IF(OR(D149=1,E149=1),1,0)</f>
        <v/>
      </c>
      <c r="G149" s="11">
        <f>IF(F149=1,G148+1,0)</f>
        <v/>
      </c>
      <c r="H149" s="11">
        <f>IF(F149=1,H150+1,0)</f>
        <v/>
      </c>
      <c r="I149" s="11">
        <f>IF(AND(D149=1,E149=1),"もとから休み","")</f>
        <v/>
      </c>
      <c r="J149" s="11">
        <f>IF(F149=1,G149+H149-1,"")</f>
        <v/>
      </c>
      <c r="K149" s="11">
        <f>IF(D149=0,COUNTIF($D$7:D149,0),"")</f>
        <v/>
      </c>
    </row>
    <row r="150">
      <c r="A150" s="10">
        <f>DATE($B$2-1,12,1)+143</f>
        <v/>
      </c>
      <c r="B150" s="11">
        <f>TEXT(A150,"aaa")</f>
        <v/>
      </c>
      <c r="C150" s="12">
        <f>IFERROR(VLOOKUP(A150,'1_祝日'!$A$4:$B$83,2,FALSE),"")</f>
        <v/>
      </c>
      <c r="D150" s="11">
        <f>IF(OR(WEEKDAY(A150,2)&gt;=6,C150&lt;&gt;"",COUNTIF('1_祝日'!$D$4:$D$43,A150)&gt;0,AND($B$3=1,OR(AND(MONTH(A150)=12,DAY(A150)&gt;=29),AND(MONTH(A150)=1,DAY(A150)&lt;=3)))),1,0)</f>
        <v/>
      </c>
      <c r="E150" s="7" t="n"/>
      <c r="F150" s="11">
        <f>IF(OR(D150=1,E150=1),1,0)</f>
        <v/>
      </c>
      <c r="G150" s="11">
        <f>IF(F150=1,G149+1,0)</f>
        <v/>
      </c>
      <c r="H150" s="11">
        <f>IF(F150=1,H151+1,0)</f>
        <v/>
      </c>
      <c r="I150" s="11">
        <f>IF(AND(D150=1,E150=1),"もとから休み","")</f>
        <v/>
      </c>
      <c r="J150" s="11">
        <f>IF(F150=1,G150+H150-1,"")</f>
        <v/>
      </c>
      <c r="K150" s="11">
        <f>IF(D150=0,COUNTIF($D$7:D150,0),"")</f>
        <v/>
      </c>
    </row>
    <row r="151">
      <c r="A151" s="10">
        <f>DATE($B$2-1,12,1)+144</f>
        <v/>
      </c>
      <c r="B151" s="11">
        <f>TEXT(A151,"aaa")</f>
        <v/>
      </c>
      <c r="C151" s="12">
        <f>IFERROR(VLOOKUP(A151,'1_祝日'!$A$4:$B$83,2,FALSE),"")</f>
        <v/>
      </c>
      <c r="D151" s="11">
        <f>IF(OR(WEEKDAY(A151,2)&gt;=6,C151&lt;&gt;"",COUNTIF('1_祝日'!$D$4:$D$43,A151)&gt;0,AND($B$3=1,OR(AND(MONTH(A151)=12,DAY(A151)&gt;=29),AND(MONTH(A151)=1,DAY(A151)&lt;=3)))),1,0)</f>
        <v/>
      </c>
      <c r="E151" s="7" t="n"/>
      <c r="F151" s="11">
        <f>IF(OR(D151=1,E151=1),1,0)</f>
        <v/>
      </c>
      <c r="G151" s="11">
        <f>IF(F151=1,G150+1,0)</f>
        <v/>
      </c>
      <c r="H151" s="11">
        <f>IF(F151=1,H152+1,0)</f>
        <v/>
      </c>
      <c r="I151" s="11">
        <f>IF(AND(D151=1,E151=1),"もとから休み","")</f>
        <v/>
      </c>
      <c r="J151" s="11">
        <f>IF(F151=1,G151+H151-1,"")</f>
        <v/>
      </c>
      <c r="K151" s="11">
        <f>IF(D151=0,COUNTIF($D$7:D151,0),"")</f>
        <v/>
      </c>
    </row>
    <row r="152">
      <c r="A152" s="10">
        <f>DATE($B$2-1,12,1)+145</f>
        <v/>
      </c>
      <c r="B152" s="11">
        <f>TEXT(A152,"aaa")</f>
        <v/>
      </c>
      <c r="C152" s="12">
        <f>IFERROR(VLOOKUP(A152,'1_祝日'!$A$4:$B$83,2,FALSE),"")</f>
        <v/>
      </c>
      <c r="D152" s="11">
        <f>IF(OR(WEEKDAY(A152,2)&gt;=6,C152&lt;&gt;"",COUNTIF('1_祝日'!$D$4:$D$43,A152)&gt;0,AND($B$3=1,OR(AND(MONTH(A152)=12,DAY(A152)&gt;=29),AND(MONTH(A152)=1,DAY(A152)&lt;=3)))),1,0)</f>
        <v/>
      </c>
      <c r="E152" s="7" t="n"/>
      <c r="F152" s="11">
        <f>IF(OR(D152=1,E152=1),1,0)</f>
        <v/>
      </c>
      <c r="G152" s="11">
        <f>IF(F152=1,G151+1,0)</f>
        <v/>
      </c>
      <c r="H152" s="11">
        <f>IF(F152=1,H153+1,0)</f>
        <v/>
      </c>
      <c r="I152" s="11">
        <f>IF(AND(D152=1,E152=1),"もとから休み","")</f>
        <v/>
      </c>
      <c r="J152" s="11">
        <f>IF(F152=1,G152+H152-1,"")</f>
        <v/>
      </c>
      <c r="K152" s="11">
        <f>IF(D152=0,COUNTIF($D$7:D152,0),"")</f>
        <v/>
      </c>
    </row>
    <row r="153">
      <c r="A153" s="10">
        <f>DATE($B$2-1,12,1)+146</f>
        <v/>
      </c>
      <c r="B153" s="11">
        <f>TEXT(A153,"aaa")</f>
        <v/>
      </c>
      <c r="C153" s="12">
        <f>IFERROR(VLOOKUP(A153,'1_祝日'!$A$4:$B$83,2,FALSE),"")</f>
        <v/>
      </c>
      <c r="D153" s="11">
        <f>IF(OR(WEEKDAY(A153,2)&gt;=6,C153&lt;&gt;"",COUNTIF('1_祝日'!$D$4:$D$43,A153)&gt;0,AND($B$3=1,OR(AND(MONTH(A153)=12,DAY(A153)&gt;=29),AND(MONTH(A153)=1,DAY(A153)&lt;=3)))),1,0)</f>
        <v/>
      </c>
      <c r="E153" s="7" t="n"/>
      <c r="F153" s="11">
        <f>IF(OR(D153=1,E153=1),1,0)</f>
        <v/>
      </c>
      <c r="G153" s="11">
        <f>IF(F153=1,G152+1,0)</f>
        <v/>
      </c>
      <c r="H153" s="11">
        <f>IF(F153=1,H154+1,0)</f>
        <v/>
      </c>
      <c r="I153" s="11">
        <f>IF(AND(D153=1,E153=1),"もとから休み","")</f>
        <v/>
      </c>
      <c r="J153" s="11">
        <f>IF(F153=1,G153+H153-1,"")</f>
        <v/>
      </c>
      <c r="K153" s="11">
        <f>IF(D153=0,COUNTIF($D$7:D153,0),"")</f>
        <v/>
      </c>
    </row>
    <row r="154">
      <c r="A154" s="10">
        <f>DATE($B$2-1,12,1)+147</f>
        <v/>
      </c>
      <c r="B154" s="11">
        <f>TEXT(A154,"aaa")</f>
        <v/>
      </c>
      <c r="C154" s="12">
        <f>IFERROR(VLOOKUP(A154,'1_祝日'!$A$4:$B$83,2,FALSE),"")</f>
        <v/>
      </c>
      <c r="D154" s="11">
        <f>IF(OR(WEEKDAY(A154,2)&gt;=6,C154&lt;&gt;"",COUNTIF('1_祝日'!$D$4:$D$43,A154)&gt;0,AND($B$3=1,OR(AND(MONTH(A154)=12,DAY(A154)&gt;=29),AND(MONTH(A154)=1,DAY(A154)&lt;=3)))),1,0)</f>
        <v/>
      </c>
      <c r="E154" s="7" t="n"/>
      <c r="F154" s="11">
        <f>IF(OR(D154=1,E154=1),1,0)</f>
        <v/>
      </c>
      <c r="G154" s="11">
        <f>IF(F154=1,G153+1,0)</f>
        <v/>
      </c>
      <c r="H154" s="11">
        <f>IF(F154=1,H155+1,0)</f>
        <v/>
      </c>
      <c r="I154" s="11">
        <f>IF(AND(D154=1,E154=1),"もとから休み","")</f>
        <v/>
      </c>
      <c r="J154" s="11">
        <f>IF(F154=1,G154+H154-1,"")</f>
        <v/>
      </c>
      <c r="K154" s="11">
        <f>IF(D154=0,COUNTIF($D$7:D154,0),"")</f>
        <v/>
      </c>
    </row>
    <row r="155">
      <c r="A155" s="10">
        <f>DATE($B$2-1,12,1)+148</f>
        <v/>
      </c>
      <c r="B155" s="11">
        <f>TEXT(A155,"aaa")</f>
        <v/>
      </c>
      <c r="C155" s="12">
        <f>IFERROR(VLOOKUP(A155,'1_祝日'!$A$4:$B$83,2,FALSE),"")</f>
        <v/>
      </c>
      <c r="D155" s="11">
        <f>IF(OR(WEEKDAY(A155,2)&gt;=6,C155&lt;&gt;"",COUNTIF('1_祝日'!$D$4:$D$43,A155)&gt;0,AND($B$3=1,OR(AND(MONTH(A155)=12,DAY(A155)&gt;=29),AND(MONTH(A155)=1,DAY(A155)&lt;=3)))),1,0)</f>
        <v/>
      </c>
      <c r="E155" s="7" t="n"/>
      <c r="F155" s="11">
        <f>IF(OR(D155=1,E155=1),1,0)</f>
        <v/>
      </c>
      <c r="G155" s="11">
        <f>IF(F155=1,G154+1,0)</f>
        <v/>
      </c>
      <c r="H155" s="11">
        <f>IF(F155=1,H156+1,0)</f>
        <v/>
      </c>
      <c r="I155" s="11">
        <f>IF(AND(D155=1,E155=1),"もとから休み","")</f>
        <v/>
      </c>
      <c r="J155" s="11">
        <f>IF(F155=1,G155+H155-1,"")</f>
        <v/>
      </c>
      <c r="K155" s="11">
        <f>IF(D155=0,COUNTIF($D$7:D155,0),"")</f>
        <v/>
      </c>
    </row>
    <row r="156">
      <c r="A156" s="10">
        <f>DATE($B$2-1,12,1)+149</f>
        <v/>
      </c>
      <c r="B156" s="11">
        <f>TEXT(A156,"aaa")</f>
        <v/>
      </c>
      <c r="C156" s="12">
        <f>IFERROR(VLOOKUP(A156,'1_祝日'!$A$4:$B$83,2,FALSE),"")</f>
        <v/>
      </c>
      <c r="D156" s="11">
        <f>IF(OR(WEEKDAY(A156,2)&gt;=6,C156&lt;&gt;"",COUNTIF('1_祝日'!$D$4:$D$43,A156)&gt;0,AND($B$3=1,OR(AND(MONTH(A156)=12,DAY(A156)&gt;=29),AND(MONTH(A156)=1,DAY(A156)&lt;=3)))),1,0)</f>
        <v/>
      </c>
      <c r="E156" s="7" t="n"/>
      <c r="F156" s="11">
        <f>IF(OR(D156=1,E156=1),1,0)</f>
        <v/>
      </c>
      <c r="G156" s="11">
        <f>IF(F156=1,G155+1,0)</f>
        <v/>
      </c>
      <c r="H156" s="11">
        <f>IF(F156=1,H157+1,0)</f>
        <v/>
      </c>
      <c r="I156" s="11">
        <f>IF(AND(D156=1,E156=1),"もとから休み","")</f>
        <v/>
      </c>
      <c r="J156" s="11">
        <f>IF(F156=1,G156+H156-1,"")</f>
        <v/>
      </c>
      <c r="K156" s="11">
        <f>IF(D156=0,COUNTIF($D$7:D156,0),"")</f>
        <v/>
      </c>
    </row>
    <row r="157">
      <c r="A157" s="10">
        <f>DATE($B$2-1,12,1)+150</f>
        <v/>
      </c>
      <c r="B157" s="11">
        <f>TEXT(A157,"aaa")</f>
        <v/>
      </c>
      <c r="C157" s="12">
        <f>IFERROR(VLOOKUP(A157,'1_祝日'!$A$4:$B$83,2,FALSE),"")</f>
        <v/>
      </c>
      <c r="D157" s="11">
        <f>IF(OR(WEEKDAY(A157,2)&gt;=6,C157&lt;&gt;"",COUNTIF('1_祝日'!$D$4:$D$43,A157)&gt;0,AND($B$3=1,OR(AND(MONTH(A157)=12,DAY(A157)&gt;=29),AND(MONTH(A157)=1,DAY(A157)&lt;=3)))),1,0)</f>
        <v/>
      </c>
      <c r="E157" s="7" t="n">
        <v>1</v>
      </c>
      <c r="F157" s="11">
        <f>IF(OR(D157=1,E157=1),1,0)</f>
        <v/>
      </c>
      <c r="G157" s="11">
        <f>IF(F157=1,G156+1,0)</f>
        <v/>
      </c>
      <c r="H157" s="11">
        <f>IF(F157=1,H158+1,0)</f>
        <v/>
      </c>
      <c r="I157" s="11">
        <f>IF(AND(D157=1,E157=1),"もとから休み","")</f>
        <v/>
      </c>
      <c r="J157" s="11">
        <f>IF(F157=1,G157+H157-1,"")</f>
        <v/>
      </c>
      <c r="K157" s="11">
        <f>IF(D157=0,COUNTIF($D$7:D157,0),"")</f>
        <v/>
      </c>
    </row>
    <row r="158">
      <c r="A158" s="10">
        <f>DATE($B$2-1,12,1)+151</f>
        <v/>
      </c>
      <c r="B158" s="11">
        <f>TEXT(A158,"aaa")</f>
        <v/>
      </c>
      <c r="C158" s="12">
        <f>IFERROR(VLOOKUP(A158,'1_祝日'!$A$4:$B$83,2,FALSE),"")</f>
        <v/>
      </c>
      <c r="D158" s="11">
        <f>IF(OR(WEEKDAY(A158,2)&gt;=6,C158&lt;&gt;"",COUNTIF('1_祝日'!$D$4:$D$43,A158)&gt;0,AND($B$3=1,OR(AND(MONTH(A158)=12,DAY(A158)&gt;=29),AND(MONTH(A158)=1,DAY(A158)&lt;=3)))),1,0)</f>
        <v/>
      </c>
      <c r="E158" s="7" t="n"/>
      <c r="F158" s="11">
        <f>IF(OR(D158=1,E158=1),1,0)</f>
        <v/>
      </c>
      <c r="G158" s="11">
        <f>IF(F158=1,G157+1,0)</f>
        <v/>
      </c>
      <c r="H158" s="11">
        <f>IF(F158=1,H159+1,0)</f>
        <v/>
      </c>
      <c r="I158" s="11">
        <f>IF(AND(D158=1,E158=1),"もとから休み","")</f>
        <v/>
      </c>
      <c r="J158" s="11">
        <f>IF(F158=1,G158+H158-1,"")</f>
        <v/>
      </c>
      <c r="K158" s="11">
        <f>IF(D158=0,COUNTIF($D$7:D158,0),"")</f>
        <v/>
      </c>
    </row>
    <row r="159">
      <c r="A159" s="10">
        <f>DATE($B$2-1,12,1)+152</f>
        <v/>
      </c>
      <c r="B159" s="11">
        <f>TEXT(A159,"aaa")</f>
        <v/>
      </c>
      <c r="C159" s="12">
        <f>IFERROR(VLOOKUP(A159,'1_祝日'!$A$4:$B$83,2,FALSE),"")</f>
        <v/>
      </c>
      <c r="D159" s="11">
        <f>IF(OR(WEEKDAY(A159,2)&gt;=6,C159&lt;&gt;"",COUNTIF('1_祝日'!$D$4:$D$43,A159)&gt;0,AND($B$3=1,OR(AND(MONTH(A159)=12,DAY(A159)&gt;=29),AND(MONTH(A159)=1,DAY(A159)&lt;=3)))),1,0)</f>
        <v/>
      </c>
      <c r="E159" s="7" t="n"/>
      <c r="F159" s="11">
        <f>IF(OR(D159=1,E159=1),1,0)</f>
        <v/>
      </c>
      <c r="G159" s="11">
        <f>IF(F159=1,G158+1,0)</f>
        <v/>
      </c>
      <c r="H159" s="11">
        <f>IF(F159=1,H160+1,0)</f>
        <v/>
      </c>
      <c r="I159" s="11">
        <f>IF(AND(D159=1,E159=1),"もとから休み","")</f>
        <v/>
      </c>
      <c r="J159" s="11">
        <f>IF(F159=1,G159+H159-1,"")</f>
        <v/>
      </c>
      <c r="K159" s="11">
        <f>IF(D159=0,COUNTIF($D$7:D159,0),"")</f>
        <v/>
      </c>
    </row>
    <row r="160">
      <c r="A160" s="10">
        <f>DATE($B$2-1,12,1)+153</f>
        <v/>
      </c>
      <c r="B160" s="11">
        <f>TEXT(A160,"aaa")</f>
        <v/>
      </c>
      <c r="C160" s="12">
        <f>IFERROR(VLOOKUP(A160,'1_祝日'!$A$4:$B$83,2,FALSE),"")</f>
        <v/>
      </c>
      <c r="D160" s="11">
        <f>IF(OR(WEEKDAY(A160,2)&gt;=6,C160&lt;&gt;"",COUNTIF('1_祝日'!$D$4:$D$43,A160)&gt;0,AND($B$3=1,OR(AND(MONTH(A160)=12,DAY(A160)&gt;=29),AND(MONTH(A160)=1,DAY(A160)&lt;=3)))),1,0)</f>
        <v/>
      </c>
      <c r="E160" s="7" t="n"/>
      <c r="F160" s="11">
        <f>IF(OR(D160=1,E160=1),1,0)</f>
        <v/>
      </c>
      <c r="G160" s="11">
        <f>IF(F160=1,G159+1,0)</f>
        <v/>
      </c>
      <c r="H160" s="11">
        <f>IF(F160=1,H161+1,0)</f>
        <v/>
      </c>
      <c r="I160" s="11">
        <f>IF(AND(D160=1,E160=1),"もとから休み","")</f>
        <v/>
      </c>
      <c r="J160" s="11">
        <f>IF(F160=1,G160+H160-1,"")</f>
        <v/>
      </c>
      <c r="K160" s="11">
        <f>IF(D160=0,COUNTIF($D$7:D160,0),"")</f>
        <v/>
      </c>
    </row>
    <row r="161">
      <c r="A161" s="10">
        <f>DATE($B$2-1,12,1)+154</f>
        <v/>
      </c>
      <c r="B161" s="11">
        <f>TEXT(A161,"aaa")</f>
        <v/>
      </c>
      <c r="C161" s="12">
        <f>IFERROR(VLOOKUP(A161,'1_祝日'!$A$4:$B$83,2,FALSE),"")</f>
        <v/>
      </c>
      <c r="D161" s="11">
        <f>IF(OR(WEEKDAY(A161,2)&gt;=6,C161&lt;&gt;"",COUNTIF('1_祝日'!$D$4:$D$43,A161)&gt;0,AND($B$3=1,OR(AND(MONTH(A161)=12,DAY(A161)&gt;=29),AND(MONTH(A161)=1,DAY(A161)&lt;=3)))),1,0)</f>
        <v/>
      </c>
      <c r="E161" s="7" t="n"/>
      <c r="F161" s="11">
        <f>IF(OR(D161=1,E161=1),1,0)</f>
        <v/>
      </c>
      <c r="G161" s="11">
        <f>IF(F161=1,G160+1,0)</f>
        <v/>
      </c>
      <c r="H161" s="11">
        <f>IF(F161=1,H162+1,0)</f>
        <v/>
      </c>
      <c r="I161" s="11">
        <f>IF(AND(D161=1,E161=1),"もとから休み","")</f>
        <v/>
      </c>
      <c r="J161" s="11">
        <f>IF(F161=1,G161+H161-1,"")</f>
        <v/>
      </c>
      <c r="K161" s="11">
        <f>IF(D161=0,COUNTIF($D$7:D161,0),"")</f>
        <v/>
      </c>
    </row>
    <row r="162">
      <c r="A162" s="10">
        <f>DATE($B$2-1,12,1)+155</f>
        <v/>
      </c>
      <c r="B162" s="11">
        <f>TEXT(A162,"aaa")</f>
        <v/>
      </c>
      <c r="C162" s="12">
        <f>IFERROR(VLOOKUP(A162,'1_祝日'!$A$4:$B$83,2,FALSE),"")</f>
        <v/>
      </c>
      <c r="D162" s="11">
        <f>IF(OR(WEEKDAY(A162,2)&gt;=6,C162&lt;&gt;"",COUNTIF('1_祝日'!$D$4:$D$43,A162)&gt;0,AND($B$3=1,OR(AND(MONTH(A162)=12,DAY(A162)&gt;=29),AND(MONTH(A162)=1,DAY(A162)&lt;=3)))),1,0)</f>
        <v/>
      </c>
      <c r="E162" s="7" t="n"/>
      <c r="F162" s="11">
        <f>IF(OR(D162=1,E162=1),1,0)</f>
        <v/>
      </c>
      <c r="G162" s="11">
        <f>IF(F162=1,G161+1,0)</f>
        <v/>
      </c>
      <c r="H162" s="11">
        <f>IF(F162=1,H163+1,0)</f>
        <v/>
      </c>
      <c r="I162" s="11">
        <f>IF(AND(D162=1,E162=1),"もとから休み","")</f>
        <v/>
      </c>
      <c r="J162" s="11">
        <f>IF(F162=1,G162+H162-1,"")</f>
        <v/>
      </c>
      <c r="K162" s="11">
        <f>IF(D162=0,COUNTIF($D$7:D162,0),"")</f>
        <v/>
      </c>
    </row>
    <row r="163">
      <c r="A163" s="10">
        <f>DATE($B$2-1,12,1)+156</f>
        <v/>
      </c>
      <c r="B163" s="11">
        <f>TEXT(A163,"aaa")</f>
        <v/>
      </c>
      <c r="C163" s="12">
        <f>IFERROR(VLOOKUP(A163,'1_祝日'!$A$4:$B$83,2,FALSE),"")</f>
        <v/>
      </c>
      <c r="D163" s="11">
        <f>IF(OR(WEEKDAY(A163,2)&gt;=6,C163&lt;&gt;"",COUNTIF('1_祝日'!$D$4:$D$43,A163)&gt;0,AND($B$3=1,OR(AND(MONTH(A163)=12,DAY(A163)&gt;=29),AND(MONTH(A163)=1,DAY(A163)&lt;=3)))),1,0)</f>
        <v/>
      </c>
      <c r="E163" s="7" t="n">
        <v>1</v>
      </c>
      <c r="F163" s="11">
        <f>IF(OR(D163=1,E163=1),1,0)</f>
        <v/>
      </c>
      <c r="G163" s="11">
        <f>IF(F163=1,G162+1,0)</f>
        <v/>
      </c>
      <c r="H163" s="11">
        <f>IF(F163=1,H164+1,0)</f>
        <v/>
      </c>
      <c r="I163" s="11">
        <f>IF(AND(D163=1,E163=1),"もとから休み","")</f>
        <v/>
      </c>
      <c r="J163" s="11">
        <f>IF(F163=1,G163+H163-1,"")</f>
        <v/>
      </c>
      <c r="K163" s="11">
        <f>IF(D163=0,COUNTIF($D$7:D163,0),"")</f>
        <v/>
      </c>
    </row>
    <row r="164">
      <c r="A164" s="10">
        <f>DATE($B$2-1,12,1)+157</f>
        <v/>
      </c>
      <c r="B164" s="11">
        <f>TEXT(A164,"aaa")</f>
        <v/>
      </c>
      <c r="C164" s="12">
        <f>IFERROR(VLOOKUP(A164,'1_祝日'!$A$4:$B$83,2,FALSE),"")</f>
        <v/>
      </c>
      <c r="D164" s="11">
        <f>IF(OR(WEEKDAY(A164,2)&gt;=6,C164&lt;&gt;"",COUNTIF('1_祝日'!$D$4:$D$43,A164)&gt;0,AND($B$3=1,OR(AND(MONTH(A164)=12,DAY(A164)&gt;=29),AND(MONTH(A164)=1,DAY(A164)&lt;=3)))),1,0)</f>
        <v/>
      </c>
      <c r="E164" s="7" t="n">
        <v>1</v>
      </c>
      <c r="F164" s="11">
        <f>IF(OR(D164=1,E164=1),1,0)</f>
        <v/>
      </c>
      <c r="G164" s="11">
        <f>IF(F164=1,G163+1,0)</f>
        <v/>
      </c>
      <c r="H164" s="11">
        <f>IF(F164=1,H165+1,0)</f>
        <v/>
      </c>
      <c r="I164" s="11">
        <f>IF(AND(D164=1,E164=1),"もとから休み","")</f>
        <v/>
      </c>
      <c r="J164" s="11">
        <f>IF(F164=1,G164+H164-1,"")</f>
        <v/>
      </c>
      <c r="K164" s="11">
        <f>IF(D164=0,COUNTIF($D$7:D164,0),"")</f>
        <v/>
      </c>
    </row>
    <row r="165">
      <c r="A165" s="10">
        <f>DATE($B$2-1,12,1)+158</f>
        <v/>
      </c>
      <c r="B165" s="11">
        <f>TEXT(A165,"aaa")</f>
        <v/>
      </c>
      <c r="C165" s="12">
        <f>IFERROR(VLOOKUP(A165,'1_祝日'!$A$4:$B$83,2,FALSE),"")</f>
        <v/>
      </c>
      <c r="D165" s="11">
        <f>IF(OR(WEEKDAY(A165,2)&gt;=6,C165&lt;&gt;"",COUNTIF('1_祝日'!$D$4:$D$43,A165)&gt;0,AND($B$3=1,OR(AND(MONTH(A165)=12,DAY(A165)&gt;=29),AND(MONTH(A165)=1,DAY(A165)&lt;=3)))),1,0)</f>
        <v/>
      </c>
      <c r="E165" s="7" t="n"/>
      <c r="F165" s="11">
        <f>IF(OR(D165=1,E165=1),1,0)</f>
        <v/>
      </c>
      <c r="G165" s="11">
        <f>IF(F165=1,G164+1,0)</f>
        <v/>
      </c>
      <c r="H165" s="11">
        <f>IF(F165=1,H166+1,0)</f>
        <v/>
      </c>
      <c r="I165" s="11">
        <f>IF(AND(D165=1,E165=1),"もとから休み","")</f>
        <v/>
      </c>
      <c r="J165" s="11">
        <f>IF(F165=1,G165+H165-1,"")</f>
        <v/>
      </c>
      <c r="K165" s="11">
        <f>IF(D165=0,COUNTIF($D$7:D165,0),"")</f>
        <v/>
      </c>
    </row>
    <row r="166">
      <c r="A166" s="10">
        <f>DATE($B$2-1,12,1)+159</f>
        <v/>
      </c>
      <c r="B166" s="11">
        <f>TEXT(A166,"aaa")</f>
        <v/>
      </c>
      <c r="C166" s="12">
        <f>IFERROR(VLOOKUP(A166,'1_祝日'!$A$4:$B$83,2,FALSE),"")</f>
        <v/>
      </c>
      <c r="D166" s="11">
        <f>IF(OR(WEEKDAY(A166,2)&gt;=6,C166&lt;&gt;"",COUNTIF('1_祝日'!$D$4:$D$43,A166)&gt;0,AND($B$3=1,OR(AND(MONTH(A166)=12,DAY(A166)&gt;=29),AND(MONTH(A166)=1,DAY(A166)&lt;=3)))),1,0)</f>
        <v/>
      </c>
      <c r="E166" s="7" t="n"/>
      <c r="F166" s="11">
        <f>IF(OR(D166=1,E166=1),1,0)</f>
        <v/>
      </c>
      <c r="G166" s="11">
        <f>IF(F166=1,G165+1,0)</f>
        <v/>
      </c>
      <c r="H166" s="11">
        <f>IF(F166=1,H167+1,0)</f>
        <v/>
      </c>
      <c r="I166" s="11">
        <f>IF(AND(D166=1,E166=1),"もとから休み","")</f>
        <v/>
      </c>
      <c r="J166" s="11">
        <f>IF(F166=1,G166+H166-1,"")</f>
        <v/>
      </c>
      <c r="K166" s="11">
        <f>IF(D166=0,COUNTIF($D$7:D166,0),"")</f>
        <v/>
      </c>
    </row>
    <row r="167">
      <c r="A167" s="10">
        <f>DATE($B$2-1,12,1)+160</f>
        <v/>
      </c>
      <c r="B167" s="11">
        <f>TEXT(A167,"aaa")</f>
        <v/>
      </c>
      <c r="C167" s="12">
        <f>IFERROR(VLOOKUP(A167,'1_祝日'!$A$4:$B$83,2,FALSE),"")</f>
        <v/>
      </c>
      <c r="D167" s="11">
        <f>IF(OR(WEEKDAY(A167,2)&gt;=6,C167&lt;&gt;"",COUNTIF('1_祝日'!$D$4:$D$43,A167)&gt;0,AND($B$3=1,OR(AND(MONTH(A167)=12,DAY(A167)&gt;=29),AND(MONTH(A167)=1,DAY(A167)&lt;=3)))),1,0)</f>
        <v/>
      </c>
      <c r="E167" s="7" t="n"/>
      <c r="F167" s="11">
        <f>IF(OR(D167=1,E167=1),1,0)</f>
        <v/>
      </c>
      <c r="G167" s="11">
        <f>IF(F167=1,G166+1,0)</f>
        <v/>
      </c>
      <c r="H167" s="11">
        <f>IF(F167=1,H168+1,0)</f>
        <v/>
      </c>
      <c r="I167" s="11">
        <f>IF(AND(D167=1,E167=1),"もとから休み","")</f>
        <v/>
      </c>
      <c r="J167" s="11">
        <f>IF(F167=1,G167+H167-1,"")</f>
        <v/>
      </c>
      <c r="K167" s="11">
        <f>IF(D167=0,COUNTIF($D$7:D167,0),"")</f>
        <v/>
      </c>
    </row>
    <row r="168">
      <c r="A168" s="10">
        <f>DATE($B$2-1,12,1)+161</f>
        <v/>
      </c>
      <c r="B168" s="11">
        <f>TEXT(A168,"aaa")</f>
        <v/>
      </c>
      <c r="C168" s="12">
        <f>IFERROR(VLOOKUP(A168,'1_祝日'!$A$4:$B$83,2,FALSE),"")</f>
        <v/>
      </c>
      <c r="D168" s="11">
        <f>IF(OR(WEEKDAY(A168,2)&gt;=6,C168&lt;&gt;"",COUNTIF('1_祝日'!$D$4:$D$43,A168)&gt;0,AND($B$3=1,OR(AND(MONTH(A168)=12,DAY(A168)&gt;=29),AND(MONTH(A168)=1,DAY(A168)&lt;=3)))),1,0)</f>
        <v/>
      </c>
      <c r="E168" s="7" t="n"/>
      <c r="F168" s="11">
        <f>IF(OR(D168=1,E168=1),1,0)</f>
        <v/>
      </c>
      <c r="G168" s="11">
        <f>IF(F168=1,G167+1,0)</f>
        <v/>
      </c>
      <c r="H168" s="11">
        <f>IF(F168=1,H169+1,0)</f>
        <v/>
      </c>
      <c r="I168" s="11">
        <f>IF(AND(D168=1,E168=1),"もとから休み","")</f>
        <v/>
      </c>
      <c r="J168" s="11">
        <f>IF(F168=1,G168+H168-1,"")</f>
        <v/>
      </c>
      <c r="K168" s="11">
        <f>IF(D168=0,COUNTIF($D$7:D168,0),"")</f>
        <v/>
      </c>
    </row>
    <row r="169">
      <c r="A169" s="10">
        <f>DATE($B$2-1,12,1)+162</f>
        <v/>
      </c>
      <c r="B169" s="11">
        <f>TEXT(A169,"aaa")</f>
        <v/>
      </c>
      <c r="C169" s="12">
        <f>IFERROR(VLOOKUP(A169,'1_祝日'!$A$4:$B$83,2,FALSE),"")</f>
        <v/>
      </c>
      <c r="D169" s="11">
        <f>IF(OR(WEEKDAY(A169,2)&gt;=6,C169&lt;&gt;"",COUNTIF('1_祝日'!$D$4:$D$43,A169)&gt;0,AND($B$3=1,OR(AND(MONTH(A169)=12,DAY(A169)&gt;=29),AND(MONTH(A169)=1,DAY(A169)&lt;=3)))),1,0)</f>
        <v/>
      </c>
      <c r="E169" s="7" t="n"/>
      <c r="F169" s="11">
        <f>IF(OR(D169=1,E169=1),1,0)</f>
        <v/>
      </c>
      <c r="G169" s="11">
        <f>IF(F169=1,G168+1,0)</f>
        <v/>
      </c>
      <c r="H169" s="11">
        <f>IF(F169=1,H170+1,0)</f>
        <v/>
      </c>
      <c r="I169" s="11">
        <f>IF(AND(D169=1,E169=1),"もとから休み","")</f>
        <v/>
      </c>
      <c r="J169" s="11">
        <f>IF(F169=1,G169+H169-1,"")</f>
        <v/>
      </c>
      <c r="K169" s="11">
        <f>IF(D169=0,COUNTIF($D$7:D169,0),"")</f>
        <v/>
      </c>
    </row>
    <row r="170">
      <c r="A170" s="10">
        <f>DATE($B$2-1,12,1)+163</f>
        <v/>
      </c>
      <c r="B170" s="11">
        <f>TEXT(A170,"aaa")</f>
        <v/>
      </c>
      <c r="C170" s="12">
        <f>IFERROR(VLOOKUP(A170,'1_祝日'!$A$4:$B$83,2,FALSE),"")</f>
        <v/>
      </c>
      <c r="D170" s="11">
        <f>IF(OR(WEEKDAY(A170,2)&gt;=6,C170&lt;&gt;"",COUNTIF('1_祝日'!$D$4:$D$43,A170)&gt;0,AND($B$3=1,OR(AND(MONTH(A170)=12,DAY(A170)&gt;=29),AND(MONTH(A170)=1,DAY(A170)&lt;=3)))),1,0)</f>
        <v/>
      </c>
      <c r="E170" s="7" t="n"/>
      <c r="F170" s="11">
        <f>IF(OR(D170=1,E170=1),1,0)</f>
        <v/>
      </c>
      <c r="G170" s="11">
        <f>IF(F170=1,G169+1,0)</f>
        <v/>
      </c>
      <c r="H170" s="11">
        <f>IF(F170=1,H171+1,0)</f>
        <v/>
      </c>
      <c r="I170" s="11">
        <f>IF(AND(D170=1,E170=1),"もとから休み","")</f>
        <v/>
      </c>
      <c r="J170" s="11">
        <f>IF(F170=1,G170+H170-1,"")</f>
        <v/>
      </c>
      <c r="K170" s="11">
        <f>IF(D170=0,COUNTIF($D$7:D170,0),"")</f>
        <v/>
      </c>
    </row>
    <row r="171">
      <c r="A171" s="10">
        <f>DATE($B$2-1,12,1)+164</f>
        <v/>
      </c>
      <c r="B171" s="11">
        <f>TEXT(A171,"aaa")</f>
        <v/>
      </c>
      <c r="C171" s="12">
        <f>IFERROR(VLOOKUP(A171,'1_祝日'!$A$4:$B$83,2,FALSE),"")</f>
        <v/>
      </c>
      <c r="D171" s="11">
        <f>IF(OR(WEEKDAY(A171,2)&gt;=6,C171&lt;&gt;"",COUNTIF('1_祝日'!$D$4:$D$43,A171)&gt;0,AND($B$3=1,OR(AND(MONTH(A171)=12,DAY(A171)&gt;=29),AND(MONTH(A171)=1,DAY(A171)&lt;=3)))),1,0)</f>
        <v/>
      </c>
      <c r="E171" s="7" t="n"/>
      <c r="F171" s="11">
        <f>IF(OR(D171=1,E171=1),1,0)</f>
        <v/>
      </c>
      <c r="G171" s="11">
        <f>IF(F171=1,G170+1,0)</f>
        <v/>
      </c>
      <c r="H171" s="11">
        <f>IF(F171=1,H172+1,0)</f>
        <v/>
      </c>
      <c r="I171" s="11">
        <f>IF(AND(D171=1,E171=1),"もとから休み","")</f>
        <v/>
      </c>
      <c r="J171" s="11">
        <f>IF(F171=1,G171+H171-1,"")</f>
        <v/>
      </c>
      <c r="K171" s="11">
        <f>IF(D171=0,COUNTIF($D$7:D171,0),"")</f>
        <v/>
      </c>
    </row>
    <row r="172">
      <c r="A172" s="10">
        <f>DATE($B$2-1,12,1)+165</f>
        <v/>
      </c>
      <c r="B172" s="11">
        <f>TEXT(A172,"aaa")</f>
        <v/>
      </c>
      <c r="C172" s="12">
        <f>IFERROR(VLOOKUP(A172,'1_祝日'!$A$4:$B$83,2,FALSE),"")</f>
        <v/>
      </c>
      <c r="D172" s="11">
        <f>IF(OR(WEEKDAY(A172,2)&gt;=6,C172&lt;&gt;"",COUNTIF('1_祝日'!$D$4:$D$43,A172)&gt;0,AND($B$3=1,OR(AND(MONTH(A172)=12,DAY(A172)&gt;=29),AND(MONTH(A172)=1,DAY(A172)&lt;=3)))),1,0)</f>
        <v/>
      </c>
      <c r="E172" s="7" t="n"/>
      <c r="F172" s="11">
        <f>IF(OR(D172=1,E172=1),1,0)</f>
        <v/>
      </c>
      <c r="G172" s="11">
        <f>IF(F172=1,G171+1,0)</f>
        <v/>
      </c>
      <c r="H172" s="11">
        <f>IF(F172=1,H173+1,0)</f>
        <v/>
      </c>
      <c r="I172" s="11">
        <f>IF(AND(D172=1,E172=1),"もとから休み","")</f>
        <v/>
      </c>
      <c r="J172" s="11">
        <f>IF(F172=1,G172+H172-1,"")</f>
        <v/>
      </c>
      <c r="K172" s="11">
        <f>IF(D172=0,COUNTIF($D$7:D172,0),"")</f>
        <v/>
      </c>
    </row>
    <row r="173">
      <c r="A173" s="10">
        <f>DATE($B$2-1,12,1)+166</f>
        <v/>
      </c>
      <c r="B173" s="11">
        <f>TEXT(A173,"aaa")</f>
        <v/>
      </c>
      <c r="C173" s="12">
        <f>IFERROR(VLOOKUP(A173,'1_祝日'!$A$4:$B$83,2,FALSE),"")</f>
        <v/>
      </c>
      <c r="D173" s="11">
        <f>IF(OR(WEEKDAY(A173,2)&gt;=6,C173&lt;&gt;"",COUNTIF('1_祝日'!$D$4:$D$43,A173)&gt;0,AND($B$3=1,OR(AND(MONTH(A173)=12,DAY(A173)&gt;=29),AND(MONTH(A173)=1,DAY(A173)&lt;=3)))),1,0)</f>
        <v/>
      </c>
      <c r="E173" s="7" t="n"/>
      <c r="F173" s="11">
        <f>IF(OR(D173=1,E173=1),1,0)</f>
        <v/>
      </c>
      <c r="G173" s="11">
        <f>IF(F173=1,G172+1,0)</f>
        <v/>
      </c>
      <c r="H173" s="11">
        <f>IF(F173=1,H174+1,0)</f>
        <v/>
      </c>
      <c r="I173" s="11">
        <f>IF(AND(D173=1,E173=1),"もとから休み","")</f>
        <v/>
      </c>
      <c r="J173" s="11">
        <f>IF(F173=1,G173+H173-1,"")</f>
        <v/>
      </c>
      <c r="K173" s="11">
        <f>IF(D173=0,COUNTIF($D$7:D173,0),"")</f>
        <v/>
      </c>
    </row>
    <row r="174">
      <c r="A174" s="10">
        <f>DATE($B$2-1,12,1)+167</f>
        <v/>
      </c>
      <c r="B174" s="11">
        <f>TEXT(A174,"aaa")</f>
        <v/>
      </c>
      <c r="C174" s="12">
        <f>IFERROR(VLOOKUP(A174,'1_祝日'!$A$4:$B$83,2,FALSE),"")</f>
        <v/>
      </c>
      <c r="D174" s="11">
        <f>IF(OR(WEEKDAY(A174,2)&gt;=6,C174&lt;&gt;"",COUNTIF('1_祝日'!$D$4:$D$43,A174)&gt;0,AND($B$3=1,OR(AND(MONTH(A174)=12,DAY(A174)&gt;=29),AND(MONTH(A174)=1,DAY(A174)&lt;=3)))),1,0)</f>
        <v/>
      </c>
      <c r="E174" s="7" t="n"/>
      <c r="F174" s="11">
        <f>IF(OR(D174=1,E174=1),1,0)</f>
        <v/>
      </c>
      <c r="G174" s="11">
        <f>IF(F174=1,G173+1,0)</f>
        <v/>
      </c>
      <c r="H174" s="11">
        <f>IF(F174=1,H175+1,0)</f>
        <v/>
      </c>
      <c r="I174" s="11">
        <f>IF(AND(D174=1,E174=1),"もとから休み","")</f>
        <v/>
      </c>
      <c r="J174" s="11">
        <f>IF(F174=1,G174+H174-1,"")</f>
        <v/>
      </c>
      <c r="K174" s="11">
        <f>IF(D174=0,COUNTIF($D$7:D174,0),"")</f>
        <v/>
      </c>
    </row>
    <row r="175">
      <c r="A175" s="10">
        <f>DATE($B$2-1,12,1)+168</f>
        <v/>
      </c>
      <c r="B175" s="11">
        <f>TEXT(A175,"aaa")</f>
        <v/>
      </c>
      <c r="C175" s="12">
        <f>IFERROR(VLOOKUP(A175,'1_祝日'!$A$4:$B$83,2,FALSE),"")</f>
        <v/>
      </c>
      <c r="D175" s="11">
        <f>IF(OR(WEEKDAY(A175,2)&gt;=6,C175&lt;&gt;"",COUNTIF('1_祝日'!$D$4:$D$43,A175)&gt;0,AND($B$3=1,OR(AND(MONTH(A175)=12,DAY(A175)&gt;=29),AND(MONTH(A175)=1,DAY(A175)&lt;=3)))),1,0)</f>
        <v/>
      </c>
      <c r="E175" s="7" t="n"/>
      <c r="F175" s="11">
        <f>IF(OR(D175=1,E175=1),1,0)</f>
        <v/>
      </c>
      <c r="G175" s="11">
        <f>IF(F175=1,G174+1,0)</f>
        <v/>
      </c>
      <c r="H175" s="11">
        <f>IF(F175=1,H176+1,0)</f>
        <v/>
      </c>
      <c r="I175" s="11">
        <f>IF(AND(D175=1,E175=1),"もとから休み","")</f>
        <v/>
      </c>
      <c r="J175" s="11">
        <f>IF(F175=1,G175+H175-1,"")</f>
        <v/>
      </c>
      <c r="K175" s="11">
        <f>IF(D175=0,COUNTIF($D$7:D175,0),"")</f>
        <v/>
      </c>
    </row>
    <row r="176">
      <c r="A176" s="10">
        <f>DATE($B$2-1,12,1)+169</f>
        <v/>
      </c>
      <c r="B176" s="11">
        <f>TEXT(A176,"aaa")</f>
        <v/>
      </c>
      <c r="C176" s="12">
        <f>IFERROR(VLOOKUP(A176,'1_祝日'!$A$4:$B$83,2,FALSE),"")</f>
        <v/>
      </c>
      <c r="D176" s="11">
        <f>IF(OR(WEEKDAY(A176,2)&gt;=6,C176&lt;&gt;"",COUNTIF('1_祝日'!$D$4:$D$43,A176)&gt;0,AND($B$3=1,OR(AND(MONTH(A176)=12,DAY(A176)&gt;=29),AND(MONTH(A176)=1,DAY(A176)&lt;=3)))),1,0)</f>
        <v/>
      </c>
      <c r="E176" s="7" t="n"/>
      <c r="F176" s="11">
        <f>IF(OR(D176=1,E176=1),1,0)</f>
        <v/>
      </c>
      <c r="G176" s="11">
        <f>IF(F176=1,G175+1,0)</f>
        <v/>
      </c>
      <c r="H176" s="11">
        <f>IF(F176=1,H177+1,0)</f>
        <v/>
      </c>
      <c r="I176" s="11">
        <f>IF(AND(D176=1,E176=1),"もとから休み","")</f>
        <v/>
      </c>
      <c r="J176" s="11">
        <f>IF(F176=1,G176+H176-1,"")</f>
        <v/>
      </c>
      <c r="K176" s="11">
        <f>IF(D176=0,COUNTIF($D$7:D176,0),"")</f>
        <v/>
      </c>
    </row>
    <row r="177">
      <c r="A177" s="10">
        <f>DATE($B$2-1,12,1)+170</f>
        <v/>
      </c>
      <c r="B177" s="11">
        <f>TEXT(A177,"aaa")</f>
        <v/>
      </c>
      <c r="C177" s="12">
        <f>IFERROR(VLOOKUP(A177,'1_祝日'!$A$4:$B$83,2,FALSE),"")</f>
        <v/>
      </c>
      <c r="D177" s="11">
        <f>IF(OR(WEEKDAY(A177,2)&gt;=6,C177&lt;&gt;"",COUNTIF('1_祝日'!$D$4:$D$43,A177)&gt;0,AND($B$3=1,OR(AND(MONTH(A177)=12,DAY(A177)&gt;=29),AND(MONTH(A177)=1,DAY(A177)&lt;=3)))),1,0)</f>
        <v/>
      </c>
      <c r="E177" s="7" t="n"/>
      <c r="F177" s="11">
        <f>IF(OR(D177=1,E177=1),1,0)</f>
        <v/>
      </c>
      <c r="G177" s="11">
        <f>IF(F177=1,G176+1,0)</f>
        <v/>
      </c>
      <c r="H177" s="11">
        <f>IF(F177=1,H178+1,0)</f>
        <v/>
      </c>
      <c r="I177" s="11">
        <f>IF(AND(D177=1,E177=1),"もとから休み","")</f>
        <v/>
      </c>
      <c r="J177" s="11">
        <f>IF(F177=1,G177+H177-1,"")</f>
        <v/>
      </c>
      <c r="K177" s="11">
        <f>IF(D177=0,COUNTIF($D$7:D177,0),"")</f>
        <v/>
      </c>
    </row>
    <row r="178">
      <c r="A178" s="10">
        <f>DATE($B$2-1,12,1)+171</f>
        <v/>
      </c>
      <c r="B178" s="11">
        <f>TEXT(A178,"aaa")</f>
        <v/>
      </c>
      <c r="C178" s="12">
        <f>IFERROR(VLOOKUP(A178,'1_祝日'!$A$4:$B$83,2,FALSE),"")</f>
        <v/>
      </c>
      <c r="D178" s="11">
        <f>IF(OR(WEEKDAY(A178,2)&gt;=6,C178&lt;&gt;"",COUNTIF('1_祝日'!$D$4:$D$43,A178)&gt;0,AND($B$3=1,OR(AND(MONTH(A178)=12,DAY(A178)&gt;=29),AND(MONTH(A178)=1,DAY(A178)&lt;=3)))),1,0)</f>
        <v/>
      </c>
      <c r="E178" s="7" t="n"/>
      <c r="F178" s="11">
        <f>IF(OR(D178=1,E178=1),1,0)</f>
        <v/>
      </c>
      <c r="G178" s="11">
        <f>IF(F178=1,G177+1,0)</f>
        <v/>
      </c>
      <c r="H178" s="11">
        <f>IF(F178=1,H179+1,0)</f>
        <v/>
      </c>
      <c r="I178" s="11">
        <f>IF(AND(D178=1,E178=1),"もとから休み","")</f>
        <v/>
      </c>
      <c r="J178" s="11">
        <f>IF(F178=1,G178+H178-1,"")</f>
        <v/>
      </c>
      <c r="K178" s="11">
        <f>IF(D178=0,COUNTIF($D$7:D178,0),"")</f>
        <v/>
      </c>
    </row>
    <row r="179">
      <c r="A179" s="10">
        <f>DATE($B$2-1,12,1)+172</f>
        <v/>
      </c>
      <c r="B179" s="11">
        <f>TEXT(A179,"aaa")</f>
        <v/>
      </c>
      <c r="C179" s="12">
        <f>IFERROR(VLOOKUP(A179,'1_祝日'!$A$4:$B$83,2,FALSE),"")</f>
        <v/>
      </c>
      <c r="D179" s="11">
        <f>IF(OR(WEEKDAY(A179,2)&gt;=6,C179&lt;&gt;"",COUNTIF('1_祝日'!$D$4:$D$43,A179)&gt;0,AND($B$3=1,OR(AND(MONTH(A179)=12,DAY(A179)&gt;=29),AND(MONTH(A179)=1,DAY(A179)&lt;=3)))),1,0)</f>
        <v/>
      </c>
      <c r="E179" s="7" t="n"/>
      <c r="F179" s="11">
        <f>IF(OR(D179=1,E179=1),1,0)</f>
        <v/>
      </c>
      <c r="G179" s="11">
        <f>IF(F179=1,G178+1,0)</f>
        <v/>
      </c>
      <c r="H179" s="11">
        <f>IF(F179=1,H180+1,0)</f>
        <v/>
      </c>
      <c r="I179" s="11">
        <f>IF(AND(D179=1,E179=1),"もとから休み","")</f>
        <v/>
      </c>
      <c r="J179" s="11">
        <f>IF(F179=1,G179+H179-1,"")</f>
        <v/>
      </c>
      <c r="K179" s="11">
        <f>IF(D179=0,COUNTIF($D$7:D179,0),"")</f>
        <v/>
      </c>
    </row>
    <row r="180">
      <c r="A180" s="10">
        <f>DATE($B$2-1,12,1)+173</f>
        <v/>
      </c>
      <c r="B180" s="11">
        <f>TEXT(A180,"aaa")</f>
        <v/>
      </c>
      <c r="C180" s="12">
        <f>IFERROR(VLOOKUP(A180,'1_祝日'!$A$4:$B$83,2,FALSE),"")</f>
        <v/>
      </c>
      <c r="D180" s="11">
        <f>IF(OR(WEEKDAY(A180,2)&gt;=6,C180&lt;&gt;"",COUNTIF('1_祝日'!$D$4:$D$43,A180)&gt;0,AND($B$3=1,OR(AND(MONTH(A180)=12,DAY(A180)&gt;=29),AND(MONTH(A180)=1,DAY(A180)&lt;=3)))),1,0)</f>
        <v/>
      </c>
      <c r="E180" s="7" t="n"/>
      <c r="F180" s="11">
        <f>IF(OR(D180=1,E180=1),1,0)</f>
        <v/>
      </c>
      <c r="G180" s="11">
        <f>IF(F180=1,G179+1,0)</f>
        <v/>
      </c>
      <c r="H180" s="11">
        <f>IF(F180=1,H181+1,0)</f>
        <v/>
      </c>
      <c r="I180" s="11">
        <f>IF(AND(D180=1,E180=1),"もとから休み","")</f>
        <v/>
      </c>
      <c r="J180" s="11">
        <f>IF(F180=1,G180+H180-1,"")</f>
        <v/>
      </c>
      <c r="K180" s="11">
        <f>IF(D180=0,COUNTIF($D$7:D180,0),"")</f>
        <v/>
      </c>
    </row>
    <row r="181">
      <c r="A181" s="10">
        <f>DATE($B$2-1,12,1)+174</f>
        <v/>
      </c>
      <c r="B181" s="11">
        <f>TEXT(A181,"aaa")</f>
        <v/>
      </c>
      <c r="C181" s="12">
        <f>IFERROR(VLOOKUP(A181,'1_祝日'!$A$4:$B$83,2,FALSE),"")</f>
        <v/>
      </c>
      <c r="D181" s="11">
        <f>IF(OR(WEEKDAY(A181,2)&gt;=6,C181&lt;&gt;"",COUNTIF('1_祝日'!$D$4:$D$43,A181)&gt;0,AND($B$3=1,OR(AND(MONTH(A181)=12,DAY(A181)&gt;=29),AND(MONTH(A181)=1,DAY(A181)&lt;=3)))),1,0)</f>
        <v/>
      </c>
      <c r="E181" s="7" t="n"/>
      <c r="F181" s="11">
        <f>IF(OR(D181=1,E181=1),1,0)</f>
        <v/>
      </c>
      <c r="G181" s="11">
        <f>IF(F181=1,G180+1,0)</f>
        <v/>
      </c>
      <c r="H181" s="11">
        <f>IF(F181=1,H182+1,0)</f>
        <v/>
      </c>
      <c r="I181" s="11">
        <f>IF(AND(D181=1,E181=1),"もとから休み","")</f>
        <v/>
      </c>
      <c r="J181" s="11">
        <f>IF(F181=1,G181+H181-1,"")</f>
        <v/>
      </c>
      <c r="K181" s="11">
        <f>IF(D181=0,COUNTIF($D$7:D181,0),"")</f>
        <v/>
      </c>
    </row>
    <row r="182">
      <c r="A182" s="10">
        <f>DATE($B$2-1,12,1)+175</f>
        <v/>
      </c>
      <c r="B182" s="11">
        <f>TEXT(A182,"aaa")</f>
        <v/>
      </c>
      <c r="C182" s="12">
        <f>IFERROR(VLOOKUP(A182,'1_祝日'!$A$4:$B$83,2,FALSE),"")</f>
        <v/>
      </c>
      <c r="D182" s="11">
        <f>IF(OR(WEEKDAY(A182,2)&gt;=6,C182&lt;&gt;"",COUNTIF('1_祝日'!$D$4:$D$43,A182)&gt;0,AND($B$3=1,OR(AND(MONTH(A182)=12,DAY(A182)&gt;=29),AND(MONTH(A182)=1,DAY(A182)&lt;=3)))),1,0)</f>
        <v/>
      </c>
      <c r="E182" s="7" t="n"/>
      <c r="F182" s="11">
        <f>IF(OR(D182=1,E182=1),1,0)</f>
        <v/>
      </c>
      <c r="G182" s="11">
        <f>IF(F182=1,G181+1,0)</f>
        <v/>
      </c>
      <c r="H182" s="11">
        <f>IF(F182=1,H183+1,0)</f>
        <v/>
      </c>
      <c r="I182" s="11">
        <f>IF(AND(D182=1,E182=1),"もとから休み","")</f>
        <v/>
      </c>
      <c r="J182" s="11">
        <f>IF(F182=1,G182+H182-1,"")</f>
        <v/>
      </c>
      <c r="K182" s="11">
        <f>IF(D182=0,COUNTIF($D$7:D182,0),"")</f>
        <v/>
      </c>
    </row>
    <row r="183">
      <c r="A183" s="10">
        <f>DATE($B$2-1,12,1)+176</f>
        <v/>
      </c>
      <c r="B183" s="11">
        <f>TEXT(A183,"aaa")</f>
        <v/>
      </c>
      <c r="C183" s="12">
        <f>IFERROR(VLOOKUP(A183,'1_祝日'!$A$4:$B$83,2,FALSE),"")</f>
        <v/>
      </c>
      <c r="D183" s="11">
        <f>IF(OR(WEEKDAY(A183,2)&gt;=6,C183&lt;&gt;"",COUNTIF('1_祝日'!$D$4:$D$43,A183)&gt;0,AND($B$3=1,OR(AND(MONTH(A183)=12,DAY(A183)&gt;=29),AND(MONTH(A183)=1,DAY(A183)&lt;=3)))),1,0)</f>
        <v/>
      </c>
      <c r="E183" s="7" t="n"/>
      <c r="F183" s="11">
        <f>IF(OR(D183=1,E183=1),1,0)</f>
        <v/>
      </c>
      <c r="G183" s="11">
        <f>IF(F183=1,G182+1,0)</f>
        <v/>
      </c>
      <c r="H183" s="11">
        <f>IF(F183=1,H184+1,0)</f>
        <v/>
      </c>
      <c r="I183" s="11">
        <f>IF(AND(D183=1,E183=1),"もとから休み","")</f>
        <v/>
      </c>
      <c r="J183" s="11">
        <f>IF(F183=1,G183+H183-1,"")</f>
        <v/>
      </c>
      <c r="K183" s="11">
        <f>IF(D183=0,COUNTIF($D$7:D183,0),"")</f>
        <v/>
      </c>
    </row>
    <row r="184">
      <c r="A184" s="10">
        <f>DATE($B$2-1,12,1)+177</f>
        <v/>
      </c>
      <c r="B184" s="11">
        <f>TEXT(A184,"aaa")</f>
        <v/>
      </c>
      <c r="C184" s="12">
        <f>IFERROR(VLOOKUP(A184,'1_祝日'!$A$4:$B$83,2,FALSE),"")</f>
        <v/>
      </c>
      <c r="D184" s="11">
        <f>IF(OR(WEEKDAY(A184,2)&gt;=6,C184&lt;&gt;"",COUNTIF('1_祝日'!$D$4:$D$43,A184)&gt;0,AND($B$3=1,OR(AND(MONTH(A184)=12,DAY(A184)&gt;=29),AND(MONTH(A184)=1,DAY(A184)&lt;=3)))),1,0)</f>
        <v/>
      </c>
      <c r="E184" s="7" t="n"/>
      <c r="F184" s="11">
        <f>IF(OR(D184=1,E184=1),1,0)</f>
        <v/>
      </c>
      <c r="G184" s="11">
        <f>IF(F184=1,G183+1,0)</f>
        <v/>
      </c>
      <c r="H184" s="11">
        <f>IF(F184=1,H185+1,0)</f>
        <v/>
      </c>
      <c r="I184" s="11">
        <f>IF(AND(D184=1,E184=1),"もとから休み","")</f>
        <v/>
      </c>
      <c r="J184" s="11">
        <f>IF(F184=1,G184+H184-1,"")</f>
        <v/>
      </c>
      <c r="K184" s="11">
        <f>IF(D184=0,COUNTIF($D$7:D184,0),"")</f>
        <v/>
      </c>
    </row>
    <row r="185">
      <c r="A185" s="10">
        <f>DATE($B$2-1,12,1)+178</f>
        <v/>
      </c>
      <c r="B185" s="11">
        <f>TEXT(A185,"aaa")</f>
        <v/>
      </c>
      <c r="C185" s="12">
        <f>IFERROR(VLOOKUP(A185,'1_祝日'!$A$4:$B$83,2,FALSE),"")</f>
        <v/>
      </c>
      <c r="D185" s="11">
        <f>IF(OR(WEEKDAY(A185,2)&gt;=6,C185&lt;&gt;"",COUNTIF('1_祝日'!$D$4:$D$43,A185)&gt;0,AND($B$3=1,OR(AND(MONTH(A185)=12,DAY(A185)&gt;=29),AND(MONTH(A185)=1,DAY(A185)&lt;=3)))),1,0)</f>
        <v/>
      </c>
      <c r="E185" s="7" t="n"/>
      <c r="F185" s="11">
        <f>IF(OR(D185=1,E185=1),1,0)</f>
        <v/>
      </c>
      <c r="G185" s="11">
        <f>IF(F185=1,G184+1,0)</f>
        <v/>
      </c>
      <c r="H185" s="11">
        <f>IF(F185=1,H186+1,0)</f>
        <v/>
      </c>
      <c r="I185" s="11">
        <f>IF(AND(D185=1,E185=1),"もとから休み","")</f>
        <v/>
      </c>
      <c r="J185" s="11">
        <f>IF(F185=1,G185+H185-1,"")</f>
        <v/>
      </c>
      <c r="K185" s="11">
        <f>IF(D185=0,COUNTIF($D$7:D185,0),"")</f>
        <v/>
      </c>
    </row>
    <row r="186">
      <c r="A186" s="10">
        <f>DATE($B$2-1,12,1)+179</f>
        <v/>
      </c>
      <c r="B186" s="11">
        <f>TEXT(A186,"aaa")</f>
        <v/>
      </c>
      <c r="C186" s="12">
        <f>IFERROR(VLOOKUP(A186,'1_祝日'!$A$4:$B$83,2,FALSE),"")</f>
        <v/>
      </c>
      <c r="D186" s="11">
        <f>IF(OR(WEEKDAY(A186,2)&gt;=6,C186&lt;&gt;"",COUNTIF('1_祝日'!$D$4:$D$43,A186)&gt;0,AND($B$3=1,OR(AND(MONTH(A186)=12,DAY(A186)&gt;=29),AND(MONTH(A186)=1,DAY(A186)&lt;=3)))),1,0)</f>
        <v/>
      </c>
      <c r="E186" s="7" t="n"/>
      <c r="F186" s="11">
        <f>IF(OR(D186=1,E186=1),1,0)</f>
        <v/>
      </c>
      <c r="G186" s="11">
        <f>IF(F186=1,G185+1,0)</f>
        <v/>
      </c>
      <c r="H186" s="11">
        <f>IF(F186=1,H187+1,0)</f>
        <v/>
      </c>
      <c r="I186" s="11">
        <f>IF(AND(D186=1,E186=1),"もとから休み","")</f>
        <v/>
      </c>
      <c r="J186" s="11">
        <f>IF(F186=1,G186+H186-1,"")</f>
        <v/>
      </c>
      <c r="K186" s="11">
        <f>IF(D186=0,COUNTIF($D$7:D186,0),"")</f>
        <v/>
      </c>
    </row>
    <row r="187">
      <c r="A187" s="10">
        <f>DATE($B$2-1,12,1)+180</f>
        <v/>
      </c>
      <c r="B187" s="11">
        <f>TEXT(A187,"aaa")</f>
        <v/>
      </c>
      <c r="C187" s="12">
        <f>IFERROR(VLOOKUP(A187,'1_祝日'!$A$4:$B$83,2,FALSE),"")</f>
        <v/>
      </c>
      <c r="D187" s="11">
        <f>IF(OR(WEEKDAY(A187,2)&gt;=6,C187&lt;&gt;"",COUNTIF('1_祝日'!$D$4:$D$43,A187)&gt;0,AND($B$3=1,OR(AND(MONTH(A187)=12,DAY(A187)&gt;=29),AND(MONTH(A187)=1,DAY(A187)&lt;=3)))),1,0)</f>
        <v/>
      </c>
      <c r="E187" s="7" t="n"/>
      <c r="F187" s="11">
        <f>IF(OR(D187=1,E187=1),1,0)</f>
        <v/>
      </c>
      <c r="G187" s="11">
        <f>IF(F187=1,G186+1,0)</f>
        <v/>
      </c>
      <c r="H187" s="11">
        <f>IF(F187=1,H188+1,0)</f>
        <v/>
      </c>
      <c r="I187" s="11">
        <f>IF(AND(D187=1,E187=1),"もとから休み","")</f>
        <v/>
      </c>
      <c r="J187" s="11">
        <f>IF(F187=1,G187+H187-1,"")</f>
        <v/>
      </c>
      <c r="K187" s="11">
        <f>IF(D187=0,COUNTIF($D$7:D187,0),"")</f>
        <v/>
      </c>
    </row>
    <row r="188">
      <c r="A188" s="10">
        <f>DATE($B$2-1,12,1)+181</f>
        <v/>
      </c>
      <c r="B188" s="11">
        <f>TEXT(A188,"aaa")</f>
        <v/>
      </c>
      <c r="C188" s="12">
        <f>IFERROR(VLOOKUP(A188,'1_祝日'!$A$4:$B$83,2,FALSE),"")</f>
        <v/>
      </c>
      <c r="D188" s="11">
        <f>IF(OR(WEEKDAY(A188,2)&gt;=6,C188&lt;&gt;"",COUNTIF('1_祝日'!$D$4:$D$43,A188)&gt;0,AND($B$3=1,OR(AND(MONTH(A188)=12,DAY(A188)&gt;=29),AND(MONTH(A188)=1,DAY(A188)&lt;=3)))),1,0)</f>
        <v/>
      </c>
      <c r="E188" s="7" t="n"/>
      <c r="F188" s="11">
        <f>IF(OR(D188=1,E188=1),1,0)</f>
        <v/>
      </c>
      <c r="G188" s="11">
        <f>IF(F188=1,G187+1,0)</f>
        <v/>
      </c>
      <c r="H188" s="11">
        <f>IF(F188=1,H189+1,0)</f>
        <v/>
      </c>
      <c r="I188" s="11">
        <f>IF(AND(D188=1,E188=1),"もとから休み","")</f>
        <v/>
      </c>
      <c r="J188" s="11">
        <f>IF(F188=1,G188+H188-1,"")</f>
        <v/>
      </c>
      <c r="K188" s="11">
        <f>IF(D188=0,COUNTIF($D$7:D188,0),"")</f>
        <v/>
      </c>
    </row>
    <row r="189">
      <c r="A189" s="10">
        <f>DATE($B$2-1,12,1)+182</f>
        <v/>
      </c>
      <c r="B189" s="11">
        <f>TEXT(A189,"aaa")</f>
        <v/>
      </c>
      <c r="C189" s="12">
        <f>IFERROR(VLOOKUP(A189,'1_祝日'!$A$4:$B$83,2,FALSE),"")</f>
        <v/>
      </c>
      <c r="D189" s="11">
        <f>IF(OR(WEEKDAY(A189,2)&gt;=6,C189&lt;&gt;"",COUNTIF('1_祝日'!$D$4:$D$43,A189)&gt;0,AND($B$3=1,OR(AND(MONTH(A189)=12,DAY(A189)&gt;=29),AND(MONTH(A189)=1,DAY(A189)&lt;=3)))),1,0)</f>
        <v/>
      </c>
      <c r="E189" s="7" t="n"/>
      <c r="F189" s="11">
        <f>IF(OR(D189=1,E189=1),1,0)</f>
        <v/>
      </c>
      <c r="G189" s="11">
        <f>IF(F189=1,G188+1,0)</f>
        <v/>
      </c>
      <c r="H189" s="11">
        <f>IF(F189=1,H190+1,0)</f>
        <v/>
      </c>
      <c r="I189" s="11">
        <f>IF(AND(D189=1,E189=1),"もとから休み","")</f>
        <v/>
      </c>
      <c r="J189" s="11">
        <f>IF(F189=1,G189+H189-1,"")</f>
        <v/>
      </c>
      <c r="K189" s="11">
        <f>IF(D189=0,COUNTIF($D$7:D189,0),"")</f>
        <v/>
      </c>
    </row>
    <row r="190">
      <c r="A190" s="10">
        <f>DATE($B$2-1,12,1)+183</f>
        <v/>
      </c>
      <c r="B190" s="11">
        <f>TEXT(A190,"aaa")</f>
        <v/>
      </c>
      <c r="C190" s="12">
        <f>IFERROR(VLOOKUP(A190,'1_祝日'!$A$4:$B$83,2,FALSE),"")</f>
        <v/>
      </c>
      <c r="D190" s="11">
        <f>IF(OR(WEEKDAY(A190,2)&gt;=6,C190&lt;&gt;"",COUNTIF('1_祝日'!$D$4:$D$43,A190)&gt;0,AND($B$3=1,OR(AND(MONTH(A190)=12,DAY(A190)&gt;=29),AND(MONTH(A190)=1,DAY(A190)&lt;=3)))),1,0)</f>
        <v/>
      </c>
      <c r="E190" s="7" t="n"/>
      <c r="F190" s="11">
        <f>IF(OR(D190=1,E190=1),1,0)</f>
        <v/>
      </c>
      <c r="G190" s="11">
        <f>IF(F190=1,G189+1,0)</f>
        <v/>
      </c>
      <c r="H190" s="11">
        <f>IF(F190=1,H191+1,0)</f>
        <v/>
      </c>
      <c r="I190" s="11">
        <f>IF(AND(D190=1,E190=1),"もとから休み","")</f>
        <v/>
      </c>
      <c r="J190" s="11">
        <f>IF(F190=1,G190+H190-1,"")</f>
        <v/>
      </c>
      <c r="K190" s="11">
        <f>IF(D190=0,COUNTIF($D$7:D190,0),"")</f>
        <v/>
      </c>
    </row>
    <row r="191">
      <c r="A191" s="10">
        <f>DATE($B$2-1,12,1)+184</f>
        <v/>
      </c>
      <c r="B191" s="11">
        <f>TEXT(A191,"aaa")</f>
        <v/>
      </c>
      <c r="C191" s="12">
        <f>IFERROR(VLOOKUP(A191,'1_祝日'!$A$4:$B$83,2,FALSE),"")</f>
        <v/>
      </c>
      <c r="D191" s="11">
        <f>IF(OR(WEEKDAY(A191,2)&gt;=6,C191&lt;&gt;"",COUNTIF('1_祝日'!$D$4:$D$43,A191)&gt;0,AND($B$3=1,OR(AND(MONTH(A191)=12,DAY(A191)&gt;=29),AND(MONTH(A191)=1,DAY(A191)&lt;=3)))),1,0)</f>
        <v/>
      </c>
      <c r="E191" s="7" t="n"/>
      <c r="F191" s="11">
        <f>IF(OR(D191=1,E191=1),1,0)</f>
        <v/>
      </c>
      <c r="G191" s="11">
        <f>IF(F191=1,G190+1,0)</f>
        <v/>
      </c>
      <c r="H191" s="11">
        <f>IF(F191=1,H192+1,0)</f>
        <v/>
      </c>
      <c r="I191" s="11">
        <f>IF(AND(D191=1,E191=1),"もとから休み","")</f>
        <v/>
      </c>
      <c r="J191" s="11">
        <f>IF(F191=1,G191+H191-1,"")</f>
        <v/>
      </c>
      <c r="K191" s="11">
        <f>IF(D191=0,COUNTIF($D$7:D191,0),"")</f>
        <v/>
      </c>
    </row>
    <row r="192">
      <c r="A192" s="10">
        <f>DATE($B$2-1,12,1)+185</f>
        <v/>
      </c>
      <c r="B192" s="11">
        <f>TEXT(A192,"aaa")</f>
        <v/>
      </c>
      <c r="C192" s="12">
        <f>IFERROR(VLOOKUP(A192,'1_祝日'!$A$4:$B$83,2,FALSE),"")</f>
        <v/>
      </c>
      <c r="D192" s="11">
        <f>IF(OR(WEEKDAY(A192,2)&gt;=6,C192&lt;&gt;"",COUNTIF('1_祝日'!$D$4:$D$43,A192)&gt;0,AND($B$3=1,OR(AND(MONTH(A192)=12,DAY(A192)&gt;=29),AND(MONTH(A192)=1,DAY(A192)&lt;=3)))),1,0)</f>
        <v/>
      </c>
      <c r="E192" s="7" t="n"/>
      <c r="F192" s="11">
        <f>IF(OR(D192=1,E192=1),1,0)</f>
        <v/>
      </c>
      <c r="G192" s="11">
        <f>IF(F192=1,G191+1,0)</f>
        <v/>
      </c>
      <c r="H192" s="11">
        <f>IF(F192=1,H193+1,0)</f>
        <v/>
      </c>
      <c r="I192" s="11">
        <f>IF(AND(D192=1,E192=1),"もとから休み","")</f>
        <v/>
      </c>
      <c r="J192" s="11">
        <f>IF(F192=1,G192+H192-1,"")</f>
        <v/>
      </c>
      <c r="K192" s="11">
        <f>IF(D192=0,COUNTIF($D$7:D192,0),"")</f>
        <v/>
      </c>
    </row>
    <row r="193">
      <c r="A193" s="10">
        <f>DATE($B$2-1,12,1)+186</f>
        <v/>
      </c>
      <c r="B193" s="11">
        <f>TEXT(A193,"aaa")</f>
        <v/>
      </c>
      <c r="C193" s="12">
        <f>IFERROR(VLOOKUP(A193,'1_祝日'!$A$4:$B$83,2,FALSE),"")</f>
        <v/>
      </c>
      <c r="D193" s="11">
        <f>IF(OR(WEEKDAY(A193,2)&gt;=6,C193&lt;&gt;"",COUNTIF('1_祝日'!$D$4:$D$43,A193)&gt;0,AND($B$3=1,OR(AND(MONTH(A193)=12,DAY(A193)&gt;=29),AND(MONTH(A193)=1,DAY(A193)&lt;=3)))),1,0)</f>
        <v/>
      </c>
      <c r="E193" s="7" t="n"/>
      <c r="F193" s="11">
        <f>IF(OR(D193=1,E193=1),1,0)</f>
        <v/>
      </c>
      <c r="G193" s="11">
        <f>IF(F193=1,G192+1,0)</f>
        <v/>
      </c>
      <c r="H193" s="11">
        <f>IF(F193=1,H194+1,0)</f>
        <v/>
      </c>
      <c r="I193" s="11">
        <f>IF(AND(D193=1,E193=1),"もとから休み","")</f>
        <v/>
      </c>
      <c r="J193" s="11">
        <f>IF(F193=1,G193+H193-1,"")</f>
        <v/>
      </c>
      <c r="K193" s="11">
        <f>IF(D193=0,COUNTIF($D$7:D193,0),"")</f>
        <v/>
      </c>
    </row>
    <row r="194">
      <c r="A194" s="10">
        <f>DATE($B$2-1,12,1)+187</f>
        <v/>
      </c>
      <c r="B194" s="11">
        <f>TEXT(A194,"aaa")</f>
        <v/>
      </c>
      <c r="C194" s="12">
        <f>IFERROR(VLOOKUP(A194,'1_祝日'!$A$4:$B$83,2,FALSE),"")</f>
        <v/>
      </c>
      <c r="D194" s="11">
        <f>IF(OR(WEEKDAY(A194,2)&gt;=6,C194&lt;&gt;"",COUNTIF('1_祝日'!$D$4:$D$43,A194)&gt;0,AND($B$3=1,OR(AND(MONTH(A194)=12,DAY(A194)&gt;=29),AND(MONTH(A194)=1,DAY(A194)&lt;=3)))),1,0)</f>
        <v/>
      </c>
      <c r="E194" s="7" t="n"/>
      <c r="F194" s="11">
        <f>IF(OR(D194=1,E194=1),1,0)</f>
        <v/>
      </c>
      <c r="G194" s="11">
        <f>IF(F194=1,G193+1,0)</f>
        <v/>
      </c>
      <c r="H194" s="11">
        <f>IF(F194=1,H195+1,0)</f>
        <v/>
      </c>
      <c r="I194" s="11">
        <f>IF(AND(D194=1,E194=1),"もとから休み","")</f>
        <v/>
      </c>
      <c r="J194" s="11">
        <f>IF(F194=1,G194+H194-1,"")</f>
        <v/>
      </c>
      <c r="K194" s="11">
        <f>IF(D194=0,COUNTIF($D$7:D194,0),"")</f>
        <v/>
      </c>
    </row>
    <row r="195">
      <c r="A195" s="10">
        <f>DATE($B$2-1,12,1)+188</f>
        <v/>
      </c>
      <c r="B195" s="11">
        <f>TEXT(A195,"aaa")</f>
        <v/>
      </c>
      <c r="C195" s="12">
        <f>IFERROR(VLOOKUP(A195,'1_祝日'!$A$4:$B$83,2,FALSE),"")</f>
        <v/>
      </c>
      <c r="D195" s="11">
        <f>IF(OR(WEEKDAY(A195,2)&gt;=6,C195&lt;&gt;"",COUNTIF('1_祝日'!$D$4:$D$43,A195)&gt;0,AND($B$3=1,OR(AND(MONTH(A195)=12,DAY(A195)&gt;=29),AND(MONTH(A195)=1,DAY(A195)&lt;=3)))),1,0)</f>
        <v/>
      </c>
      <c r="E195" s="7" t="n"/>
      <c r="F195" s="11">
        <f>IF(OR(D195=1,E195=1),1,0)</f>
        <v/>
      </c>
      <c r="G195" s="11">
        <f>IF(F195=1,G194+1,0)</f>
        <v/>
      </c>
      <c r="H195" s="11">
        <f>IF(F195=1,H196+1,0)</f>
        <v/>
      </c>
      <c r="I195" s="11">
        <f>IF(AND(D195=1,E195=1),"もとから休み","")</f>
        <v/>
      </c>
      <c r="J195" s="11">
        <f>IF(F195=1,G195+H195-1,"")</f>
        <v/>
      </c>
      <c r="K195" s="11">
        <f>IF(D195=0,COUNTIF($D$7:D195,0),"")</f>
        <v/>
      </c>
    </row>
    <row r="196">
      <c r="A196" s="10">
        <f>DATE($B$2-1,12,1)+189</f>
        <v/>
      </c>
      <c r="B196" s="11">
        <f>TEXT(A196,"aaa")</f>
        <v/>
      </c>
      <c r="C196" s="12">
        <f>IFERROR(VLOOKUP(A196,'1_祝日'!$A$4:$B$83,2,FALSE),"")</f>
        <v/>
      </c>
      <c r="D196" s="11">
        <f>IF(OR(WEEKDAY(A196,2)&gt;=6,C196&lt;&gt;"",COUNTIF('1_祝日'!$D$4:$D$43,A196)&gt;0,AND($B$3=1,OR(AND(MONTH(A196)=12,DAY(A196)&gt;=29),AND(MONTH(A196)=1,DAY(A196)&lt;=3)))),1,0)</f>
        <v/>
      </c>
      <c r="E196" s="7" t="n"/>
      <c r="F196" s="11">
        <f>IF(OR(D196=1,E196=1),1,0)</f>
        <v/>
      </c>
      <c r="G196" s="11">
        <f>IF(F196=1,G195+1,0)</f>
        <v/>
      </c>
      <c r="H196" s="11">
        <f>IF(F196=1,H197+1,0)</f>
        <v/>
      </c>
      <c r="I196" s="11">
        <f>IF(AND(D196=1,E196=1),"もとから休み","")</f>
        <v/>
      </c>
      <c r="J196" s="11">
        <f>IF(F196=1,G196+H196-1,"")</f>
        <v/>
      </c>
      <c r="K196" s="11">
        <f>IF(D196=0,COUNTIF($D$7:D196,0),"")</f>
        <v/>
      </c>
    </row>
    <row r="197">
      <c r="A197" s="10">
        <f>DATE($B$2-1,12,1)+190</f>
        <v/>
      </c>
      <c r="B197" s="11">
        <f>TEXT(A197,"aaa")</f>
        <v/>
      </c>
      <c r="C197" s="12">
        <f>IFERROR(VLOOKUP(A197,'1_祝日'!$A$4:$B$83,2,FALSE),"")</f>
        <v/>
      </c>
      <c r="D197" s="11">
        <f>IF(OR(WEEKDAY(A197,2)&gt;=6,C197&lt;&gt;"",COUNTIF('1_祝日'!$D$4:$D$43,A197)&gt;0,AND($B$3=1,OR(AND(MONTH(A197)=12,DAY(A197)&gt;=29),AND(MONTH(A197)=1,DAY(A197)&lt;=3)))),1,0)</f>
        <v/>
      </c>
      <c r="E197" s="7" t="n"/>
      <c r="F197" s="11">
        <f>IF(OR(D197=1,E197=1),1,0)</f>
        <v/>
      </c>
      <c r="G197" s="11">
        <f>IF(F197=1,G196+1,0)</f>
        <v/>
      </c>
      <c r="H197" s="11">
        <f>IF(F197=1,H198+1,0)</f>
        <v/>
      </c>
      <c r="I197" s="11">
        <f>IF(AND(D197=1,E197=1),"もとから休み","")</f>
        <v/>
      </c>
      <c r="J197" s="11">
        <f>IF(F197=1,G197+H197-1,"")</f>
        <v/>
      </c>
      <c r="K197" s="11">
        <f>IF(D197=0,COUNTIF($D$7:D197,0),"")</f>
        <v/>
      </c>
    </row>
    <row r="198">
      <c r="A198" s="10">
        <f>DATE($B$2-1,12,1)+191</f>
        <v/>
      </c>
      <c r="B198" s="11">
        <f>TEXT(A198,"aaa")</f>
        <v/>
      </c>
      <c r="C198" s="12">
        <f>IFERROR(VLOOKUP(A198,'1_祝日'!$A$4:$B$83,2,FALSE),"")</f>
        <v/>
      </c>
      <c r="D198" s="11">
        <f>IF(OR(WEEKDAY(A198,2)&gt;=6,C198&lt;&gt;"",COUNTIF('1_祝日'!$D$4:$D$43,A198)&gt;0,AND($B$3=1,OR(AND(MONTH(A198)=12,DAY(A198)&gt;=29),AND(MONTH(A198)=1,DAY(A198)&lt;=3)))),1,0)</f>
        <v/>
      </c>
      <c r="E198" s="7" t="n"/>
      <c r="F198" s="11">
        <f>IF(OR(D198=1,E198=1),1,0)</f>
        <v/>
      </c>
      <c r="G198" s="11">
        <f>IF(F198=1,G197+1,0)</f>
        <v/>
      </c>
      <c r="H198" s="11">
        <f>IF(F198=1,H199+1,0)</f>
        <v/>
      </c>
      <c r="I198" s="11">
        <f>IF(AND(D198=1,E198=1),"もとから休み","")</f>
        <v/>
      </c>
      <c r="J198" s="11">
        <f>IF(F198=1,G198+H198-1,"")</f>
        <v/>
      </c>
      <c r="K198" s="11">
        <f>IF(D198=0,COUNTIF($D$7:D198,0),"")</f>
        <v/>
      </c>
    </row>
    <row r="199">
      <c r="A199" s="10">
        <f>DATE($B$2-1,12,1)+192</f>
        <v/>
      </c>
      <c r="B199" s="11">
        <f>TEXT(A199,"aaa")</f>
        <v/>
      </c>
      <c r="C199" s="12">
        <f>IFERROR(VLOOKUP(A199,'1_祝日'!$A$4:$B$83,2,FALSE),"")</f>
        <v/>
      </c>
      <c r="D199" s="11">
        <f>IF(OR(WEEKDAY(A199,2)&gt;=6,C199&lt;&gt;"",COUNTIF('1_祝日'!$D$4:$D$43,A199)&gt;0,AND($B$3=1,OR(AND(MONTH(A199)=12,DAY(A199)&gt;=29),AND(MONTH(A199)=1,DAY(A199)&lt;=3)))),1,0)</f>
        <v/>
      </c>
      <c r="E199" s="7" t="n"/>
      <c r="F199" s="11">
        <f>IF(OR(D199=1,E199=1),1,0)</f>
        <v/>
      </c>
      <c r="G199" s="11">
        <f>IF(F199=1,G198+1,0)</f>
        <v/>
      </c>
      <c r="H199" s="11">
        <f>IF(F199=1,H200+1,0)</f>
        <v/>
      </c>
      <c r="I199" s="11">
        <f>IF(AND(D199=1,E199=1),"もとから休み","")</f>
        <v/>
      </c>
      <c r="J199" s="11">
        <f>IF(F199=1,G199+H199-1,"")</f>
        <v/>
      </c>
      <c r="K199" s="11">
        <f>IF(D199=0,COUNTIF($D$7:D199,0),"")</f>
        <v/>
      </c>
    </row>
    <row r="200">
      <c r="A200" s="10">
        <f>DATE($B$2-1,12,1)+193</f>
        <v/>
      </c>
      <c r="B200" s="11">
        <f>TEXT(A200,"aaa")</f>
        <v/>
      </c>
      <c r="C200" s="12">
        <f>IFERROR(VLOOKUP(A200,'1_祝日'!$A$4:$B$83,2,FALSE),"")</f>
        <v/>
      </c>
      <c r="D200" s="11">
        <f>IF(OR(WEEKDAY(A200,2)&gt;=6,C200&lt;&gt;"",COUNTIF('1_祝日'!$D$4:$D$43,A200)&gt;0,AND($B$3=1,OR(AND(MONTH(A200)=12,DAY(A200)&gt;=29),AND(MONTH(A200)=1,DAY(A200)&lt;=3)))),1,0)</f>
        <v/>
      </c>
      <c r="E200" s="7" t="n"/>
      <c r="F200" s="11">
        <f>IF(OR(D200=1,E200=1),1,0)</f>
        <v/>
      </c>
      <c r="G200" s="11">
        <f>IF(F200=1,G199+1,0)</f>
        <v/>
      </c>
      <c r="H200" s="11">
        <f>IF(F200=1,H201+1,0)</f>
        <v/>
      </c>
      <c r="I200" s="11">
        <f>IF(AND(D200=1,E200=1),"もとから休み","")</f>
        <v/>
      </c>
      <c r="J200" s="11">
        <f>IF(F200=1,G200+H200-1,"")</f>
        <v/>
      </c>
      <c r="K200" s="11">
        <f>IF(D200=0,COUNTIF($D$7:D200,0),"")</f>
        <v/>
      </c>
    </row>
    <row r="201">
      <c r="A201" s="10">
        <f>DATE($B$2-1,12,1)+194</f>
        <v/>
      </c>
      <c r="B201" s="11">
        <f>TEXT(A201,"aaa")</f>
        <v/>
      </c>
      <c r="C201" s="12">
        <f>IFERROR(VLOOKUP(A201,'1_祝日'!$A$4:$B$83,2,FALSE),"")</f>
        <v/>
      </c>
      <c r="D201" s="11">
        <f>IF(OR(WEEKDAY(A201,2)&gt;=6,C201&lt;&gt;"",COUNTIF('1_祝日'!$D$4:$D$43,A201)&gt;0,AND($B$3=1,OR(AND(MONTH(A201)=12,DAY(A201)&gt;=29),AND(MONTH(A201)=1,DAY(A201)&lt;=3)))),1,0)</f>
        <v/>
      </c>
      <c r="E201" s="7" t="n"/>
      <c r="F201" s="11">
        <f>IF(OR(D201=1,E201=1),1,0)</f>
        <v/>
      </c>
      <c r="G201" s="11">
        <f>IF(F201=1,G200+1,0)</f>
        <v/>
      </c>
      <c r="H201" s="11">
        <f>IF(F201=1,H202+1,0)</f>
        <v/>
      </c>
      <c r="I201" s="11">
        <f>IF(AND(D201=1,E201=1),"もとから休み","")</f>
        <v/>
      </c>
      <c r="J201" s="11">
        <f>IF(F201=1,G201+H201-1,"")</f>
        <v/>
      </c>
      <c r="K201" s="11">
        <f>IF(D201=0,COUNTIF($D$7:D201,0),"")</f>
        <v/>
      </c>
    </row>
    <row r="202">
      <c r="A202" s="10">
        <f>DATE($B$2-1,12,1)+195</f>
        <v/>
      </c>
      <c r="B202" s="11">
        <f>TEXT(A202,"aaa")</f>
        <v/>
      </c>
      <c r="C202" s="12">
        <f>IFERROR(VLOOKUP(A202,'1_祝日'!$A$4:$B$83,2,FALSE),"")</f>
        <v/>
      </c>
      <c r="D202" s="11">
        <f>IF(OR(WEEKDAY(A202,2)&gt;=6,C202&lt;&gt;"",COUNTIF('1_祝日'!$D$4:$D$43,A202)&gt;0,AND($B$3=1,OR(AND(MONTH(A202)=12,DAY(A202)&gt;=29),AND(MONTH(A202)=1,DAY(A202)&lt;=3)))),1,0)</f>
        <v/>
      </c>
      <c r="E202" s="7" t="n"/>
      <c r="F202" s="11">
        <f>IF(OR(D202=1,E202=1),1,0)</f>
        <v/>
      </c>
      <c r="G202" s="11">
        <f>IF(F202=1,G201+1,0)</f>
        <v/>
      </c>
      <c r="H202" s="11">
        <f>IF(F202=1,H203+1,0)</f>
        <v/>
      </c>
      <c r="I202" s="11">
        <f>IF(AND(D202=1,E202=1),"もとから休み","")</f>
        <v/>
      </c>
      <c r="J202" s="11">
        <f>IF(F202=1,G202+H202-1,"")</f>
        <v/>
      </c>
      <c r="K202" s="11">
        <f>IF(D202=0,COUNTIF($D$7:D202,0),"")</f>
        <v/>
      </c>
    </row>
    <row r="203">
      <c r="A203" s="10">
        <f>DATE($B$2-1,12,1)+196</f>
        <v/>
      </c>
      <c r="B203" s="11">
        <f>TEXT(A203,"aaa")</f>
        <v/>
      </c>
      <c r="C203" s="12">
        <f>IFERROR(VLOOKUP(A203,'1_祝日'!$A$4:$B$83,2,FALSE),"")</f>
        <v/>
      </c>
      <c r="D203" s="11">
        <f>IF(OR(WEEKDAY(A203,2)&gt;=6,C203&lt;&gt;"",COUNTIF('1_祝日'!$D$4:$D$43,A203)&gt;0,AND($B$3=1,OR(AND(MONTH(A203)=12,DAY(A203)&gt;=29),AND(MONTH(A203)=1,DAY(A203)&lt;=3)))),1,0)</f>
        <v/>
      </c>
      <c r="E203" s="7" t="n"/>
      <c r="F203" s="11">
        <f>IF(OR(D203=1,E203=1),1,0)</f>
        <v/>
      </c>
      <c r="G203" s="11">
        <f>IF(F203=1,G202+1,0)</f>
        <v/>
      </c>
      <c r="H203" s="11">
        <f>IF(F203=1,H204+1,0)</f>
        <v/>
      </c>
      <c r="I203" s="11">
        <f>IF(AND(D203=1,E203=1),"もとから休み","")</f>
        <v/>
      </c>
      <c r="J203" s="11">
        <f>IF(F203=1,G203+H203-1,"")</f>
        <v/>
      </c>
      <c r="K203" s="11">
        <f>IF(D203=0,COUNTIF($D$7:D203,0),"")</f>
        <v/>
      </c>
    </row>
    <row r="204">
      <c r="A204" s="10">
        <f>DATE($B$2-1,12,1)+197</f>
        <v/>
      </c>
      <c r="B204" s="11">
        <f>TEXT(A204,"aaa")</f>
        <v/>
      </c>
      <c r="C204" s="12">
        <f>IFERROR(VLOOKUP(A204,'1_祝日'!$A$4:$B$83,2,FALSE),"")</f>
        <v/>
      </c>
      <c r="D204" s="11">
        <f>IF(OR(WEEKDAY(A204,2)&gt;=6,C204&lt;&gt;"",COUNTIF('1_祝日'!$D$4:$D$43,A204)&gt;0,AND($B$3=1,OR(AND(MONTH(A204)=12,DAY(A204)&gt;=29),AND(MONTH(A204)=1,DAY(A204)&lt;=3)))),1,0)</f>
        <v/>
      </c>
      <c r="E204" s="7" t="n"/>
      <c r="F204" s="11">
        <f>IF(OR(D204=1,E204=1),1,0)</f>
        <v/>
      </c>
      <c r="G204" s="11">
        <f>IF(F204=1,G203+1,0)</f>
        <v/>
      </c>
      <c r="H204" s="11">
        <f>IF(F204=1,H205+1,0)</f>
        <v/>
      </c>
      <c r="I204" s="11">
        <f>IF(AND(D204=1,E204=1),"もとから休み","")</f>
        <v/>
      </c>
      <c r="J204" s="11">
        <f>IF(F204=1,G204+H204-1,"")</f>
        <v/>
      </c>
      <c r="K204" s="11">
        <f>IF(D204=0,COUNTIF($D$7:D204,0),"")</f>
        <v/>
      </c>
    </row>
    <row r="205">
      <c r="A205" s="10">
        <f>DATE($B$2-1,12,1)+198</f>
        <v/>
      </c>
      <c r="B205" s="11">
        <f>TEXT(A205,"aaa")</f>
        <v/>
      </c>
      <c r="C205" s="12">
        <f>IFERROR(VLOOKUP(A205,'1_祝日'!$A$4:$B$83,2,FALSE),"")</f>
        <v/>
      </c>
      <c r="D205" s="11">
        <f>IF(OR(WEEKDAY(A205,2)&gt;=6,C205&lt;&gt;"",COUNTIF('1_祝日'!$D$4:$D$43,A205)&gt;0,AND($B$3=1,OR(AND(MONTH(A205)=12,DAY(A205)&gt;=29),AND(MONTH(A205)=1,DAY(A205)&lt;=3)))),1,0)</f>
        <v/>
      </c>
      <c r="E205" s="7" t="n"/>
      <c r="F205" s="11">
        <f>IF(OR(D205=1,E205=1),1,0)</f>
        <v/>
      </c>
      <c r="G205" s="11">
        <f>IF(F205=1,G204+1,0)</f>
        <v/>
      </c>
      <c r="H205" s="11">
        <f>IF(F205=1,H206+1,0)</f>
        <v/>
      </c>
      <c r="I205" s="11">
        <f>IF(AND(D205=1,E205=1),"もとから休み","")</f>
        <v/>
      </c>
      <c r="J205" s="11">
        <f>IF(F205=1,G205+H205-1,"")</f>
        <v/>
      </c>
      <c r="K205" s="11">
        <f>IF(D205=0,COUNTIF($D$7:D205,0),"")</f>
        <v/>
      </c>
    </row>
    <row r="206">
      <c r="A206" s="10">
        <f>DATE($B$2-1,12,1)+199</f>
        <v/>
      </c>
      <c r="B206" s="11">
        <f>TEXT(A206,"aaa")</f>
        <v/>
      </c>
      <c r="C206" s="12">
        <f>IFERROR(VLOOKUP(A206,'1_祝日'!$A$4:$B$83,2,FALSE),"")</f>
        <v/>
      </c>
      <c r="D206" s="11">
        <f>IF(OR(WEEKDAY(A206,2)&gt;=6,C206&lt;&gt;"",COUNTIF('1_祝日'!$D$4:$D$43,A206)&gt;0,AND($B$3=1,OR(AND(MONTH(A206)=12,DAY(A206)&gt;=29),AND(MONTH(A206)=1,DAY(A206)&lt;=3)))),1,0)</f>
        <v/>
      </c>
      <c r="E206" s="7" t="n"/>
      <c r="F206" s="11">
        <f>IF(OR(D206=1,E206=1),1,0)</f>
        <v/>
      </c>
      <c r="G206" s="11">
        <f>IF(F206=1,G205+1,0)</f>
        <v/>
      </c>
      <c r="H206" s="11">
        <f>IF(F206=1,H207+1,0)</f>
        <v/>
      </c>
      <c r="I206" s="11">
        <f>IF(AND(D206=1,E206=1),"もとから休み","")</f>
        <v/>
      </c>
      <c r="J206" s="11">
        <f>IF(F206=1,G206+H206-1,"")</f>
        <v/>
      </c>
      <c r="K206" s="11">
        <f>IF(D206=0,COUNTIF($D$7:D206,0),"")</f>
        <v/>
      </c>
    </row>
    <row r="207">
      <c r="A207" s="10">
        <f>DATE($B$2-1,12,1)+200</f>
        <v/>
      </c>
      <c r="B207" s="11">
        <f>TEXT(A207,"aaa")</f>
        <v/>
      </c>
      <c r="C207" s="12">
        <f>IFERROR(VLOOKUP(A207,'1_祝日'!$A$4:$B$83,2,FALSE),"")</f>
        <v/>
      </c>
      <c r="D207" s="11">
        <f>IF(OR(WEEKDAY(A207,2)&gt;=6,C207&lt;&gt;"",COUNTIF('1_祝日'!$D$4:$D$43,A207)&gt;0,AND($B$3=1,OR(AND(MONTH(A207)=12,DAY(A207)&gt;=29),AND(MONTH(A207)=1,DAY(A207)&lt;=3)))),1,0)</f>
        <v/>
      </c>
      <c r="E207" s="7" t="n"/>
      <c r="F207" s="11">
        <f>IF(OR(D207=1,E207=1),1,0)</f>
        <v/>
      </c>
      <c r="G207" s="11">
        <f>IF(F207=1,G206+1,0)</f>
        <v/>
      </c>
      <c r="H207" s="11">
        <f>IF(F207=1,H208+1,0)</f>
        <v/>
      </c>
      <c r="I207" s="11">
        <f>IF(AND(D207=1,E207=1),"もとから休み","")</f>
        <v/>
      </c>
      <c r="J207" s="11">
        <f>IF(F207=1,G207+H207-1,"")</f>
        <v/>
      </c>
      <c r="K207" s="11">
        <f>IF(D207=0,COUNTIF($D$7:D207,0),"")</f>
        <v/>
      </c>
    </row>
    <row r="208">
      <c r="A208" s="10">
        <f>DATE($B$2-1,12,1)+201</f>
        <v/>
      </c>
      <c r="B208" s="11">
        <f>TEXT(A208,"aaa")</f>
        <v/>
      </c>
      <c r="C208" s="12">
        <f>IFERROR(VLOOKUP(A208,'1_祝日'!$A$4:$B$83,2,FALSE),"")</f>
        <v/>
      </c>
      <c r="D208" s="11">
        <f>IF(OR(WEEKDAY(A208,2)&gt;=6,C208&lt;&gt;"",COUNTIF('1_祝日'!$D$4:$D$43,A208)&gt;0,AND($B$3=1,OR(AND(MONTH(A208)=12,DAY(A208)&gt;=29),AND(MONTH(A208)=1,DAY(A208)&lt;=3)))),1,0)</f>
        <v/>
      </c>
      <c r="E208" s="7" t="n"/>
      <c r="F208" s="11">
        <f>IF(OR(D208=1,E208=1),1,0)</f>
        <v/>
      </c>
      <c r="G208" s="11">
        <f>IF(F208=1,G207+1,0)</f>
        <v/>
      </c>
      <c r="H208" s="11">
        <f>IF(F208=1,H209+1,0)</f>
        <v/>
      </c>
      <c r="I208" s="11">
        <f>IF(AND(D208=1,E208=1),"もとから休み","")</f>
        <v/>
      </c>
      <c r="J208" s="11">
        <f>IF(F208=1,G208+H208-1,"")</f>
        <v/>
      </c>
      <c r="K208" s="11">
        <f>IF(D208=0,COUNTIF($D$7:D208,0),"")</f>
        <v/>
      </c>
    </row>
    <row r="209">
      <c r="A209" s="10">
        <f>DATE($B$2-1,12,1)+202</f>
        <v/>
      </c>
      <c r="B209" s="11">
        <f>TEXT(A209,"aaa")</f>
        <v/>
      </c>
      <c r="C209" s="12">
        <f>IFERROR(VLOOKUP(A209,'1_祝日'!$A$4:$B$83,2,FALSE),"")</f>
        <v/>
      </c>
      <c r="D209" s="11">
        <f>IF(OR(WEEKDAY(A209,2)&gt;=6,C209&lt;&gt;"",COUNTIF('1_祝日'!$D$4:$D$43,A209)&gt;0,AND($B$3=1,OR(AND(MONTH(A209)=12,DAY(A209)&gt;=29),AND(MONTH(A209)=1,DAY(A209)&lt;=3)))),1,0)</f>
        <v/>
      </c>
      <c r="E209" s="7" t="n"/>
      <c r="F209" s="11">
        <f>IF(OR(D209=1,E209=1),1,0)</f>
        <v/>
      </c>
      <c r="G209" s="11">
        <f>IF(F209=1,G208+1,0)</f>
        <v/>
      </c>
      <c r="H209" s="11">
        <f>IF(F209=1,H210+1,0)</f>
        <v/>
      </c>
      <c r="I209" s="11">
        <f>IF(AND(D209=1,E209=1),"もとから休み","")</f>
        <v/>
      </c>
      <c r="J209" s="11">
        <f>IF(F209=1,G209+H209-1,"")</f>
        <v/>
      </c>
      <c r="K209" s="11">
        <f>IF(D209=0,COUNTIF($D$7:D209,0),"")</f>
        <v/>
      </c>
    </row>
    <row r="210">
      <c r="A210" s="10">
        <f>DATE($B$2-1,12,1)+203</f>
        <v/>
      </c>
      <c r="B210" s="11">
        <f>TEXT(A210,"aaa")</f>
        <v/>
      </c>
      <c r="C210" s="12">
        <f>IFERROR(VLOOKUP(A210,'1_祝日'!$A$4:$B$83,2,FALSE),"")</f>
        <v/>
      </c>
      <c r="D210" s="11">
        <f>IF(OR(WEEKDAY(A210,2)&gt;=6,C210&lt;&gt;"",COUNTIF('1_祝日'!$D$4:$D$43,A210)&gt;0,AND($B$3=1,OR(AND(MONTH(A210)=12,DAY(A210)&gt;=29),AND(MONTH(A210)=1,DAY(A210)&lt;=3)))),1,0)</f>
        <v/>
      </c>
      <c r="E210" s="7" t="n"/>
      <c r="F210" s="11">
        <f>IF(OR(D210=1,E210=1),1,0)</f>
        <v/>
      </c>
      <c r="G210" s="11">
        <f>IF(F210=1,G209+1,0)</f>
        <v/>
      </c>
      <c r="H210" s="11">
        <f>IF(F210=1,H211+1,0)</f>
        <v/>
      </c>
      <c r="I210" s="11">
        <f>IF(AND(D210=1,E210=1),"もとから休み","")</f>
        <v/>
      </c>
      <c r="J210" s="11">
        <f>IF(F210=1,G210+H210-1,"")</f>
        <v/>
      </c>
      <c r="K210" s="11">
        <f>IF(D210=0,COUNTIF($D$7:D210,0),"")</f>
        <v/>
      </c>
    </row>
    <row r="211">
      <c r="A211" s="10">
        <f>DATE($B$2-1,12,1)+204</f>
        <v/>
      </c>
      <c r="B211" s="11">
        <f>TEXT(A211,"aaa")</f>
        <v/>
      </c>
      <c r="C211" s="12">
        <f>IFERROR(VLOOKUP(A211,'1_祝日'!$A$4:$B$83,2,FALSE),"")</f>
        <v/>
      </c>
      <c r="D211" s="11">
        <f>IF(OR(WEEKDAY(A211,2)&gt;=6,C211&lt;&gt;"",COUNTIF('1_祝日'!$D$4:$D$43,A211)&gt;0,AND($B$3=1,OR(AND(MONTH(A211)=12,DAY(A211)&gt;=29),AND(MONTH(A211)=1,DAY(A211)&lt;=3)))),1,0)</f>
        <v/>
      </c>
      <c r="E211" s="7" t="n"/>
      <c r="F211" s="11">
        <f>IF(OR(D211=1,E211=1),1,0)</f>
        <v/>
      </c>
      <c r="G211" s="11">
        <f>IF(F211=1,G210+1,0)</f>
        <v/>
      </c>
      <c r="H211" s="11">
        <f>IF(F211=1,H212+1,0)</f>
        <v/>
      </c>
      <c r="I211" s="11">
        <f>IF(AND(D211=1,E211=1),"もとから休み","")</f>
        <v/>
      </c>
      <c r="J211" s="11">
        <f>IF(F211=1,G211+H211-1,"")</f>
        <v/>
      </c>
      <c r="K211" s="11">
        <f>IF(D211=0,COUNTIF($D$7:D211,0),"")</f>
        <v/>
      </c>
    </row>
    <row r="212">
      <c r="A212" s="10">
        <f>DATE($B$2-1,12,1)+205</f>
        <v/>
      </c>
      <c r="B212" s="11">
        <f>TEXT(A212,"aaa")</f>
        <v/>
      </c>
      <c r="C212" s="12">
        <f>IFERROR(VLOOKUP(A212,'1_祝日'!$A$4:$B$83,2,FALSE),"")</f>
        <v/>
      </c>
      <c r="D212" s="11">
        <f>IF(OR(WEEKDAY(A212,2)&gt;=6,C212&lt;&gt;"",COUNTIF('1_祝日'!$D$4:$D$43,A212)&gt;0,AND($B$3=1,OR(AND(MONTH(A212)=12,DAY(A212)&gt;=29),AND(MONTH(A212)=1,DAY(A212)&lt;=3)))),1,0)</f>
        <v/>
      </c>
      <c r="E212" s="7" t="n"/>
      <c r="F212" s="11">
        <f>IF(OR(D212=1,E212=1),1,0)</f>
        <v/>
      </c>
      <c r="G212" s="11">
        <f>IF(F212=1,G211+1,0)</f>
        <v/>
      </c>
      <c r="H212" s="11">
        <f>IF(F212=1,H213+1,0)</f>
        <v/>
      </c>
      <c r="I212" s="11">
        <f>IF(AND(D212=1,E212=1),"もとから休み","")</f>
        <v/>
      </c>
      <c r="J212" s="11">
        <f>IF(F212=1,G212+H212-1,"")</f>
        <v/>
      </c>
      <c r="K212" s="11">
        <f>IF(D212=0,COUNTIF($D$7:D212,0),"")</f>
        <v/>
      </c>
    </row>
    <row r="213">
      <c r="A213" s="10">
        <f>DATE($B$2-1,12,1)+206</f>
        <v/>
      </c>
      <c r="B213" s="11">
        <f>TEXT(A213,"aaa")</f>
        <v/>
      </c>
      <c r="C213" s="12">
        <f>IFERROR(VLOOKUP(A213,'1_祝日'!$A$4:$B$83,2,FALSE),"")</f>
        <v/>
      </c>
      <c r="D213" s="11">
        <f>IF(OR(WEEKDAY(A213,2)&gt;=6,C213&lt;&gt;"",COUNTIF('1_祝日'!$D$4:$D$43,A213)&gt;0,AND($B$3=1,OR(AND(MONTH(A213)=12,DAY(A213)&gt;=29),AND(MONTH(A213)=1,DAY(A213)&lt;=3)))),1,0)</f>
        <v/>
      </c>
      <c r="E213" s="7" t="n"/>
      <c r="F213" s="11">
        <f>IF(OR(D213=1,E213=1),1,0)</f>
        <v/>
      </c>
      <c r="G213" s="11">
        <f>IF(F213=1,G212+1,0)</f>
        <v/>
      </c>
      <c r="H213" s="11">
        <f>IF(F213=1,H214+1,0)</f>
        <v/>
      </c>
      <c r="I213" s="11">
        <f>IF(AND(D213=1,E213=1),"もとから休み","")</f>
        <v/>
      </c>
      <c r="J213" s="11">
        <f>IF(F213=1,G213+H213-1,"")</f>
        <v/>
      </c>
      <c r="K213" s="11">
        <f>IF(D213=0,COUNTIF($D$7:D213,0),"")</f>
        <v/>
      </c>
    </row>
    <row r="214">
      <c r="A214" s="10">
        <f>DATE($B$2-1,12,1)+207</f>
        <v/>
      </c>
      <c r="B214" s="11">
        <f>TEXT(A214,"aaa")</f>
        <v/>
      </c>
      <c r="C214" s="12">
        <f>IFERROR(VLOOKUP(A214,'1_祝日'!$A$4:$B$83,2,FALSE),"")</f>
        <v/>
      </c>
      <c r="D214" s="11">
        <f>IF(OR(WEEKDAY(A214,2)&gt;=6,C214&lt;&gt;"",COUNTIF('1_祝日'!$D$4:$D$43,A214)&gt;0,AND($B$3=1,OR(AND(MONTH(A214)=12,DAY(A214)&gt;=29),AND(MONTH(A214)=1,DAY(A214)&lt;=3)))),1,0)</f>
        <v/>
      </c>
      <c r="E214" s="7" t="n"/>
      <c r="F214" s="11">
        <f>IF(OR(D214=1,E214=1),1,0)</f>
        <v/>
      </c>
      <c r="G214" s="11">
        <f>IF(F214=1,G213+1,0)</f>
        <v/>
      </c>
      <c r="H214" s="11">
        <f>IF(F214=1,H215+1,0)</f>
        <v/>
      </c>
      <c r="I214" s="11">
        <f>IF(AND(D214=1,E214=1),"もとから休み","")</f>
        <v/>
      </c>
      <c r="J214" s="11">
        <f>IF(F214=1,G214+H214-1,"")</f>
        <v/>
      </c>
      <c r="K214" s="11">
        <f>IF(D214=0,COUNTIF($D$7:D214,0),"")</f>
        <v/>
      </c>
    </row>
    <row r="215">
      <c r="A215" s="10">
        <f>DATE($B$2-1,12,1)+208</f>
        <v/>
      </c>
      <c r="B215" s="11">
        <f>TEXT(A215,"aaa")</f>
        <v/>
      </c>
      <c r="C215" s="12">
        <f>IFERROR(VLOOKUP(A215,'1_祝日'!$A$4:$B$83,2,FALSE),"")</f>
        <v/>
      </c>
      <c r="D215" s="11">
        <f>IF(OR(WEEKDAY(A215,2)&gt;=6,C215&lt;&gt;"",COUNTIF('1_祝日'!$D$4:$D$43,A215)&gt;0,AND($B$3=1,OR(AND(MONTH(A215)=12,DAY(A215)&gt;=29),AND(MONTH(A215)=1,DAY(A215)&lt;=3)))),1,0)</f>
        <v/>
      </c>
      <c r="E215" s="7" t="n"/>
      <c r="F215" s="11">
        <f>IF(OR(D215=1,E215=1),1,0)</f>
        <v/>
      </c>
      <c r="G215" s="11">
        <f>IF(F215=1,G214+1,0)</f>
        <v/>
      </c>
      <c r="H215" s="11">
        <f>IF(F215=1,H216+1,0)</f>
        <v/>
      </c>
      <c r="I215" s="11">
        <f>IF(AND(D215=1,E215=1),"もとから休み","")</f>
        <v/>
      </c>
      <c r="J215" s="11">
        <f>IF(F215=1,G215+H215-1,"")</f>
        <v/>
      </c>
      <c r="K215" s="11">
        <f>IF(D215=0,COUNTIF($D$7:D215,0),"")</f>
        <v/>
      </c>
    </row>
    <row r="216">
      <c r="A216" s="10">
        <f>DATE($B$2-1,12,1)+209</f>
        <v/>
      </c>
      <c r="B216" s="11">
        <f>TEXT(A216,"aaa")</f>
        <v/>
      </c>
      <c r="C216" s="12">
        <f>IFERROR(VLOOKUP(A216,'1_祝日'!$A$4:$B$83,2,FALSE),"")</f>
        <v/>
      </c>
      <c r="D216" s="11">
        <f>IF(OR(WEEKDAY(A216,2)&gt;=6,C216&lt;&gt;"",COUNTIF('1_祝日'!$D$4:$D$43,A216)&gt;0,AND($B$3=1,OR(AND(MONTH(A216)=12,DAY(A216)&gt;=29),AND(MONTH(A216)=1,DAY(A216)&lt;=3)))),1,0)</f>
        <v/>
      </c>
      <c r="E216" s="7" t="n"/>
      <c r="F216" s="11">
        <f>IF(OR(D216=1,E216=1),1,0)</f>
        <v/>
      </c>
      <c r="G216" s="11">
        <f>IF(F216=1,G215+1,0)</f>
        <v/>
      </c>
      <c r="H216" s="11">
        <f>IF(F216=1,H217+1,0)</f>
        <v/>
      </c>
      <c r="I216" s="11">
        <f>IF(AND(D216=1,E216=1),"もとから休み","")</f>
        <v/>
      </c>
      <c r="J216" s="11">
        <f>IF(F216=1,G216+H216-1,"")</f>
        <v/>
      </c>
      <c r="K216" s="11">
        <f>IF(D216=0,COUNTIF($D$7:D216,0),"")</f>
        <v/>
      </c>
    </row>
    <row r="217">
      <c r="A217" s="10">
        <f>DATE($B$2-1,12,1)+210</f>
        <v/>
      </c>
      <c r="B217" s="11">
        <f>TEXT(A217,"aaa")</f>
        <v/>
      </c>
      <c r="C217" s="12">
        <f>IFERROR(VLOOKUP(A217,'1_祝日'!$A$4:$B$83,2,FALSE),"")</f>
        <v/>
      </c>
      <c r="D217" s="11">
        <f>IF(OR(WEEKDAY(A217,2)&gt;=6,C217&lt;&gt;"",COUNTIF('1_祝日'!$D$4:$D$43,A217)&gt;0,AND($B$3=1,OR(AND(MONTH(A217)=12,DAY(A217)&gt;=29),AND(MONTH(A217)=1,DAY(A217)&lt;=3)))),1,0)</f>
        <v/>
      </c>
      <c r="E217" s="7" t="n"/>
      <c r="F217" s="11">
        <f>IF(OR(D217=1,E217=1),1,0)</f>
        <v/>
      </c>
      <c r="G217" s="11">
        <f>IF(F217=1,G216+1,0)</f>
        <v/>
      </c>
      <c r="H217" s="11">
        <f>IF(F217=1,H218+1,0)</f>
        <v/>
      </c>
      <c r="I217" s="11">
        <f>IF(AND(D217=1,E217=1),"もとから休み","")</f>
        <v/>
      </c>
      <c r="J217" s="11">
        <f>IF(F217=1,G217+H217-1,"")</f>
        <v/>
      </c>
      <c r="K217" s="11">
        <f>IF(D217=0,COUNTIF($D$7:D217,0),"")</f>
        <v/>
      </c>
    </row>
    <row r="218">
      <c r="A218" s="10">
        <f>DATE($B$2-1,12,1)+211</f>
        <v/>
      </c>
      <c r="B218" s="11">
        <f>TEXT(A218,"aaa")</f>
        <v/>
      </c>
      <c r="C218" s="12">
        <f>IFERROR(VLOOKUP(A218,'1_祝日'!$A$4:$B$83,2,FALSE),"")</f>
        <v/>
      </c>
      <c r="D218" s="11">
        <f>IF(OR(WEEKDAY(A218,2)&gt;=6,C218&lt;&gt;"",COUNTIF('1_祝日'!$D$4:$D$43,A218)&gt;0,AND($B$3=1,OR(AND(MONTH(A218)=12,DAY(A218)&gt;=29),AND(MONTH(A218)=1,DAY(A218)&lt;=3)))),1,0)</f>
        <v/>
      </c>
      <c r="E218" s="7" t="n"/>
      <c r="F218" s="11">
        <f>IF(OR(D218=1,E218=1),1,0)</f>
        <v/>
      </c>
      <c r="G218" s="11">
        <f>IF(F218=1,G217+1,0)</f>
        <v/>
      </c>
      <c r="H218" s="11">
        <f>IF(F218=1,H219+1,0)</f>
        <v/>
      </c>
      <c r="I218" s="11">
        <f>IF(AND(D218=1,E218=1),"もとから休み","")</f>
        <v/>
      </c>
      <c r="J218" s="11">
        <f>IF(F218=1,G218+H218-1,"")</f>
        <v/>
      </c>
      <c r="K218" s="11">
        <f>IF(D218=0,COUNTIF($D$7:D218,0),"")</f>
        <v/>
      </c>
    </row>
    <row r="219">
      <c r="A219" s="10">
        <f>DATE($B$2-1,12,1)+212</f>
        <v/>
      </c>
      <c r="B219" s="11">
        <f>TEXT(A219,"aaa")</f>
        <v/>
      </c>
      <c r="C219" s="12">
        <f>IFERROR(VLOOKUP(A219,'1_祝日'!$A$4:$B$83,2,FALSE),"")</f>
        <v/>
      </c>
      <c r="D219" s="11">
        <f>IF(OR(WEEKDAY(A219,2)&gt;=6,C219&lt;&gt;"",COUNTIF('1_祝日'!$D$4:$D$43,A219)&gt;0,AND($B$3=1,OR(AND(MONTH(A219)=12,DAY(A219)&gt;=29),AND(MONTH(A219)=1,DAY(A219)&lt;=3)))),1,0)</f>
        <v/>
      </c>
      <c r="E219" s="7" t="n"/>
      <c r="F219" s="11">
        <f>IF(OR(D219=1,E219=1),1,0)</f>
        <v/>
      </c>
      <c r="G219" s="11">
        <f>IF(F219=1,G218+1,0)</f>
        <v/>
      </c>
      <c r="H219" s="11">
        <f>IF(F219=1,H220+1,0)</f>
        <v/>
      </c>
      <c r="I219" s="11">
        <f>IF(AND(D219=1,E219=1),"もとから休み","")</f>
        <v/>
      </c>
      <c r="J219" s="11">
        <f>IF(F219=1,G219+H219-1,"")</f>
        <v/>
      </c>
      <c r="K219" s="11">
        <f>IF(D219=0,COUNTIF($D$7:D219,0),"")</f>
        <v/>
      </c>
    </row>
    <row r="220">
      <c r="A220" s="10">
        <f>DATE($B$2-1,12,1)+213</f>
        <v/>
      </c>
      <c r="B220" s="11">
        <f>TEXT(A220,"aaa")</f>
        <v/>
      </c>
      <c r="C220" s="12">
        <f>IFERROR(VLOOKUP(A220,'1_祝日'!$A$4:$B$83,2,FALSE),"")</f>
        <v/>
      </c>
      <c r="D220" s="11">
        <f>IF(OR(WEEKDAY(A220,2)&gt;=6,C220&lt;&gt;"",COUNTIF('1_祝日'!$D$4:$D$43,A220)&gt;0,AND($B$3=1,OR(AND(MONTH(A220)=12,DAY(A220)&gt;=29),AND(MONTH(A220)=1,DAY(A220)&lt;=3)))),1,0)</f>
        <v/>
      </c>
      <c r="E220" s="7" t="n"/>
      <c r="F220" s="11">
        <f>IF(OR(D220=1,E220=1),1,0)</f>
        <v/>
      </c>
      <c r="G220" s="11">
        <f>IF(F220=1,G219+1,0)</f>
        <v/>
      </c>
      <c r="H220" s="11">
        <f>IF(F220=1,H221+1,0)</f>
        <v/>
      </c>
      <c r="I220" s="11">
        <f>IF(AND(D220=1,E220=1),"もとから休み","")</f>
        <v/>
      </c>
      <c r="J220" s="11">
        <f>IF(F220=1,G220+H220-1,"")</f>
        <v/>
      </c>
      <c r="K220" s="11">
        <f>IF(D220=0,COUNTIF($D$7:D220,0),"")</f>
        <v/>
      </c>
    </row>
    <row r="221">
      <c r="A221" s="10">
        <f>DATE($B$2-1,12,1)+214</f>
        <v/>
      </c>
      <c r="B221" s="11">
        <f>TEXT(A221,"aaa")</f>
        <v/>
      </c>
      <c r="C221" s="12">
        <f>IFERROR(VLOOKUP(A221,'1_祝日'!$A$4:$B$83,2,FALSE),"")</f>
        <v/>
      </c>
      <c r="D221" s="11">
        <f>IF(OR(WEEKDAY(A221,2)&gt;=6,C221&lt;&gt;"",COUNTIF('1_祝日'!$D$4:$D$43,A221)&gt;0,AND($B$3=1,OR(AND(MONTH(A221)=12,DAY(A221)&gt;=29),AND(MONTH(A221)=1,DAY(A221)&lt;=3)))),1,0)</f>
        <v/>
      </c>
      <c r="E221" s="7" t="n"/>
      <c r="F221" s="11">
        <f>IF(OR(D221=1,E221=1),1,0)</f>
        <v/>
      </c>
      <c r="G221" s="11">
        <f>IF(F221=1,G220+1,0)</f>
        <v/>
      </c>
      <c r="H221" s="11">
        <f>IF(F221=1,H222+1,0)</f>
        <v/>
      </c>
      <c r="I221" s="11">
        <f>IF(AND(D221=1,E221=1),"もとから休み","")</f>
        <v/>
      </c>
      <c r="J221" s="11">
        <f>IF(F221=1,G221+H221-1,"")</f>
        <v/>
      </c>
      <c r="K221" s="11">
        <f>IF(D221=0,COUNTIF($D$7:D221,0),"")</f>
        <v/>
      </c>
    </row>
    <row r="222">
      <c r="A222" s="10">
        <f>DATE($B$2-1,12,1)+215</f>
        <v/>
      </c>
      <c r="B222" s="11">
        <f>TEXT(A222,"aaa")</f>
        <v/>
      </c>
      <c r="C222" s="12">
        <f>IFERROR(VLOOKUP(A222,'1_祝日'!$A$4:$B$83,2,FALSE),"")</f>
        <v/>
      </c>
      <c r="D222" s="11">
        <f>IF(OR(WEEKDAY(A222,2)&gt;=6,C222&lt;&gt;"",COUNTIF('1_祝日'!$D$4:$D$43,A222)&gt;0,AND($B$3=1,OR(AND(MONTH(A222)=12,DAY(A222)&gt;=29),AND(MONTH(A222)=1,DAY(A222)&lt;=3)))),1,0)</f>
        <v/>
      </c>
      <c r="E222" s="7" t="n"/>
      <c r="F222" s="11">
        <f>IF(OR(D222=1,E222=1),1,0)</f>
        <v/>
      </c>
      <c r="G222" s="11">
        <f>IF(F222=1,G221+1,0)</f>
        <v/>
      </c>
      <c r="H222" s="11">
        <f>IF(F222=1,H223+1,0)</f>
        <v/>
      </c>
      <c r="I222" s="11">
        <f>IF(AND(D222=1,E222=1),"もとから休み","")</f>
        <v/>
      </c>
      <c r="J222" s="11">
        <f>IF(F222=1,G222+H222-1,"")</f>
        <v/>
      </c>
      <c r="K222" s="11">
        <f>IF(D222=0,COUNTIF($D$7:D222,0),"")</f>
        <v/>
      </c>
    </row>
    <row r="223">
      <c r="A223" s="10">
        <f>DATE($B$2-1,12,1)+216</f>
        <v/>
      </c>
      <c r="B223" s="11">
        <f>TEXT(A223,"aaa")</f>
        <v/>
      </c>
      <c r="C223" s="12">
        <f>IFERROR(VLOOKUP(A223,'1_祝日'!$A$4:$B$83,2,FALSE),"")</f>
        <v/>
      </c>
      <c r="D223" s="11">
        <f>IF(OR(WEEKDAY(A223,2)&gt;=6,C223&lt;&gt;"",COUNTIF('1_祝日'!$D$4:$D$43,A223)&gt;0,AND($B$3=1,OR(AND(MONTH(A223)=12,DAY(A223)&gt;=29),AND(MONTH(A223)=1,DAY(A223)&lt;=3)))),1,0)</f>
        <v/>
      </c>
      <c r="E223" s="7" t="n"/>
      <c r="F223" s="11">
        <f>IF(OR(D223=1,E223=1),1,0)</f>
        <v/>
      </c>
      <c r="G223" s="11">
        <f>IF(F223=1,G222+1,0)</f>
        <v/>
      </c>
      <c r="H223" s="11">
        <f>IF(F223=1,H224+1,0)</f>
        <v/>
      </c>
      <c r="I223" s="11">
        <f>IF(AND(D223=1,E223=1),"もとから休み","")</f>
        <v/>
      </c>
      <c r="J223" s="11">
        <f>IF(F223=1,G223+H223-1,"")</f>
        <v/>
      </c>
      <c r="K223" s="11">
        <f>IF(D223=0,COUNTIF($D$7:D223,0),"")</f>
        <v/>
      </c>
    </row>
    <row r="224">
      <c r="A224" s="10">
        <f>DATE($B$2-1,12,1)+217</f>
        <v/>
      </c>
      <c r="B224" s="11">
        <f>TEXT(A224,"aaa")</f>
        <v/>
      </c>
      <c r="C224" s="12">
        <f>IFERROR(VLOOKUP(A224,'1_祝日'!$A$4:$B$83,2,FALSE),"")</f>
        <v/>
      </c>
      <c r="D224" s="11">
        <f>IF(OR(WEEKDAY(A224,2)&gt;=6,C224&lt;&gt;"",COUNTIF('1_祝日'!$D$4:$D$43,A224)&gt;0,AND($B$3=1,OR(AND(MONTH(A224)=12,DAY(A224)&gt;=29),AND(MONTH(A224)=1,DAY(A224)&lt;=3)))),1,0)</f>
        <v/>
      </c>
      <c r="E224" s="7" t="n"/>
      <c r="F224" s="11">
        <f>IF(OR(D224=1,E224=1),1,0)</f>
        <v/>
      </c>
      <c r="G224" s="11">
        <f>IF(F224=1,G223+1,0)</f>
        <v/>
      </c>
      <c r="H224" s="11">
        <f>IF(F224=1,H225+1,0)</f>
        <v/>
      </c>
      <c r="I224" s="11">
        <f>IF(AND(D224=1,E224=1),"もとから休み","")</f>
        <v/>
      </c>
      <c r="J224" s="11">
        <f>IF(F224=1,G224+H224-1,"")</f>
        <v/>
      </c>
      <c r="K224" s="11">
        <f>IF(D224=0,COUNTIF($D$7:D224,0),"")</f>
        <v/>
      </c>
    </row>
    <row r="225">
      <c r="A225" s="10">
        <f>DATE($B$2-1,12,1)+218</f>
        <v/>
      </c>
      <c r="B225" s="11">
        <f>TEXT(A225,"aaa")</f>
        <v/>
      </c>
      <c r="C225" s="12">
        <f>IFERROR(VLOOKUP(A225,'1_祝日'!$A$4:$B$83,2,FALSE),"")</f>
        <v/>
      </c>
      <c r="D225" s="11">
        <f>IF(OR(WEEKDAY(A225,2)&gt;=6,C225&lt;&gt;"",COUNTIF('1_祝日'!$D$4:$D$43,A225)&gt;0,AND($B$3=1,OR(AND(MONTH(A225)=12,DAY(A225)&gt;=29),AND(MONTH(A225)=1,DAY(A225)&lt;=3)))),1,0)</f>
        <v/>
      </c>
      <c r="E225" s="7" t="n"/>
      <c r="F225" s="11">
        <f>IF(OR(D225=1,E225=1),1,0)</f>
        <v/>
      </c>
      <c r="G225" s="11">
        <f>IF(F225=1,G224+1,0)</f>
        <v/>
      </c>
      <c r="H225" s="11">
        <f>IF(F225=1,H226+1,0)</f>
        <v/>
      </c>
      <c r="I225" s="11">
        <f>IF(AND(D225=1,E225=1),"もとから休み","")</f>
        <v/>
      </c>
      <c r="J225" s="11">
        <f>IF(F225=1,G225+H225-1,"")</f>
        <v/>
      </c>
      <c r="K225" s="11">
        <f>IF(D225=0,COUNTIF($D$7:D225,0),"")</f>
        <v/>
      </c>
    </row>
    <row r="226">
      <c r="A226" s="10">
        <f>DATE($B$2-1,12,1)+219</f>
        <v/>
      </c>
      <c r="B226" s="11">
        <f>TEXT(A226,"aaa")</f>
        <v/>
      </c>
      <c r="C226" s="12">
        <f>IFERROR(VLOOKUP(A226,'1_祝日'!$A$4:$B$83,2,FALSE),"")</f>
        <v/>
      </c>
      <c r="D226" s="11">
        <f>IF(OR(WEEKDAY(A226,2)&gt;=6,C226&lt;&gt;"",COUNTIF('1_祝日'!$D$4:$D$43,A226)&gt;0,AND($B$3=1,OR(AND(MONTH(A226)=12,DAY(A226)&gt;=29),AND(MONTH(A226)=1,DAY(A226)&lt;=3)))),1,0)</f>
        <v/>
      </c>
      <c r="E226" s="7" t="n"/>
      <c r="F226" s="11">
        <f>IF(OR(D226=1,E226=1),1,0)</f>
        <v/>
      </c>
      <c r="G226" s="11">
        <f>IF(F226=1,G225+1,0)</f>
        <v/>
      </c>
      <c r="H226" s="11">
        <f>IF(F226=1,H227+1,0)</f>
        <v/>
      </c>
      <c r="I226" s="11">
        <f>IF(AND(D226=1,E226=1),"もとから休み","")</f>
        <v/>
      </c>
      <c r="J226" s="11">
        <f>IF(F226=1,G226+H226-1,"")</f>
        <v/>
      </c>
      <c r="K226" s="11">
        <f>IF(D226=0,COUNTIF($D$7:D226,0),"")</f>
        <v/>
      </c>
    </row>
    <row r="227">
      <c r="A227" s="10">
        <f>DATE($B$2-1,12,1)+220</f>
        <v/>
      </c>
      <c r="B227" s="11">
        <f>TEXT(A227,"aaa")</f>
        <v/>
      </c>
      <c r="C227" s="12">
        <f>IFERROR(VLOOKUP(A227,'1_祝日'!$A$4:$B$83,2,FALSE),"")</f>
        <v/>
      </c>
      <c r="D227" s="11">
        <f>IF(OR(WEEKDAY(A227,2)&gt;=6,C227&lt;&gt;"",COUNTIF('1_祝日'!$D$4:$D$43,A227)&gt;0,AND($B$3=1,OR(AND(MONTH(A227)=12,DAY(A227)&gt;=29),AND(MONTH(A227)=1,DAY(A227)&lt;=3)))),1,0)</f>
        <v/>
      </c>
      <c r="E227" s="7" t="n"/>
      <c r="F227" s="11">
        <f>IF(OR(D227=1,E227=1),1,0)</f>
        <v/>
      </c>
      <c r="G227" s="11">
        <f>IF(F227=1,G226+1,0)</f>
        <v/>
      </c>
      <c r="H227" s="11">
        <f>IF(F227=1,H228+1,0)</f>
        <v/>
      </c>
      <c r="I227" s="11">
        <f>IF(AND(D227=1,E227=1),"もとから休み","")</f>
        <v/>
      </c>
      <c r="J227" s="11">
        <f>IF(F227=1,G227+H227-1,"")</f>
        <v/>
      </c>
      <c r="K227" s="11">
        <f>IF(D227=0,COUNTIF($D$7:D227,0),"")</f>
        <v/>
      </c>
    </row>
    <row r="228">
      <c r="A228" s="10">
        <f>DATE($B$2-1,12,1)+221</f>
        <v/>
      </c>
      <c r="B228" s="11">
        <f>TEXT(A228,"aaa")</f>
        <v/>
      </c>
      <c r="C228" s="12">
        <f>IFERROR(VLOOKUP(A228,'1_祝日'!$A$4:$B$83,2,FALSE),"")</f>
        <v/>
      </c>
      <c r="D228" s="11">
        <f>IF(OR(WEEKDAY(A228,2)&gt;=6,C228&lt;&gt;"",COUNTIF('1_祝日'!$D$4:$D$43,A228)&gt;0,AND($B$3=1,OR(AND(MONTH(A228)=12,DAY(A228)&gt;=29),AND(MONTH(A228)=1,DAY(A228)&lt;=3)))),1,0)</f>
        <v/>
      </c>
      <c r="E228" s="7" t="n"/>
      <c r="F228" s="11">
        <f>IF(OR(D228=1,E228=1),1,0)</f>
        <v/>
      </c>
      <c r="G228" s="11">
        <f>IF(F228=1,G227+1,0)</f>
        <v/>
      </c>
      <c r="H228" s="11">
        <f>IF(F228=1,H229+1,0)</f>
        <v/>
      </c>
      <c r="I228" s="11">
        <f>IF(AND(D228=1,E228=1),"もとから休み","")</f>
        <v/>
      </c>
      <c r="J228" s="11">
        <f>IF(F228=1,G228+H228-1,"")</f>
        <v/>
      </c>
      <c r="K228" s="11">
        <f>IF(D228=0,COUNTIF($D$7:D228,0),"")</f>
        <v/>
      </c>
    </row>
    <row r="229">
      <c r="A229" s="10">
        <f>DATE($B$2-1,12,1)+222</f>
        <v/>
      </c>
      <c r="B229" s="11">
        <f>TEXT(A229,"aaa")</f>
        <v/>
      </c>
      <c r="C229" s="12">
        <f>IFERROR(VLOOKUP(A229,'1_祝日'!$A$4:$B$83,2,FALSE),"")</f>
        <v/>
      </c>
      <c r="D229" s="11">
        <f>IF(OR(WEEKDAY(A229,2)&gt;=6,C229&lt;&gt;"",COUNTIF('1_祝日'!$D$4:$D$43,A229)&gt;0,AND($B$3=1,OR(AND(MONTH(A229)=12,DAY(A229)&gt;=29),AND(MONTH(A229)=1,DAY(A229)&lt;=3)))),1,0)</f>
        <v/>
      </c>
      <c r="E229" s="7" t="n"/>
      <c r="F229" s="11">
        <f>IF(OR(D229=1,E229=1),1,0)</f>
        <v/>
      </c>
      <c r="G229" s="11">
        <f>IF(F229=1,G228+1,0)</f>
        <v/>
      </c>
      <c r="H229" s="11">
        <f>IF(F229=1,H230+1,0)</f>
        <v/>
      </c>
      <c r="I229" s="11">
        <f>IF(AND(D229=1,E229=1),"もとから休み","")</f>
        <v/>
      </c>
      <c r="J229" s="11">
        <f>IF(F229=1,G229+H229-1,"")</f>
        <v/>
      </c>
      <c r="K229" s="11">
        <f>IF(D229=0,COUNTIF($D$7:D229,0),"")</f>
        <v/>
      </c>
    </row>
    <row r="230">
      <c r="A230" s="10">
        <f>DATE($B$2-1,12,1)+223</f>
        <v/>
      </c>
      <c r="B230" s="11">
        <f>TEXT(A230,"aaa")</f>
        <v/>
      </c>
      <c r="C230" s="12">
        <f>IFERROR(VLOOKUP(A230,'1_祝日'!$A$4:$B$83,2,FALSE),"")</f>
        <v/>
      </c>
      <c r="D230" s="11">
        <f>IF(OR(WEEKDAY(A230,2)&gt;=6,C230&lt;&gt;"",COUNTIF('1_祝日'!$D$4:$D$43,A230)&gt;0,AND($B$3=1,OR(AND(MONTH(A230)=12,DAY(A230)&gt;=29),AND(MONTH(A230)=1,DAY(A230)&lt;=3)))),1,0)</f>
        <v/>
      </c>
      <c r="E230" s="7" t="n"/>
      <c r="F230" s="11">
        <f>IF(OR(D230=1,E230=1),1,0)</f>
        <v/>
      </c>
      <c r="G230" s="11">
        <f>IF(F230=1,G229+1,0)</f>
        <v/>
      </c>
      <c r="H230" s="11">
        <f>IF(F230=1,H231+1,0)</f>
        <v/>
      </c>
      <c r="I230" s="11">
        <f>IF(AND(D230=1,E230=1),"もとから休み","")</f>
        <v/>
      </c>
      <c r="J230" s="11">
        <f>IF(F230=1,G230+H230-1,"")</f>
        <v/>
      </c>
      <c r="K230" s="11">
        <f>IF(D230=0,COUNTIF($D$7:D230,0),"")</f>
        <v/>
      </c>
    </row>
    <row r="231">
      <c r="A231" s="10">
        <f>DATE($B$2-1,12,1)+224</f>
        <v/>
      </c>
      <c r="B231" s="11">
        <f>TEXT(A231,"aaa")</f>
        <v/>
      </c>
      <c r="C231" s="12">
        <f>IFERROR(VLOOKUP(A231,'1_祝日'!$A$4:$B$83,2,FALSE),"")</f>
        <v/>
      </c>
      <c r="D231" s="11">
        <f>IF(OR(WEEKDAY(A231,2)&gt;=6,C231&lt;&gt;"",COUNTIF('1_祝日'!$D$4:$D$43,A231)&gt;0,AND($B$3=1,OR(AND(MONTH(A231)=12,DAY(A231)&gt;=29),AND(MONTH(A231)=1,DAY(A231)&lt;=3)))),1,0)</f>
        <v/>
      </c>
      <c r="E231" s="7" t="n"/>
      <c r="F231" s="11">
        <f>IF(OR(D231=1,E231=1),1,0)</f>
        <v/>
      </c>
      <c r="G231" s="11">
        <f>IF(F231=1,G230+1,0)</f>
        <v/>
      </c>
      <c r="H231" s="11">
        <f>IF(F231=1,H232+1,0)</f>
        <v/>
      </c>
      <c r="I231" s="11">
        <f>IF(AND(D231=1,E231=1),"もとから休み","")</f>
        <v/>
      </c>
      <c r="J231" s="11">
        <f>IF(F231=1,G231+H231-1,"")</f>
        <v/>
      </c>
      <c r="K231" s="11">
        <f>IF(D231=0,COUNTIF($D$7:D231,0),"")</f>
        <v/>
      </c>
    </row>
    <row r="232">
      <c r="A232" s="10">
        <f>DATE($B$2-1,12,1)+225</f>
        <v/>
      </c>
      <c r="B232" s="11">
        <f>TEXT(A232,"aaa")</f>
        <v/>
      </c>
      <c r="C232" s="12">
        <f>IFERROR(VLOOKUP(A232,'1_祝日'!$A$4:$B$83,2,FALSE),"")</f>
        <v/>
      </c>
      <c r="D232" s="11">
        <f>IF(OR(WEEKDAY(A232,2)&gt;=6,C232&lt;&gt;"",COUNTIF('1_祝日'!$D$4:$D$43,A232)&gt;0,AND($B$3=1,OR(AND(MONTH(A232)=12,DAY(A232)&gt;=29),AND(MONTH(A232)=1,DAY(A232)&lt;=3)))),1,0)</f>
        <v/>
      </c>
      <c r="E232" s="7" t="n"/>
      <c r="F232" s="11">
        <f>IF(OR(D232=1,E232=1),1,0)</f>
        <v/>
      </c>
      <c r="G232" s="11">
        <f>IF(F232=1,G231+1,0)</f>
        <v/>
      </c>
      <c r="H232" s="11">
        <f>IF(F232=1,H233+1,0)</f>
        <v/>
      </c>
      <c r="I232" s="11">
        <f>IF(AND(D232=1,E232=1),"もとから休み","")</f>
        <v/>
      </c>
      <c r="J232" s="11">
        <f>IF(F232=1,G232+H232-1,"")</f>
        <v/>
      </c>
      <c r="K232" s="11">
        <f>IF(D232=0,COUNTIF($D$7:D232,0),"")</f>
        <v/>
      </c>
    </row>
    <row r="233">
      <c r="A233" s="10">
        <f>DATE($B$2-1,12,1)+226</f>
        <v/>
      </c>
      <c r="B233" s="11">
        <f>TEXT(A233,"aaa")</f>
        <v/>
      </c>
      <c r="C233" s="12">
        <f>IFERROR(VLOOKUP(A233,'1_祝日'!$A$4:$B$83,2,FALSE),"")</f>
        <v/>
      </c>
      <c r="D233" s="11">
        <f>IF(OR(WEEKDAY(A233,2)&gt;=6,C233&lt;&gt;"",COUNTIF('1_祝日'!$D$4:$D$43,A233)&gt;0,AND($B$3=1,OR(AND(MONTH(A233)=12,DAY(A233)&gt;=29),AND(MONTH(A233)=1,DAY(A233)&lt;=3)))),1,0)</f>
        <v/>
      </c>
      <c r="E233" s="7" t="n"/>
      <c r="F233" s="11">
        <f>IF(OR(D233=1,E233=1),1,0)</f>
        <v/>
      </c>
      <c r="G233" s="11">
        <f>IF(F233=1,G232+1,0)</f>
        <v/>
      </c>
      <c r="H233" s="11">
        <f>IF(F233=1,H234+1,0)</f>
        <v/>
      </c>
      <c r="I233" s="11">
        <f>IF(AND(D233=1,E233=1),"もとから休み","")</f>
        <v/>
      </c>
      <c r="J233" s="11">
        <f>IF(F233=1,G233+H233-1,"")</f>
        <v/>
      </c>
      <c r="K233" s="11">
        <f>IF(D233=0,COUNTIF($D$7:D233,0),"")</f>
        <v/>
      </c>
    </row>
    <row r="234">
      <c r="A234" s="10">
        <f>DATE($B$2-1,12,1)+227</f>
        <v/>
      </c>
      <c r="B234" s="11">
        <f>TEXT(A234,"aaa")</f>
        <v/>
      </c>
      <c r="C234" s="12">
        <f>IFERROR(VLOOKUP(A234,'1_祝日'!$A$4:$B$83,2,FALSE),"")</f>
        <v/>
      </c>
      <c r="D234" s="11">
        <f>IF(OR(WEEKDAY(A234,2)&gt;=6,C234&lt;&gt;"",COUNTIF('1_祝日'!$D$4:$D$43,A234)&gt;0,AND($B$3=1,OR(AND(MONTH(A234)=12,DAY(A234)&gt;=29),AND(MONTH(A234)=1,DAY(A234)&lt;=3)))),1,0)</f>
        <v/>
      </c>
      <c r="E234" s="7" t="n"/>
      <c r="F234" s="11">
        <f>IF(OR(D234=1,E234=1),1,0)</f>
        <v/>
      </c>
      <c r="G234" s="11">
        <f>IF(F234=1,G233+1,0)</f>
        <v/>
      </c>
      <c r="H234" s="11">
        <f>IF(F234=1,H235+1,0)</f>
        <v/>
      </c>
      <c r="I234" s="11">
        <f>IF(AND(D234=1,E234=1),"もとから休み","")</f>
        <v/>
      </c>
      <c r="J234" s="11">
        <f>IF(F234=1,G234+H234-1,"")</f>
        <v/>
      </c>
      <c r="K234" s="11">
        <f>IF(D234=0,COUNTIF($D$7:D234,0),"")</f>
        <v/>
      </c>
    </row>
    <row r="235">
      <c r="A235" s="10">
        <f>DATE($B$2-1,12,1)+228</f>
        <v/>
      </c>
      <c r="B235" s="11">
        <f>TEXT(A235,"aaa")</f>
        <v/>
      </c>
      <c r="C235" s="12">
        <f>IFERROR(VLOOKUP(A235,'1_祝日'!$A$4:$B$83,2,FALSE),"")</f>
        <v/>
      </c>
      <c r="D235" s="11">
        <f>IF(OR(WEEKDAY(A235,2)&gt;=6,C235&lt;&gt;"",COUNTIF('1_祝日'!$D$4:$D$43,A235)&gt;0,AND($B$3=1,OR(AND(MONTH(A235)=12,DAY(A235)&gt;=29),AND(MONTH(A235)=1,DAY(A235)&lt;=3)))),1,0)</f>
        <v/>
      </c>
      <c r="E235" s="7" t="n"/>
      <c r="F235" s="11">
        <f>IF(OR(D235=1,E235=1),1,0)</f>
        <v/>
      </c>
      <c r="G235" s="11">
        <f>IF(F235=1,G234+1,0)</f>
        <v/>
      </c>
      <c r="H235" s="11">
        <f>IF(F235=1,H236+1,0)</f>
        <v/>
      </c>
      <c r="I235" s="11">
        <f>IF(AND(D235=1,E235=1),"もとから休み","")</f>
        <v/>
      </c>
      <c r="J235" s="11">
        <f>IF(F235=1,G235+H235-1,"")</f>
        <v/>
      </c>
      <c r="K235" s="11">
        <f>IF(D235=0,COUNTIF($D$7:D235,0),"")</f>
        <v/>
      </c>
    </row>
    <row r="236">
      <c r="A236" s="10">
        <f>DATE($B$2-1,12,1)+229</f>
        <v/>
      </c>
      <c r="B236" s="11">
        <f>TEXT(A236,"aaa")</f>
        <v/>
      </c>
      <c r="C236" s="12">
        <f>IFERROR(VLOOKUP(A236,'1_祝日'!$A$4:$B$83,2,FALSE),"")</f>
        <v/>
      </c>
      <c r="D236" s="11">
        <f>IF(OR(WEEKDAY(A236,2)&gt;=6,C236&lt;&gt;"",COUNTIF('1_祝日'!$D$4:$D$43,A236)&gt;0,AND($B$3=1,OR(AND(MONTH(A236)=12,DAY(A236)&gt;=29),AND(MONTH(A236)=1,DAY(A236)&lt;=3)))),1,0)</f>
        <v/>
      </c>
      <c r="E236" s="7" t="n"/>
      <c r="F236" s="11">
        <f>IF(OR(D236=1,E236=1),1,0)</f>
        <v/>
      </c>
      <c r="G236" s="11">
        <f>IF(F236=1,G235+1,0)</f>
        <v/>
      </c>
      <c r="H236" s="11">
        <f>IF(F236=1,H237+1,0)</f>
        <v/>
      </c>
      <c r="I236" s="11">
        <f>IF(AND(D236=1,E236=1),"もとから休み","")</f>
        <v/>
      </c>
      <c r="J236" s="11">
        <f>IF(F236=1,G236+H236-1,"")</f>
        <v/>
      </c>
      <c r="K236" s="11">
        <f>IF(D236=0,COUNTIF($D$7:D236,0),"")</f>
        <v/>
      </c>
    </row>
    <row r="237">
      <c r="A237" s="10">
        <f>DATE($B$2-1,12,1)+230</f>
        <v/>
      </c>
      <c r="B237" s="11">
        <f>TEXT(A237,"aaa")</f>
        <v/>
      </c>
      <c r="C237" s="12">
        <f>IFERROR(VLOOKUP(A237,'1_祝日'!$A$4:$B$83,2,FALSE),"")</f>
        <v/>
      </c>
      <c r="D237" s="11">
        <f>IF(OR(WEEKDAY(A237,2)&gt;=6,C237&lt;&gt;"",COUNTIF('1_祝日'!$D$4:$D$43,A237)&gt;0,AND($B$3=1,OR(AND(MONTH(A237)=12,DAY(A237)&gt;=29),AND(MONTH(A237)=1,DAY(A237)&lt;=3)))),1,0)</f>
        <v/>
      </c>
      <c r="E237" s="7" t="n"/>
      <c r="F237" s="11">
        <f>IF(OR(D237=1,E237=1),1,0)</f>
        <v/>
      </c>
      <c r="G237" s="11">
        <f>IF(F237=1,G236+1,0)</f>
        <v/>
      </c>
      <c r="H237" s="11">
        <f>IF(F237=1,H238+1,0)</f>
        <v/>
      </c>
      <c r="I237" s="11">
        <f>IF(AND(D237=1,E237=1),"もとから休み","")</f>
        <v/>
      </c>
      <c r="J237" s="11">
        <f>IF(F237=1,G237+H237-1,"")</f>
        <v/>
      </c>
      <c r="K237" s="11">
        <f>IF(D237=0,COUNTIF($D$7:D237,0),"")</f>
        <v/>
      </c>
    </row>
    <row r="238">
      <c r="A238" s="10">
        <f>DATE($B$2-1,12,1)+231</f>
        <v/>
      </c>
      <c r="B238" s="11">
        <f>TEXT(A238,"aaa")</f>
        <v/>
      </c>
      <c r="C238" s="12">
        <f>IFERROR(VLOOKUP(A238,'1_祝日'!$A$4:$B$83,2,FALSE),"")</f>
        <v/>
      </c>
      <c r="D238" s="11">
        <f>IF(OR(WEEKDAY(A238,2)&gt;=6,C238&lt;&gt;"",COUNTIF('1_祝日'!$D$4:$D$43,A238)&gt;0,AND($B$3=1,OR(AND(MONTH(A238)=12,DAY(A238)&gt;=29),AND(MONTH(A238)=1,DAY(A238)&lt;=3)))),1,0)</f>
        <v/>
      </c>
      <c r="E238" s="7" t="n"/>
      <c r="F238" s="11">
        <f>IF(OR(D238=1,E238=1),1,0)</f>
        <v/>
      </c>
      <c r="G238" s="11">
        <f>IF(F238=1,G237+1,0)</f>
        <v/>
      </c>
      <c r="H238" s="11">
        <f>IF(F238=1,H239+1,0)</f>
        <v/>
      </c>
      <c r="I238" s="11">
        <f>IF(AND(D238=1,E238=1),"もとから休み","")</f>
        <v/>
      </c>
      <c r="J238" s="11">
        <f>IF(F238=1,G238+H238-1,"")</f>
        <v/>
      </c>
      <c r="K238" s="11">
        <f>IF(D238=0,COUNTIF($D$7:D238,0),"")</f>
        <v/>
      </c>
    </row>
    <row r="239">
      <c r="A239" s="10">
        <f>DATE($B$2-1,12,1)+232</f>
        <v/>
      </c>
      <c r="B239" s="11">
        <f>TEXT(A239,"aaa")</f>
        <v/>
      </c>
      <c r="C239" s="12">
        <f>IFERROR(VLOOKUP(A239,'1_祝日'!$A$4:$B$83,2,FALSE),"")</f>
        <v/>
      </c>
      <c r="D239" s="11">
        <f>IF(OR(WEEKDAY(A239,2)&gt;=6,C239&lt;&gt;"",COUNTIF('1_祝日'!$D$4:$D$43,A239)&gt;0,AND($B$3=1,OR(AND(MONTH(A239)=12,DAY(A239)&gt;=29),AND(MONTH(A239)=1,DAY(A239)&lt;=3)))),1,0)</f>
        <v/>
      </c>
      <c r="E239" s="7" t="n"/>
      <c r="F239" s="11">
        <f>IF(OR(D239=1,E239=1),1,0)</f>
        <v/>
      </c>
      <c r="G239" s="11">
        <f>IF(F239=1,G238+1,0)</f>
        <v/>
      </c>
      <c r="H239" s="11">
        <f>IF(F239=1,H240+1,0)</f>
        <v/>
      </c>
      <c r="I239" s="11">
        <f>IF(AND(D239=1,E239=1),"もとから休み","")</f>
        <v/>
      </c>
      <c r="J239" s="11">
        <f>IF(F239=1,G239+H239-1,"")</f>
        <v/>
      </c>
      <c r="K239" s="11">
        <f>IF(D239=0,COUNTIF($D$7:D239,0),"")</f>
        <v/>
      </c>
    </row>
    <row r="240">
      <c r="A240" s="10">
        <f>DATE($B$2-1,12,1)+233</f>
        <v/>
      </c>
      <c r="B240" s="11">
        <f>TEXT(A240,"aaa")</f>
        <v/>
      </c>
      <c r="C240" s="12">
        <f>IFERROR(VLOOKUP(A240,'1_祝日'!$A$4:$B$83,2,FALSE),"")</f>
        <v/>
      </c>
      <c r="D240" s="11">
        <f>IF(OR(WEEKDAY(A240,2)&gt;=6,C240&lt;&gt;"",COUNTIF('1_祝日'!$D$4:$D$43,A240)&gt;0,AND($B$3=1,OR(AND(MONTH(A240)=12,DAY(A240)&gt;=29),AND(MONTH(A240)=1,DAY(A240)&lt;=3)))),1,0)</f>
        <v/>
      </c>
      <c r="E240" s="7" t="n"/>
      <c r="F240" s="11">
        <f>IF(OR(D240=1,E240=1),1,0)</f>
        <v/>
      </c>
      <c r="G240" s="11">
        <f>IF(F240=1,G239+1,0)</f>
        <v/>
      </c>
      <c r="H240" s="11">
        <f>IF(F240=1,H241+1,0)</f>
        <v/>
      </c>
      <c r="I240" s="11">
        <f>IF(AND(D240=1,E240=1),"もとから休み","")</f>
        <v/>
      </c>
      <c r="J240" s="11">
        <f>IF(F240=1,G240+H240-1,"")</f>
        <v/>
      </c>
      <c r="K240" s="11">
        <f>IF(D240=0,COUNTIF($D$7:D240,0),"")</f>
        <v/>
      </c>
    </row>
    <row r="241">
      <c r="A241" s="10">
        <f>DATE($B$2-1,12,1)+234</f>
        <v/>
      </c>
      <c r="B241" s="11">
        <f>TEXT(A241,"aaa")</f>
        <v/>
      </c>
      <c r="C241" s="12">
        <f>IFERROR(VLOOKUP(A241,'1_祝日'!$A$4:$B$83,2,FALSE),"")</f>
        <v/>
      </c>
      <c r="D241" s="11">
        <f>IF(OR(WEEKDAY(A241,2)&gt;=6,C241&lt;&gt;"",COUNTIF('1_祝日'!$D$4:$D$43,A241)&gt;0,AND($B$3=1,OR(AND(MONTH(A241)=12,DAY(A241)&gt;=29),AND(MONTH(A241)=1,DAY(A241)&lt;=3)))),1,0)</f>
        <v/>
      </c>
      <c r="E241" s="7" t="n"/>
      <c r="F241" s="11">
        <f>IF(OR(D241=1,E241=1),1,0)</f>
        <v/>
      </c>
      <c r="G241" s="11">
        <f>IF(F241=1,G240+1,0)</f>
        <v/>
      </c>
      <c r="H241" s="11">
        <f>IF(F241=1,H242+1,0)</f>
        <v/>
      </c>
      <c r="I241" s="11">
        <f>IF(AND(D241=1,E241=1),"もとから休み","")</f>
        <v/>
      </c>
      <c r="J241" s="11">
        <f>IF(F241=1,G241+H241-1,"")</f>
        <v/>
      </c>
      <c r="K241" s="11">
        <f>IF(D241=0,COUNTIF($D$7:D241,0),"")</f>
        <v/>
      </c>
    </row>
    <row r="242">
      <c r="A242" s="10">
        <f>DATE($B$2-1,12,1)+235</f>
        <v/>
      </c>
      <c r="B242" s="11">
        <f>TEXT(A242,"aaa")</f>
        <v/>
      </c>
      <c r="C242" s="12">
        <f>IFERROR(VLOOKUP(A242,'1_祝日'!$A$4:$B$83,2,FALSE),"")</f>
        <v/>
      </c>
      <c r="D242" s="11">
        <f>IF(OR(WEEKDAY(A242,2)&gt;=6,C242&lt;&gt;"",COUNTIF('1_祝日'!$D$4:$D$43,A242)&gt;0,AND($B$3=1,OR(AND(MONTH(A242)=12,DAY(A242)&gt;=29),AND(MONTH(A242)=1,DAY(A242)&lt;=3)))),1,0)</f>
        <v/>
      </c>
      <c r="E242" s="7" t="n"/>
      <c r="F242" s="11">
        <f>IF(OR(D242=1,E242=1),1,0)</f>
        <v/>
      </c>
      <c r="G242" s="11">
        <f>IF(F242=1,G241+1,0)</f>
        <v/>
      </c>
      <c r="H242" s="11">
        <f>IF(F242=1,H243+1,0)</f>
        <v/>
      </c>
      <c r="I242" s="11">
        <f>IF(AND(D242=1,E242=1),"もとから休み","")</f>
        <v/>
      </c>
      <c r="J242" s="11">
        <f>IF(F242=1,G242+H242-1,"")</f>
        <v/>
      </c>
      <c r="K242" s="11">
        <f>IF(D242=0,COUNTIF($D$7:D242,0),"")</f>
        <v/>
      </c>
    </row>
    <row r="243">
      <c r="A243" s="10">
        <f>DATE($B$2-1,12,1)+236</f>
        <v/>
      </c>
      <c r="B243" s="11">
        <f>TEXT(A243,"aaa")</f>
        <v/>
      </c>
      <c r="C243" s="12">
        <f>IFERROR(VLOOKUP(A243,'1_祝日'!$A$4:$B$83,2,FALSE),"")</f>
        <v/>
      </c>
      <c r="D243" s="11">
        <f>IF(OR(WEEKDAY(A243,2)&gt;=6,C243&lt;&gt;"",COUNTIF('1_祝日'!$D$4:$D$43,A243)&gt;0,AND($B$3=1,OR(AND(MONTH(A243)=12,DAY(A243)&gt;=29),AND(MONTH(A243)=1,DAY(A243)&lt;=3)))),1,0)</f>
        <v/>
      </c>
      <c r="E243" s="7" t="n"/>
      <c r="F243" s="11">
        <f>IF(OR(D243=1,E243=1),1,0)</f>
        <v/>
      </c>
      <c r="G243" s="11">
        <f>IF(F243=1,G242+1,0)</f>
        <v/>
      </c>
      <c r="H243" s="11">
        <f>IF(F243=1,H244+1,0)</f>
        <v/>
      </c>
      <c r="I243" s="11">
        <f>IF(AND(D243=1,E243=1),"もとから休み","")</f>
        <v/>
      </c>
      <c r="J243" s="11">
        <f>IF(F243=1,G243+H243-1,"")</f>
        <v/>
      </c>
      <c r="K243" s="11">
        <f>IF(D243=0,COUNTIF($D$7:D243,0),"")</f>
        <v/>
      </c>
    </row>
    <row r="244">
      <c r="A244" s="10">
        <f>DATE($B$2-1,12,1)+237</f>
        <v/>
      </c>
      <c r="B244" s="11">
        <f>TEXT(A244,"aaa")</f>
        <v/>
      </c>
      <c r="C244" s="12">
        <f>IFERROR(VLOOKUP(A244,'1_祝日'!$A$4:$B$83,2,FALSE),"")</f>
        <v/>
      </c>
      <c r="D244" s="11">
        <f>IF(OR(WEEKDAY(A244,2)&gt;=6,C244&lt;&gt;"",COUNTIF('1_祝日'!$D$4:$D$43,A244)&gt;0,AND($B$3=1,OR(AND(MONTH(A244)=12,DAY(A244)&gt;=29),AND(MONTH(A244)=1,DAY(A244)&lt;=3)))),1,0)</f>
        <v/>
      </c>
      <c r="E244" s="7" t="n"/>
      <c r="F244" s="11">
        <f>IF(OR(D244=1,E244=1),1,0)</f>
        <v/>
      </c>
      <c r="G244" s="11">
        <f>IF(F244=1,G243+1,0)</f>
        <v/>
      </c>
      <c r="H244" s="11">
        <f>IF(F244=1,H245+1,0)</f>
        <v/>
      </c>
      <c r="I244" s="11">
        <f>IF(AND(D244=1,E244=1),"もとから休み","")</f>
        <v/>
      </c>
      <c r="J244" s="11">
        <f>IF(F244=1,G244+H244-1,"")</f>
        <v/>
      </c>
      <c r="K244" s="11">
        <f>IF(D244=0,COUNTIF($D$7:D244,0),"")</f>
        <v/>
      </c>
    </row>
    <row r="245">
      <c r="A245" s="10">
        <f>DATE($B$2-1,12,1)+238</f>
        <v/>
      </c>
      <c r="B245" s="11">
        <f>TEXT(A245,"aaa")</f>
        <v/>
      </c>
      <c r="C245" s="12">
        <f>IFERROR(VLOOKUP(A245,'1_祝日'!$A$4:$B$83,2,FALSE),"")</f>
        <v/>
      </c>
      <c r="D245" s="11">
        <f>IF(OR(WEEKDAY(A245,2)&gt;=6,C245&lt;&gt;"",COUNTIF('1_祝日'!$D$4:$D$43,A245)&gt;0,AND($B$3=1,OR(AND(MONTH(A245)=12,DAY(A245)&gt;=29),AND(MONTH(A245)=1,DAY(A245)&lt;=3)))),1,0)</f>
        <v/>
      </c>
      <c r="E245" s="7" t="n"/>
      <c r="F245" s="11">
        <f>IF(OR(D245=1,E245=1),1,0)</f>
        <v/>
      </c>
      <c r="G245" s="11">
        <f>IF(F245=1,G244+1,0)</f>
        <v/>
      </c>
      <c r="H245" s="11">
        <f>IF(F245=1,H246+1,0)</f>
        <v/>
      </c>
      <c r="I245" s="11">
        <f>IF(AND(D245=1,E245=1),"もとから休み","")</f>
        <v/>
      </c>
      <c r="J245" s="11">
        <f>IF(F245=1,G245+H245-1,"")</f>
        <v/>
      </c>
      <c r="K245" s="11">
        <f>IF(D245=0,COUNTIF($D$7:D245,0),"")</f>
        <v/>
      </c>
    </row>
    <row r="246">
      <c r="A246" s="10">
        <f>DATE($B$2-1,12,1)+239</f>
        <v/>
      </c>
      <c r="B246" s="11">
        <f>TEXT(A246,"aaa")</f>
        <v/>
      </c>
      <c r="C246" s="12">
        <f>IFERROR(VLOOKUP(A246,'1_祝日'!$A$4:$B$83,2,FALSE),"")</f>
        <v/>
      </c>
      <c r="D246" s="11">
        <f>IF(OR(WEEKDAY(A246,2)&gt;=6,C246&lt;&gt;"",COUNTIF('1_祝日'!$D$4:$D$43,A246)&gt;0,AND($B$3=1,OR(AND(MONTH(A246)=12,DAY(A246)&gt;=29),AND(MONTH(A246)=1,DAY(A246)&lt;=3)))),1,0)</f>
        <v/>
      </c>
      <c r="E246" s="7" t="n"/>
      <c r="F246" s="11">
        <f>IF(OR(D246=1,E246=1),1,0)</f>
        <v/>
      </c>
      <c r="G246" s="11">
        <f>IF(F246=1,G245+1,0)</f>
        <v/>
      </c>
      <c r="H246" s="11">
        <f>IF(F246=1,H247+1,0)</f>
        <v/>
      </c>
      <c r="I246" s="11">
        <f>IF(AND(D246=1,E246=1),"もとから休み","")</f>
        <v/>
      </c>
      <c r="J246" s="11">
        <f>IF(F246=1,G246+H246-1,"")</f>
        <v/>
      </c>
      <c r="K246" s="11">
        <f>IF(D246=0,COUNTIF($D$7:D246,0),"")</f>
        <v/>
      </c>
    </row>
    <row r="247">
      <c r="A247" s="10">
        <f>DATE($B$2-1,12,1)+240</f>
        <v/>
      </c>
      <c r="B247" s="11">
        <f>TEXT(A247,"aaa")</f>
        <v/>
      </c>
      <c r="C247" s="12">
        <f>IFERROR(VLOOKUP(A247,'1_祝日'!$A$4:$B$83,2,FALSE),"")</f>
        <v/>
      </c>
      <c r="D247" s="11">
        <f>IF(OR(WEEKDAY(A247,2)&gt;=6,C247&lt;&gt;"",COUNTIF('1_祝日'!$D$4:$D$43,A247)&gt;0,AND($B$3=1,OR(AND(MONTH(A247)=12,DAY(A247)&gt;=29),AND(MONTH(A247)=1,DAY(A247)&lt;=3)))),1,0)</f>
        <v/>
      </c>
      <c r="E247" s="7" t="n"/>
      <c r="F247" s="11">
        <f>IF(OR(D247=1,E247=1),1,0)</f>
        <v/>
      </c>
      <c r="G247" s="11">
        <f>IF(F247=1,G246+1,0)</f>
        <v/>
      </c>
      <c r="H247" s="11">
        <f>IF(F247=1,H248+1,0)</f>
        <v/>
      </c>
      <c r="I247" s="11">
        <f>IF(AND(D247=1,E247=1),"もとから休み","")</f>
        <v/>
      </c>
      <c r="J247" s="11">
        <f>IF(F247=1,G247+H247-1,"")</f>
        <v/>
      </c>
      <c r="K247" s="11">
        <f>IF(D247=0,COUNTIF($D$7:D247,0),"")</f>
        <v/>
      </c>
    </row>
    <row r="248">
      <c r="A248" s="10">
        <f>DATE($B$2-1,12,1)+241</f>
        <v/>
      </c>
      <c r="B248" s="11">
        <f>TEXT(A248,"aaa")</f>
        <v/>
      </c>
      <c r="C248" s="12">
        <f>IFERROR(VLOOKUP(A248,'1_祝日'!$A$4:$B$83,2,FALSE),"")</f>
        <v/>
      </c>
      <c r="D248" s="11">
        <f>IF(OR(WEEKDAY(A248,2)&gt;=6,C248&lt;&gt;"",COUNTIF('1_祝日'!$D$4:$D$43,A248)&gt;0,AND($B$3=1,OR(AND(MONTH(A248)=12,DAY(A248)&gt;=29),AND(MONTH(A248)=1,DAY(A248)&lt;=3)))),1,0)</f>
        <v/>
      </c>
      <c r="E248" s="7" t="n"/>
      <c r="F248" s="11">
        <f>IF(OR(D248=1,E248=1),1,0)</f>
        <v/>
      </c>
      <c r="G248" s="11">
        <f>IF(F248=1,G247+1,0)</f>
        <v/>
      </c>
      <c r="H248" s="11">
        <f>IF(F248=1,H249+1,0)</f>
        <v/>
      </c>
      <c r="I248" s="11">
        <f>IF(AND(D248=1,E248=1),"もとから休み","")</f>
        <v/>
      </c>
      <c r="J248" s="11">
        <f>IF(F248=1,G248+H248-1,"")</f>
        <v/>
      </c>
      <c r="K248" s="11">
        <f>IF(D248=0,COUNTIF($D$7:D248,0),"")</f>
        <v/>
      </c>
    </row>
    <row r="249">
      <c r="A249" s="10">
        <f>DATE($B$2-1,12,1)+242</f>
        <v/>
      </c>
      <c r="B249" s="11">
        <f>TEXT(A249,"aaa")</f>
        <v/>
      </c>
      <c r="C249" s="12">
        <f>IFERROR(VLOOKUP(A249,'1_祝日'!$A$4:$B$83,2,FALSE),"")</f>
        <v/>
      </c>
      <c r="D249" s="11">
        <f>IF(OR(WEEKDAY(A249,2)&gt;=6,C249&lt;&gt;"",COUNTIF('1_祝日'!$D$4:$D$43,A249)&gt;0,AND($B$3=1,OR(AND(MONTH(A249)=12,DAY(A249)&gt;=29),AND(MONTH(A249)=1,DAY(A249)&lt;=3)))),1,0)</f>
        <v/>
      </c>
      <c r="E249" s="7" t="n"/>
      <c r="F249" s="11">
        <f>IF(OR(D249=1,E249=1),1,0)</f>
        <v/>
      </c>
      <c r="G249" s="11">
        <f>IF(F249=1,G248+1,0)</f>
        <v/>
      </c>
      <c r="H249" s="11">
        <f>IF(F249=1,H250+1,0)</f>
        <v/>
      </c>
      <c r="I249" s="11">
        <f>IF(AND(D249=1,E249=1),"もとから休み","")</f>
        <v/>
      </c>
      <c r="J249" s="11">
        <f>IF(F249=1,G249+H249-1,"")</f>
        <v/>
      </c>
      <c r="K249" s="11">
        <f>IF(D249=0,COUNTIF($D$7:D249,0),"")</f>
        <v/>
      </c>
    </row>
    <row r="250">
      <c r="A250" s="10">
        <f>DATE($B$2-1,12,1)+243</f>
        <v/>
      </c>
      <c r="B250" s="11">
        <f>TEXT(A250,"aaa")</f>
        <v/>
      </c>
      <c r="C250" s="12">
        <f>IFERROR(VLOOKUP(A250,'1_祝日'!$A$4:$B$83,2,FALSE),"")</f>
        <v/>
      </c>
      <c r="D250" s="11">
        <f>IF(OR(WEEKDAY(A250,2)&gt;=6,C250&lt;&gt;"",COUNTIF('1_祝日'!$D$4:$D$43,A250)&gt;0,AND($B$3=1,OR(AND(MONTH(A250)=12,DAY(A250)&gt;=29),AND(MONTH(A250)=1,DAY(A250)&lt;=3)))),1,0)</f>
        <v/>
      </c>
      <c r="E250" s="7" t="n"/>
      <c r="F250" s="11">
        <f>IF(OR(D250=1,E250=1),1,0)</f>
        <v/>
      </c>
      <c r="G250" s="11">
        <f>IF(F250=1,G249+1,0)</f>
        <v/>
      </c>
      <c r="H250" s="11">
        <f>IF(F250=1,H251+1,0)</f>
        <v/>
      </c>
      <c r="I250" s="11">
        <f>IF(AND(D250=1,E250=1),"もとから休み","")</f>
        <v/>
      </c>
      <c r="J250" s="11">
        <f>IF(F250=1,G250+H250-1,"")</f>
        <v/>
      </c>
      <c r="K250" s="11">
        <f>IF(D250=0,COUNTIF($D$7:D250,0),"")</f>
        <v/>
      </c>
    </row>
    <row r="251">
      <c r="A251" s="10">
        <f>DATE($B$2-1,12,1)+244</f>
        <v/>
      </c>
      <c r="B251" s="11">
        <f>TEXT(A251,"aaa")</f>
        <v/>
      </c>
      <c r="C251" s="12">
        <f>IFERROR(VLOOKUP(A251,'1_祝日'!$A$4:$B$83,2,FALSE),"")</f>
        <v/>
      </c>
      <c r="D251" s="11">
        <f>IF(OR(WEEKDAY(A251,2)&gt;=6,C251&lt;&gt;"",COUNTIF('1_祝日'!$D$4:$D$43,A251)&gt;0,AND($B$3=1,OR(AND(MONTH(A251)=12,DAY(A251)&gt;=29),AND(MONTH(A251)=1,DAY(A251)&lt;=3)))),1,0)</f>
        <v/>
      </c>
      <c r="E251" s="7" t="n"/>
      <c r="F251" s="11">
        <f>IF(OR(D251=1,E251=1),1,0)</f>
        <v/>
      </c>
      <c r="G251" s="11">
        <f>IF(F251=1,G250+1,0)</f>
        <v/>
      </c>
      <c r="H251" s="11">
        <f>IF(F251=1,H252+1,0)</f>
        <v/>
      </c>
      <c r="I251" s="11">
        <f>IF(AND(D251=1,E251=1),"もとから休み","")</f>
        <v/>
      </c>
      <c r="J251" s="11">
        <f>IF(F251=1,G251+H251-1,"")</f>
        <v/>
      </c>
      <c r="K251" s="11">
        <f>IF(D251=0,COUNTIF($D$7:D251,0),"")</f>
        <v/>
      </c>
    </row>
    <row r="252">
      <c r="A252" s="10">
        <f>DATE($B$2-1,12,1)+245</f>
        <v/>
      </c>
      <c r="B252" s="11">
        <f>TEXT(A252,"aaa")</f>
        <v/>
      </c>
      <c r="C252" s="12">
        <f>IFERROR(VLOOKUP(A252,'1_祝日'!$A$4:$B$83,2,FALSE),"")</f>
        <v/>
      </c>
      <c r="D252" s="11">
        <f>IF(OR(WEEKDAY(A252,2)&gt;=6,C252&lt;&gt;"",COUNTIF('1_祝日'!$D$4:$D$43,A252)&gt;0,AND($B$3=1,OR(AND(MONTH(A252)=12,DAY(A252)&gt;=29),AND(MONTH(A252)=1,DAY(A252)&lt;=3)))),1,0)</f>
        <v/>
      </c>
      <c r="E252" s="7" t="n"/>
      <c r="F252" s="11">
        <f>IF(OR(D252=1,E252=1),1,0)</f>
        <v/>
      </c>
      <c r="G252" s="11">
        <f>IF(F252=1,G251+1,0)</f>
        <v/>
      </c>
      <c r="H252" s="11">
        <f>IF(F252=1,H253+1,0)</f>
        <v/>
      </c>
      <c r="I252" s="11">
        <f>IF(AND(D252=1,E252=1),"もとから休み","")</f>
        <v/>
      </c>
      <c r="J252" s="11">
        <f>IF(F252=1,G252+H252-1,"")</f>
        <v/>
      </c>
      <c r="K252" s="11">
        <f>IF(D252=0,COUNTIF($D$7:D252,0),"")</f>
        <v/>
      </c>
    </row>
    <row r="253">
      <c r="A253" s="10">
        <f>DATE($B$2-1,12,1)+246</f>
        <v/>
      </c>
      <c r="B253" s="11">
        <f>TEXT(A253,"aaa")</f>
        <v/>
      </c>
      <c r="C253" s="12">
        <f>IFERROR(VLOOKUP(A253,'1_祝日'!$A$4:$B$83,2,FALSE),"")</f>
        <v/>
      </c>
      <c r="D253" s="11">
        <f>IF(OR(WEEKDAY(A253,2)&gt;=6,C253&lt;&gt;"",COUNTIF('1_祝日'!$D$4:$D$43,A253)&gt;0,AND($B$3=1,OR(AND(MONTH(A253)=12,DAY(A253)&gt;=29),AND(MONTH(A253)=1,DAY(A253)&lt;=3)))),1,0)</f>
        <v/>
      </c>
      <c r="E253" s="7" t="n"/>
      <c r="F253" s="11">
        <f>IF(OR(D253=1,E253=1),1,0)</f>
        <v/>
      </c>
      <c r="G253" s="11">
        <f>IF(F253=1,G252+1,0)</f>
        <v/>
      </c>
      <c r="H253" s="11">
        <f>IF(F253=1,H254+1,0)</f>
        <v/>
      </c>
      <c r="I253" s="11">
        <f>IF(AND(D253=1,E253=1),"もとから休み","")</f>
        <v/>
      </c>
      <c r="J253" s="11">
        <f>IF(F253=1,G253+H253-1,"")</f>
        <v/>
      </c>
      <c r="K253" s="11">
        <f>IF(D253=0,COUNTIF($D$7:D253,0),"")</f>
        <v/>
      </c>
    </row>
    <row r="254">
      <c r="A254" s="10">
        <f>DATE($B$2-1,12,1)+247</f>
        <v/>
      </c>
      <c r="B254" s="11">
        <f>TEXT(A254,"aaa")</f>
        <v/>
      </c>
      <c r="C254" s="12">
        <f>IFERROR(VLOOKUP(A254,'1_祝日'!$A$4:$B$83,2,FALSE),"")</f>
        <v/>
      </c>
      <c r="D254" s="11">
        <f>IF(OR(WEEKDAY(A254,2)&gt;=6,C254&lt;&gt;"",COUNTIF('1_祝日'!$D$4:$D$43,A254)&gt;0,AND($B$3=1,OR(AND(MONTH(A254)=12,DAY(A254)&gt;=29),AND(MONTH(A254)=1,DAY(A254)&lt;=3)))),1,0)</f>
        <v/>
      </c>
      <c r="E254" s="7" t="n"/>
      <c r="F254" s="11">
        <f>IF(OR(D254=1,E254=1),1,0)</f>
        <v/>
      </c>
      <c r="G254" s="11">
        <f>IF(F254=1,G253+1,0)</f>
        <v/>
      </c>
      <c r="H254" s="11">
        <f>IF(F254=1,H255+1,0)</f>
        <v/>
      </c>
      <c r="I254" s="11">
        <f>IF(AND(D254=1,E254=1),"もとから休み","")</f>
        <v/>
      </c>
      <c r="J254" s="11">
        <f>IF(F254=1,G254+H254-1,"")</f>
        <v/>
      </c>
      <c r="K254" s="11">
        <f>IF(D254=0,COUNTIF($D$7:D254,0),"")</f>
        <v/>
      </c>
    </row>
    <row r="255">
      <c r="A255" s="10">
        <f>DATE($B$2-1,12,1)+248</f>
        <v/>
      </c>
      <c r="B255" s="11">
        <f>TEXT(A255,"aaa")</f>
        <v/>
      </c>
      <c r="C255" s="12">
        <f>IFERROR(VLOOKUP(A255,'1_祝日'!$A$4:$B$83,2,FALSE),"")</f>
        <v/>
      </c>
      <c r="D255" s="11">
        <f>IF(OR(WEEKDAY(A255,2)&gt;=6,C255&lt;&gt;"",COUNTIF('1_祝日'!$D$4:$D$43,A255)&gt;0,AND($B$3=1,OR(AND(MONTH(A255)=12,DAY(A255)&gt;=29),AND(MONTH(A255)=1,DAY(A255)&lt;=3)))),1,0)</f>
        <v/>
      </c>
      <c r="E255" s="7" t="n"/>
      <c r="F255" s="11">
        <f>IF(OR(D255=1,E255=1),1,0)</f>
        <v/>
      </c>
      <c r="G255" s="11">
        <f>IF(F255=1,G254+1,0)</f>
        <v/>
      </c>
      <c r="H255" s="11">
        <f>IF(F255=1,H256+1,0)</f>
        <v/>
      </c>
      <c r="I255" s="11">
        <f>IF(AND(D255=1,E255=1),"もとから休み","")</f>
        <v/>
      </c>
      <c r="J255" s="11">
        <f>IF(F255=1,G255+H255-1,"")</f>
        <v/>
      </c>
      <c r="K255" s="11">
        <f>IF(D255=0,COUNTIF($D$7:D255,0),"")</f>
        <v/>
      </c>
    </row>
    <row r="256">
      <c r="A256" s="10">
        <f>DATE($B$2-1,12,1)+249</f>
        <v/>
      </c>
      <c r="B256" s="11">
        <f>TEXT(A256,"aaa")</f>
        <v/>
      </c>
      <c r="C256" s="12">
        <f>IFERROR(VLOOKUP(A256,'1_祝日'!$A$4:$B$83,2,FALSE),"")</f>
        <v/>
      </c>
      <c r="D256" s="11">
        <f>IF(OR(WEEKDAY(A256,2)&gt;=6,C256&lt;&gt;"",COUNTIF('1_祝日'!$D$4:$D$43,A256)&gt;0,AND($B$3=1,OR(AND(MONTH(A256)=12,DAY(A256)&gt;=29),AND(MONTH(A256)=1,DAY(A256)&lt;=3)))),1,0)</f>
        <v/>
      </c>
      <c r="E256" s="7" t="n"/>
      <c r="F256" s="11">
        <f>IF(OR(D256=1,E256=1),1,0)</f>
        <v/>
      </c>
      <c r="G256" s="11">
        <f>IF(F256=1,G255+1,0)</f>
        <v/>
      </c>
      <c r="H256" s="11">
        <f>IF(F256=1,H257+1,0)</f>
        <v/>
      </c>
      <c r="I256" s="11">
        <f>IF(AND(D256=1,E256=1),"もとから休み","")</f>
        <v/>
      </c>
      <c r="J256" s="11">
        <f>IF(F256=1,G256+H256-1,"")</f>
        <v/>
      </c>
      <c r="K256" s="11">
        <f>IF(D256=0,COUNTIF($D$7:D256,0),"")</f>
        <v/>
      </c>
    </row>
    <row r="257">
      <c r="A257" s="10">
        <f>DATE($B$2-1,12,1)+250</f>
        <v/>
      </c>
      <c r="B257" s="11">
        <f>TEXT(A257,"aaa")</f>
        <v/>
      </c>
      <c r="C257" s="12">
        <f>IFERROR(VLOOKUP(A257,'1_祝日'!$A$4:$B$83,2,FALSE),"")</f>
        <v/>
      </c>
      <c r="D257" s="11">
        <f>IF(OR(WEEKDAY(A257,2)&gt;=6,C257&lt;&gt;"",COUNTIF('1_祝日'!$D$4:$D$43,A257)&gt;0,AND($B$3=1,OR(AND(MONTH(A257)=12,DAY(A257)&gt;=29),AND(MONTH(A257)=1,DAY(A257)&lt;=3)))),1,0)</f>
        <v/>
      </c>
      <c r="E257" s="7" t="n"/>
      <c r="F257" s="11">
        <f>IF(OR(D257=1,E257=1),1,0)</f>
        <v/>
      </c>
      <c r="G257" s="11">
        <f>IF(F257=1,G256+1,0)</f>
        <v/>
      </c>
      <c r="H257" s="11">
        <f>IF(F257=1,H258+1,0)</f>
        <v/>
      </c>
      <c r="I257" s="11">
        <f>IF(AND(D257=1,E257=1),"もとから休み","")</f>
        <v/>
      </c>
      <c r="J257" s="11">
        <f>IF(F257=1,G257+H257-1,"")</f>
        <v/>
      </c>
      <c r="K257" s="11">
        <f>IF(D257=0,COUNTIF($D$7:D257,0),"")</f>
        <v/>
      </c>
    </row>
    <row r="258">
      <c r="A258" s="10">
        <f>DATE($B$2-1,12,1)+251</f>
        <v/>
      </c>
      <c r="B258" s="11">
        <f>TEXT(A258,"aaa")</f>
        <v/>
      </c>
      <c r="C258" s="12">
        <f>IFERROR(VLOOKUP(A258,'1_祝日'!$A$4:$B$83,2,FALSE),"")</f>
        <v/>
      </c>
      <c r="D258" s="11">
        <f>IF(OR(WEEKDAY(A258,2)&gt;=6,C258&lt;&gt;"",COUNTIF('1_祝日'!$D$4:$D$43,A258)&gt;0,AND($B$3=1,OR(AND(MONTH(A258)=12,DAY(A258)&gt;=29),AND(MONTH(A258)=1,DAY(A258)&lt;=3)))),1,0)</f>
        <v/>
      </c>
      <c r="E258" s="7" t="n"/>
      <c r="F258" s="11">
        <f>IF(OR(D258=1,E258=1),1,0)</f>
        <v/>
      </c>
      <c r="G258" s="11">
        <f>IF(F258=1,G257+1,0)</f>
        <v/>
      </c>
      <c r="H258" s="11">
        <f>IF(F258=1,H259+1,0)</f>
        <v/>
      </c>
      <c r="I258" s="11">
        <f>IF(AND(D258=1,E258=1),"もとから休み","")</f>
        <v/>
      </c>
      <c r="J258" s="11">
        <f>IF(F258=1,G258+H258-1,"")</f>
        <v/>
      </c>
      <c r="K258" s="11">
        <f>IF(D258=0,COUNTIF($D$7:D258,0),"")</f>
        <v/>
      </c>
    </row>
    <row r="259">
      <c r="A259" s="10">
        <f>DATE($B$2-1,12,1)+252</f>
        <v/>
      </c>
      <c r="B259" s="11">
        <f>TEXT(A259,"aaa")</f>
        <v/>
      </c>
      <c r="C259" s="12">
        <f>IFERROR(VLOOKUP(A259,'1_祝日'!$A$4:$B$83,2,FALSE),"")</f>
        <v/>
      </c>
      <c r="D259" s="11">
        <f>IF(OR(WEEKDAY(A259,2)&gt;=6,C259&lt;&gt;"",COUNTIF('1_祝日'!$D$4:$D$43,A259)&gt;0,AND($B$3=1,OR(AND(MONTH(A259)=12,DAY(A259)&gt;=29),AND(MONTH(A259)=1,DAY(A259)&lt;=3)))),1,0)</f>
        <v/>
      </c>
      <c r="E259" s="7" t="n"/>
      <c r="F259" s="11">
        <f>IF(OR(D259=1,E259=1),1,0)</f>
        <v/>
      </c>
      <c r="G259" s="11">
        <f>IF(F259=1,G258+1,0)</f>
        <v/>
      </c>
      <c r="H259" s="11">
        <f>IF(F259=1,H260+1,0)</f>
        <v/>
      </c>
      <c r="I259" s="11">
        <f>IF(AND(D259=1,E259=1),"もとから休み","")</f>
        <v/>
      </c>
      <c r="J259" s="11">
        <f>IF(F259=1,G259+H259-1,"")</f>
        <v/>
      </c>
      <c r="K259" s="11">
        <f>IF(D259=0,COUNTIF($D$7:D259,0),"")</f>
        <v/>
      </c>
    </row>
    <row r="260">
      <c r="A260" s="10">
        <f>DATE($B$2-1,12,1)+253</f>
        <v/>
      </c>
      <c r="B260" s="11">
        <f>TEXT(A260,"aaa")</f>
        <v/>
      </c>
      <c r="C260" s="12">
        <f>IFERROR(VLOOKUP(A260,'1_祝日'!$A$4:$B$83,2,FALSE),"")</f>
        <v/>
      </c>
      <c r="D260" s="11">
        <f>IF(OR(WEEKDAY(A260,2)&gt;=6,C260&lt;&gt;"",COUNTIF('1_祝日'!$D$4:$D$43,A260)&gt;0,AND($B$3=1,OR(AND(MONTH(A260)=12,DAY(A260)&gt;=29),AND(MONTH(A260)=1,DAY(A260)&lt;=3)))),1,0)</f>
        <v/>
      </c>
      <c r="E260" s="7" t="n"/>
      <c r="F260" s="11">
        <f>IF(OR(D260=1,E260=1),1,0)</f>
        <v/>
      </c>
      <c r="G260" s="11">
        <f>IF(F260=1,G259+1,0)</f>
        <v/>
      </c>
      <c r="H260" s="11">
        <f>IF(F260=1,H261+1,0)</f>
        <v/>
      </c>
      <c r="I260" s="11">
        <f>IF(AND(D260=1,E260=1),"もとから休み","")</f>
        <v/>
      </c>
      <c r="J260" s="11">
        <f>IF(F260=1,G260+H260-1,"")</f>
        <v/>
      </c>
      <c r="K260" s="11">
        <f>IF(D260=0,COUNTIF($D$7:D260,0),"")</f>
        <v/>
      </c>
    </row>
    <row r="261">
      <c r="A261" s="10">
        <f>DATE($B$2-1,12,1)+254</f>
        <v/>
      </c>
      <c r="B261" s="11">
        <f>TEXT(A261,"aaa")</f>
        <v/>
      </c>
      <c r="C261" s="12">
        <f>IFERROR(VLOOKUP(A261,'1_祝日'!$A$4:$B$83,2,FALSE),"")</f>
        <v/>
      </c>
      <c r="D261" s="11">
        <f>IF(OR(WEEKDAY(A261,2)&gt;=6,C261&lt;&gt;"",COUNTIF('1_祝日'!$D$4:$D$43,A261)&gt;0,AND($B$3=1,OR(AND(MONTH(A261)=12,DAY(A261)&gt;=29),AND(MONTH(A261)=1,DAY(A261)&lt;=3)))),1,0)</f>
        <v/>
      </c>
      <c r="E261" s="7" t="n"/>
      <c r="F261" s="11">
        <f>IF(OR(D261=1,E261=1),1,0)</f>
        <v/>
      </c>
      <c r="G261" s="11">
        <f>IF(F261=1,G260+1,0)</f>
        <v/>
      </c>
      <c r="H261" s="11">
        <f>IF(F261=1,H262+1,0)</f>
        <v/>
      </c>
      <c r="I261" s="11">
        <f>IF(AND(D261=1,E261=1),"もとから休み","")</f>
        <v/>
      </c>
      <c r="J261" s="11">
        <f>IF(F261=1,G261+H261-1,"")</f>
        <v/>
      </c>
      <c r="K261" s="11">
        <f>IF(D261=0,COUNTIF($D$7:D261,0),"")</f>
        <v/>
      </c>
    </row>
    <row r="262">
      <c r="A262" s="10">
        <f>DATE($B$2-1,12,1)+255</f>
        <v/>
      </c>
      <c r="B262" s="11">
        <f>TEXT(A262,"aaa")</f>
        <v/>
      </c>
      <c r="C262" s="12">
        <f>IFERROR(VLOOKUP(A262,'1_祝日'!$A$4:$B$83,2,FALSE),"")</f>
        <v/>
      </c>
      <c r="D262" s="11">
        <f>IF(OR(WEEKDAY(A262,2)&gt;=6,C262&lt;&gt;"",COUNTIF('1_祝日'!$D$4:$D$43,A262)&gt;0,AND($B$3=1,OR(AND(MONTH(A262)=12,DAY(A262)&gt;=29),AND(MONTH(A262)=1,DAY(A262)&lt;=3)))),1,0)</f>
        <v/>
      </c>
      <c r="E262" s="7" t="n"/>
      <c r="F262" s="11">
        <f>IF(OR(D262=1,E262=1),1,0)</f>
        <v/>
      </c>
      <c r="G262" s="11">
        <f>IF(F262=1,G261+1,0)</f>
        <v/>
      </c>
      <c r="H262" s="11">
        <f>IF(F262=1,H263+1,0)</f>
        <v/>
      </c>
      <c r="I262" s="11">
        <f>IF(AND(D262=1,E262=1),"もとから休み","")</f>
        <v/>
      </c>
      <c r="J262" s="11">
        <f>IF(F262=1,G262+H262-1,"")</f>
        <v/>
      </c>
      <c r="K262" s="11">
        <f>IF(D262=0,COUNTIF($D$7:D262,0),"")</f>
        <v/>
      </c>
    </row>
    <row r="263">
      <c r="A263" s="10">
        <f>DATE($B$2-1,12,1)+256</f>
        <v/>
      </c>
      <c r="B263" s="11">
        <f>TEXT(A263,"aaa")</f>
        <v/>
      </c>
      <c r="C263" s="12">
        <f>IFERROR(VLOOKUP(A263,'1_祝日'!$A$4:$B$83,2,FALSE),"")</f>
        <v/>
      </c>
      <c r="D263" s="11">
        <f>IF(OR(WEEKDAY(A263,2)&gt;=6,C263&lt;&gt;"",COUNTIF('1_祝日'!$D$4:$D$43,A263)&gt;0,AND($B$3=1,OR(AND(MONTH(A263)=12,DAY(A263)&gt;=29),AND(MONTH(A263)=1,DAY(A263)&lt;=3)))),1,0)</f>
        <v/>
      </c>
      <c r="E263" s="7" t="n"/>
      <c r="F263" s="11">
        <f>IF(OR(D263=1,E263=1),1,0)</f>
        <v/>
      </c>
      <c r="G263" s="11">
        <f>IF(F263=1,G262+1,0)</f>
        <v/>
      </c>
      <c r="H263" s="11">
        <f>IF(F263=1,H264+1,0)</f>
        <v/>
      </c>
      <c r="I263" s="11">
        <f>IF(AND(D263=1,E263=1),"もとから休み","")</f>
        <v/>
      </c>
      <c r="J263" s="11">
        <f>IF(F263=1,G263+H263-1,"")</f>
        <v/>
      </c>
      <c r="K263" s="11">
        <f>IF(D263=0,COUNTIF($D$7:D263,0),"")</f>
        <v/>
      </c>
    </row>
    <row r="264">
      <c r="A264" s="10">
        <f>DATE($B$2-1,12,1)+257</f>
        <v/>
      </c>
      <c r="B264" s="11">
        <f>TEXT(A264,"aaa")</f>
        <v/>
      </c>
      <c r="C264" s="12">
        <f>IFERROR(VLOOKUP(A264,'1_祝日'!$A$4:$B$83,2,FALSE),"")</f>
        <v/>
      </c>
      <c r="D264" s="11">
        <f>IF(OR(WEEKDAY(A264,2)&gt;=6,C264&lt;&gt;"",COUNTIF('1_祝日'!$D$4:$D$43,A264)&gt;0,AND($B$3=1,OR(AND(MONTH(A264)=12,DAY(A264)&gt;=29),AND(MONTH(A264)=1,DAY(A264)&lt;=3)))),1,0)</f>
        <v/>
      </c>
      <c r="E264" s="7" t="n"/>
      <c r="F264" s="11">
        <f>IF(OR(D264=1,E264=1),1,0)</f>
        <v/>
      </c>
      <c r="G264" s="11">
        <f>IF(F264=1,G263+1,0)</f>
        <v/>
      </c>
      <c r="H264" s="11">
        <f>IF(F264=1,H265+1,0)</f>
        <v/>
      </c>
      <c r="I264" s="11">
        <f>IF(AND(D264=1,E264=1),"もとから休み","")</f>
        <v/>
      </c>
      <c r="J264" s="11">
        <f>IF(F264=1,G264+H264-1,"")</f>
        <v/>
      </c>
      <c r="K264" s="11">
        <f>IF(D264=0,COUNTIF($D$7:D264,0),"")</f>
        <v/>
      </c>
    </row>
    <row r="265">
      <c r="A265" s="10">
        <f>DATE($B$2-1,12,1)+258</f>
        <v/>
      </c>
      <c r="B265" s="11">
        <f>TEXT(A265,"aaa")</f>
        <v/>
      </c>
      <c r="C265" s="12">
        <f>IFERROR(VLOOKUP(A265,'1_祝日'!$A$4:$B$83,2,FALSE),"")</f>
        <v/>
      </c>
      <c r="D265" s="11">
        <f>IF(OR(WEEKDAY(A265,2)&gt;=6,C265&lt;&gt;"",COUNTIF('1_祝日'!$D$4:$D$43,A265)&gt;0,AND($B$3=1,OR(AND(MONTH(A265)=12,DAY(A265)&gt;=29),AND(MONTH(A265)=1,DAY(A265)&lt;=3)))),1,0)</f>
        <v/>
      </c>
      <c r="E265" s="7" t="n"/>
      <c r="F265" s="11">
        <f>IF(OR(D265=1,E265=1),1,0)</f>
        <v/>
      </c>
      <c r="G265" s="11">
        <f>IF(F265=1,G264+1,0)</f>
        <v/>
      </c>
      <c r="H265" s="11">
        <f>IF(F265=1,H266+1,0)</f>
        <v/>
      </c>
      <c r="I265" s="11">
        <f>IF(AND(D265=1,E265=1),"もとから休み","")</f>
        <v/>
      </c>
      <c r="J265" s="11">
        <f>IF(F265=1,G265+H265-1,"")</f>
        <v/>
      </c>
      <c r="K265" s="11">
        <f>IF(D265=0,COUNTIF($D$7:D265,0),"")</f>
        <v/>
      </c>
    </row>
    <row r="266">
      <c r="A266" s="10">
        <f>DATE($B$2-1,12,1)+259</f>
        <v/>
      </c>
      <c r="B266" s="11">
        <f>TEXT(A266,"aaa")</f>
        <v/>
      </c>
      <c r="C266" s="12">
        <f>IFERROR(VLOOKUP(A266,'1_祝日'!$A$4:$B$83,2,FALSE),"")</f>
        <v/>
      </c>
      <c r="D266" s="11">
        <f>IF(OR(WEEKDAY(A266,2)&gt;=6,C266&lt;&gt;"",COUNTIF('1_祝日'!$D$4:$D$43,A266)&gt;0,AND($B$3=1,OR(AND(MONTH(A266)=12,DAY(A266)&gt;=29),AND(MONTH(A266)=1,DAY(A266)&lt;=3)))),1,0)</f>
        <v/>
      </c>
      <c r="E266" s="7" t="n"/>
      <c r="F266" s="11">
        <f>IF(OR(D266=1,E266=1),1,0)</f>
        <v/>
      </c>
      <c r="G266" s="11">
        <f>IF(F266=1,G265+1,0)</f>
        <v/>
      </c>
      <c r="H266" s="11">
        <f>IF(F266=1,H267+1,0)</f>
        <v/>
      </c>
      <c r="I266" s="11">
        <f>IF(AND(D266=1,E266=1),"もとから休み","")</f>
        <v/>
      </c>
      <c r="J266" s="11">
        <f>IF(F266=1,G266+H266-1,"")</f>
        <v/>
      </c>
      <c r="K266" s="11">
        <f>IF(D266=0,COUNTIF($D$7:D266,0),"")</f>
        <v/>
      </c>
    </row>
    <row r="267">
      <c r="A267" s="10">
        <f>DATE($B$2-1,12,1)+260</f>
        <v/>
      </c>
      <c r="B267" s="11">
        <f>TEXT(A267,"aaa")</f>
        <v/>
      </c>
      <c r="C267" s="12">
        <f>IFERROR(VLOOKUP(A267,'1_祝日'!$A$4:$B$83,2,FALSE),"")</f>
        <v/>
      </c>
      <c r="D267" s="11">
        <f>IF(OR(WEEKDAY(A267,2)&gt;=6,C267&lt;&gt;"",COUNTIF('1_祝日'!$D$4:$D$43,A267)&gt;0,AND($B$3=1,OR(AND(MONTH(A267)=12,DAY(A267)&gt;=29),AND(MONTH(A267)=1,DAY(A267)&lt;=3)))),1,0)</f>
        <v/>
      </c>
      <c r="E267" s="7" t="n"/>
      <c r="F267" s="11">
        <f>IF(OR(D267=1,E267=1),1,0)</f>
        <v/>
      </c>
      <c r="G267" s="11">
        <f>IF(F267=1,G266+1,0)</f>
        <v/>
      </c>
      <c r="H267" s="11">
        <f>IF(F267=1,H268+1,0)</f>
        <v/>
      </c>
      <c r="I267" s="11">
        <f>IF(AND(D267=1,E267=1),"もとから休み","")</f>
        <v/>
      </c>
      <c r="J267" s="11">
        <f>IF(F267=1,G267+H267-1,"")</f>
        <v/>
      </c>
      <c r="K267" s="11">
        <f>IF(D267=0,COUNTIF($D$7:D267,0),"")</f>
        <v/>
      </c>
    </row>
    <row r="268">
      <c r="A268" s="10">
        <f>DATE($B$2-1,12,1)+261</f>
        <v/>
      </c>
      <c r="B268" s="11">
        <f>TEXT(A268,"aaa")</f>
        <v/>
      </c>
      <c r="C268" s="12">
        <f>IFERROR(VLOOKUP(A268,'1_祝日'!$A$4:$B$83,2,FALSE),"")</f>
        <v/>
      </c>
      <c r="D268" s="11">
        <f>IF(OR(WEEKDAY(A268,2)&gt;=6,C268&lt;&gt;"",COUNTIF('1_祝日'!$D$4:$D$43,A268)&gt;0,AND($B$3=1,OR(AND(MONTH(A268)=12,DAY(A268)&gt;=29),AND(MONTH(A268)=1,DAY(A268)&lt;=3)))),1,0)</f>
        <v/>
      </c>
      <c r="E268" s="7" t="n"/>
      <c r="F268" s="11">
        <f>IF(OR(D268=1,E268=1),1,0)</f>
        <v/>
      </c>
      <c r="G268" s="11">
        <f>IF(F268=1,G267+1,0)</f>
        <v/>
      </c>
      <c r="H268" s="11">
        <f>IF(F268=1,H269+1,0)</f>
        <v/>
      </c>
      <c r="I268" s="11">
        <f>IF(AND(D268=1,E268=1),"もとから休み","")</f>
        <v/>
      </c>
      <c r="J268" s="11">
        <f>IF(F268=1,G268+H268-1,"")</f>
        <v/>
      </c>
      <c r="K268" s="11">
        <f>IF(D268=0,COUNTIF($D$7:D268,0),"")</f>
        <v/>
      </c>
    </row>
    <row r="269">
      <c r="A269" s="10">
        <f>DATE($B$2-1,12,1)+262</f>
        <v/>
      </c>
      <c r="B269" s="11">
        <f>TEXT(A269,"aaa")</f>
        <v/>
      </c>
      <c r="C269" s="12">
        <f>IFERROR(VLOOKUP(A269,'1_祝日'!$A$4:$B$83,2,FALSE),"")</f>
        <v/>
      </c>
      <c r="D269" s="11">
        <f>IF(OR(WEEKDAY(A269,2)&gt;=6,C269&lt;&gt;"",COUNTIF('1_祝日'!$D$4:$D$43,A269)&gt;0,AND($B$3=1,OR(AND(MONTH(A269)=12,DAY(A269)&gt;=29),AND(MONTH(A269)=1,DAY(A269)&lt;=3)))),1,0)</f>
        <v/>
      </c>
      <c r="E269" s="7" t="n"/>
      <c r="F269" s="11">
        <f>IF(OR(D269=1,E269=1),1,0)</f>
        <v/>
      </c>
      <c r="G269" s="11">
        <f>IF(F269=1,G268+1,0)</f>
        <v/>
      </c>
      <c r="H269" s="11">
        <f>IF(F269=1,H270+1,0)</f>
        <v/>
      </c>
      <c r="I269" s="11">
        <f>IF(AND(D269=1,E269=1),"もとから休み","")</f>
        <v/>
      </c>
      <c r="J269" s="11">
        <f>IF(F269=1,G269+H269-1,"")</f>
        <v/>
      </c>
      <c r="K269" s="11">
        <f>IF(D269=0,COUNTIF($D$7:D269,0),"")</f>
        <v/>
      </c>
    </row>
    <row r="270">
      <c r="A270" s="10">
        <f>DATE($B$2-1,12,1)+263</f>
        <v/>
      </c>
      <c r="B270" s="11">
        <f>TEXT(A270,"aaa")</f>
        <v/>
      </c>
      <c r="C270" s="12">
        <f>IFERROR(VLOOKUP(A270,'1_祝日'!$A$4:$B$83,2,FALSE),"")</f>
        <v/>
      </c>
      <c r="D270" s="11">
        <f>IF(OR(WEEKDAY(A270,2)&gt;=6,C270&lt;&gt;"",COUNTIF('1_祝日'!$D$4:$D$43,A270)&gt;0,AND($B$3=1,OR(AND(MONTH(A270)=12,DAY(A270)&gt;=29),AND(MONTH(A270)=1,DAY(A270)&lt;=3)))),1,0)</f>
        <v/>
      </c>
      <c r="E270" s="7" t="n"/>
      <c r="F270" s="11">
        <f>IF(OR(D270=1,E270=1),1,0)</f>
        <v/>
      </c>
      <c r="G270" s="11">
        <f>IF(F270=1,G269+1,0)</f>
        <v/>
      </c>
      <c r="H270" s="11">
        <f>IF(F270=1,H271+1,0)</f>
        <v/>
      </c>
      <c r="I270" s="11">
        <f>IF(AND(D270=1,E270=1),"もとから休み","")</f>
        <v/>
      </c>
      <c r="J270" s="11">
        <f>IF(F270=1,G270+H270-1,"")</f>
        <v/>
      </c>
      <c r="K270" s="11">
        <f>IF(D270=0,COUNTIF($D$7:D270,0),"")</f>
        <v/>
      </c>
    </row>
    <row r="271">
      <c r="A271" s="10">
        <f>DATE($B$2-1,12,1)+264</f>
        <v/>
      </c>
      <c r="B271" s="11">
        <f>TEXT(A271,"aaa")</f>
        <v/>
      </c>
      <c r="C271" s="12">
        <f>IFERROR(VLOOKUP(A271,'1_祝日'!$A$4:$B$83,2,FALSE),"")</f>
        <v/>
      </c>
      <c r="D271" s="11">
        <f>IF(OR(WEEKDAY(A271,2)&gt;=6,C271&lt;&gt;"",COUNTIF('1_祝日'!$D$4:$D$43,A271)&gt;0,AND($B$3=1,OR(AND(MONTH(A271)=12,DAY(A271)&gt;=29),AND(MONTH(A271)=1,DAY(A271)&lt;=3)))),1,0)</f>
        <v/>
      </c>
      <c r="E271" s="7" t="n"/>
      <c r="F271" s="11">
        <f>IF(OR(D271=1,E271=1),1,0)</f>
        <v/>
      </c>
      <c r="G271" s="11">
        <f>IF(F271=1,G270+1,0)</f>
        <v/>
      </c>
      <c r="H271" s="11">
        <f>IF(F271=1,H272+1,0)</f>
        <v/>
      </c>
      <c r="I271" s="11">
        <f>IF(AND(D271=1,E271=1),"もとから休み","")</f>
        <v/>
      </c>
      <c r="J271" s="11">
        <f>IF(F271=1,G271+H271-1,"")</f>
        <v/>
      </c>
      <c r="K271" s="11">
        <f>IF(D271=0,COUNTIF($D$7:D271,0),"")</f>
        <v/>
      </c>
    </row>
    <row r="272">
      <c r="A272" s="10">
        <f>DATE($B$2-1,12,1)+265</f>
        <v/>
      </c>
      <c r="B272" s="11">
        <f>TEXT(A272,"aaa")</f>
        <v/>
      </c>
      <c r="C272" s="12">
        <f>IFERROR(VLOOKUP(A272,'1_祝日'!$A$4:$B$83,2,FALSE),"")</f>
        <v/>
      </c>
      <c r="D272" s="11">
        <f>IF(OR(WEEKDAY(A272,2)&gt;=6,C272&lt;&gt;"",COUNTIF('1_祝日'!$D$4:$D$43,A272)&gt;0,AND($B$3=1,OR(AND(MONTH(A272)=12,DAY(A272)&gt;=29),AND(MONTH(A272)=1,DAY(A272)&lt;=3)))),1,0)</f>
        <v/>
      </c>
      <c r="E272" s="7" t="n"/>
      <c r="F272" s="11">
        <f>IF(OR(D272=1,E272=1),1,0)</f>
        <v/>
      </c>
      <c r="G272" s="11">
        <f>IF(F272=1,G271+1,0)</f>
        <v/>
      </c>
      <c r="H272" s="11">
        <f>IF(F272=1,H273+1,0)</f>
        <v/>
      </c>
      <c r="I272" s="11">
        <f>IF(AND(D272=1,E272=1),"もとから休み","")</f>
        <v/>
      </c>
      <c r="J272" s="11">
        <f>IF(F272=1,G272+H272-1,"")</f>
        <v/>
      </c>
      <c r="K272" s="11">
        <f>IF(D272=0,COUNTIF($D$7:D272,0),"")</f>
        <v/>
      </c>
    </row>
    <row r="273">
      <c r="A273" s="10">
        <f>DATE($B$2-1,12,1)+266</f>
        <v/>
      </c>
      <c r="B273" s="11">
        <f>TEXT(A273,"aaa")</f>
        <v/>
      </c>
      <c r="C273" s="12">
        <f>IFERROR(VLOOKUP(A273,'1_祝日'!$A$4:$B$83,2,FALSE),"")</f>
        <v/>
      </c>
      <c r="D273" s="11">
        <f>IF(OR(WEEKDAY(A273,2)&gt;=6,C273&lt;&gt;"",COUNTIF('1_祝日'!$D$4:$D$43,A273)&gt;0,AND($B$3=1,OR(AND(MONTH(A273)=12,DAY(A273)&gt;=29),AND(MONTH(A273)=1,DAY(A273)&lt;=3)))),1,0)</f>
        <v/>
      </c>
      <c r="E273" s="7" t="n"/>
      <c r="F273" s="11">
        <f>IF(OR(D273=1,E273=1),1,0)</f>
        <v/>
      </c>
      <c r="G273" s="11">
        <f>IF(F273=1,G272+1,0)</f>
        <v/>
      </c>
      <c r="H273" s="11">
        <f>IF(F273=1,H274+1,0)</f>
        <v/>
      </c>
      <c r="I273" s="11">
        <f>IF(AND(D273=1,E273=1),"もとから休み","")</f>
        <v/>
      </c>
      <c r="J273" s="11">
        <f>IF(F273=1,G273+H273-1,"")</f>
        <v/>
      </c>
      <c r="K273" s="11">
        <f>IF(D273=0,COUNTIF($D$7:D273,0),"")</f>
        <v/>
      </c>
    </row>
    <row r="274">
      <c r="A274" s="10">
        <f>DATE($B$2-1,12,1)+267</f>
        <v/>
      </c>
      <c r="B274" s="11">
        <f>TEXT(A274,"aaa")</f>
        <v/>
      </c>
      <c r="C274" s="12">
        <f>IFERROR(VLOOKUP(A274,'1_祝日'!$A$4:$B$83,2,FALSE),"")</f>
        <v/>
      </c>
      <c r="D274" s="11">
        <f>IF(OR(WEEKDAY(A274,2)&gt;=6,C274&lt;&gt;"",COUNTIF('1_祝日'!$D$4:$D$43,A274)&gt;0,AND($B$3=1,OR(AND(MONTH(A274)=12,DAY(A274)&gt;=29),AND(MONTH(A274)=1,DAY(A274)&lt;=3)))),1,0)</f>
        <v/>
      </c>
      <c r="E274" s="7" t="n"/>
      <c r="F274" s="11">
        <f>IF(OR(D274=1,E274=1),1,0)</f>
        <v/>
      </c>
      <c r="G274" s="11">
        <f>IF(F274=1,G273+1,0)</f>
        <v/>
      </c>
      <c r="H274" s="11">
        <f>IF(F274=1,H275+1,0)</f>
        <v/>
      </c>
      <c r="I274" s="11">
        <f>IF(AND(D274=1,E274=1),"もとから休み","")</f>
        <v/>
      </c>
      <c r="J274" s="11">
        <f>IF(F274=1,G274+H274-1,"")</f>
        <v/>
      </c>
      <c r="K274" s="11">
        <f>IF(D274=0,COUNTIF($D$7:D274,0),"")</f>
        <v/>
      </c>
    </row>
    <row r="275">
      <c r="A275" s="10">
        <f>DATE($B$2-1,12,1)+268</f>
        <v/>
      </c>
      <c r="B275" s="11">
        <f>TEXT(A275,"aaa")</f>
        <v/>
      </c>
      <c r="C275" s="12">
        <f>IFERROR(VLOOKUP(A275,'1_祝日'!$A$4:$B$83,2,FALSE),"")</f>
        <v/>
      </c>
      <c r="D275" s="11">
        <f>IF(OR(WEEKDAY(A275,2)&gt;=6,C275&lt;&gt;"",COUNTIF('1_祝日'!$D$4:$D$43,A275)&gt;0,AND($B$3=1,OR(AND(MONTH(A275)=12,DAY(A275)&gt;=29),AND(MONTH(A275)=1,DAY(A275)&lt;=3)))),1,0)</f>
        <v/>
      </c>
      <c r="E275" s="7" t="n"/>
      <c r="F275" s="11">
        <f>IF(OR(D275=1,E275=1),1,0)</f>
        <v/>
      </c>
      <c r="G275" s="11">
        <f>IF(F275=1,G274+1,0)</f>
        <v/>
      </c>
      <c r="H275" s="11">
        <f>IF(F275=1,H276+1,0)</f>
        <v/>
      </c>
      <c r="I275" s="11">
        <f>IF(AND(D275=1,E275=1),"もとから休み","")</f>
        <v/>
      </c>
      <c r="J275" s="11">
        <f>IF(F275=1,G275+H275-1,"")</f>
        <v/>
      </c>
      <c r="K275" s="11">
        <f>IF(D275=0,COUNTIF($D$7:D275,0),"")</f>
        <v/>
      </c>
    </row>
    <row r="276">
      <c r="A276" s="10">
        <f>DATE($B$2-1,12,1)+269</f>
        <v/>
      </c>
      <c r="B276" s="11">
        <f>TEXT(A276,"aaa")</f>
        <v/>
      </c>
      <c r="C276" s="12">
        <f>IFERROR(VLOOKUP(A276,'1_祝日'!$A$4:$B$83,2,FALSE),"")</f>
        <v/>
      </c>
      <c r="D276" s="11">
        <f>IF(OR(WEEKDAY(A276,2)&gt;=6,C276&lt;&gt;"",COUNTIF('1_祝日'!$D$4:$D$43,A276)&gt;0,AND($B$3=1,OR(AND(MONTH(A276)=12,DAY(A276)&gt;=29),AND(MONTH(A276)=1,DAY(A276)&lt;=3)))),1,0)</f>
        <v/>
      </c>
      <c r="E276" s="7" t="n"/>
      <c r="F276" s="11">
        <f>IF(OR(D276=1,E276=1),1,0)</f>
        <v/>
      </c>
      <c r="G276" s="11">
        <f>IF(F276=1,G275+1,0)</f>
        <v/>
      </c>
      <c r="H276" s="11">
        <f>IF(F276=1,H277+1,0)</f>
        <v/>
      </c>
      <c r="I276" s="11">
        <f>IF(AND(D276=1,E276=1),"もとから休み","")</f>
        <v/>
      </c>
      <c r="J276" s="11">
        <f>IF(F276=1,G276+H276-1,"")</f>
        <v/>
      </c>
      <c r="K276" s="11">
        <f>IF(D276=0,COUNTIF($D$7:D276,0),"")</f>
        <v/>
      </c>
    </row>
    <row r="277">
      <c r="A277" s="10">
        <f>DATE($B$2-1,12,1)+270</f>
        <v/>
      </c>
      <c r="B277" s="11">
        <f>TEXT(A277,"aaa")</f>
        <v/>
      </c>
      <c r="C277" s="12">
        <f>IFERROR(VLOOKUP(A277,'1_祝日'!$A$4:$B$83,2,FALSE),"")</f>
        <v/>
      </c>
      <c r="D277" s="11">
        <f>IF(OR(WEEKDAY(A277,2)&gt;=6,C277&lt;&gt;"",COUNTIF('1_祝日'!$D$4:$D$43,A277)&gt;0,AND($B$3=1,OR(AND(MONTH(A277)=12,DAY(A277)&gt;=29),AND(MONTH(A277)=1,DAY(A277)&lt;=3)))),1,0)</f>
        <v/>
      </c>
      <c r="E277" s="7" t="n"/>
      <c r="F277" s="11">
        <f>IF(OR(D277=1,E277=1),1,0)</f>
        <v/>
      </c>
      <c r="G277" s="11">
        <f>IF(F277=1,G276+1,0)</f>
        <v/>
      </c>
      <c r="H277" s="11">
        <f>IF(F277=1,H278+1,0)</f>
        <v/>
      </c>
      <c r="I277" s="11">
        <f>IF(AND(D277=1,E277=1),"もとから休み","")</f>
        <v/>
      </c>
      <c r="J277" s="11">
        <f>IF(F277=1,G277+H277-1,"")</f>
        <v/>
      </c>
      <c r="K277" s="11">
        <f>IF(D277=0,COUNTIF($D$7:D277,0),"")</f>
        <v/>
      </c>
    </row>
    <row r="278">
      <c r="A278" s="10">
        <f>DATE($B$2-1,12,1)+271</f>
        <v/>
      </c>
      <c r="B278" s="11">
        <f>TEXT(A278,"aaa")</f>
        <v/>
      </c>
      <c r="C278" s="12">
        <f>IFERROR(VLOOKUP(A278,'1_祝日'!$A$4:$B$83,2,FALSE),"")</f>
        <v/>
      </c>
      <c r="D278" s="11">
        <f>IF(OR(WEEKDAY(A278,2)&gt;=6,C278&lt;&gt;"",COUNTIF('1_祝日'!$D$4:$D$43,A278)&gt;0,AND($B$3=1,OR(AND(MONTH(A278)=12,DAY(A278)&gt;=29),AND(MONTH(A278)=1,DAY(A278)&lt;=3)))),1,0)</f>
        <v/>
      </c>
      <c r="E278" s="7" t="n"/>
      <c r="F278" s="11">
        <f>IF(OR(D278=1,E278=1),1,0)</f>
        <v/>
      </c>
      <c r="G278" s="11">
        <f>IF(F278=1,G277+1,0)</f>
        <v/>
      </c>
      <c r="H278" s="11">
        <f>IF(F278=1,H279+1,0)</f>
        <v/>
      </c>
      <c r="I278" s="11">
        <f>IF(AND(D278=1,E278=1),"もとから休み","")</f>
        <v/>
      </c>
      <c r="J278" s="11">
        <f>IF(F278=1,G278+H278-1,"")</f>
        <v/>
      </c>
      <c r="K278" s="11">
        <f>IF(D278=0,COUNTIF($D$7:D278,0),"")</f>
        <v/>
      </c>
    </row>
    <row r="279">
      <c r="A279" s="10">
        <f>DATE($B$2-1,12,1)+272</f>
        <v/>
      </c>
      <c r="B279" s="11">
        <f>TEXT(A279,"aaa")</f>
        <v/>
      </c>
      <c r="C279" s="12">
        <f>IFERROR(VLOOKUP(A279,'1_祝日'!$A$4:$B$83,2,FALSE),"")</f>
        <v/>
      </c>
      <c r="D279" s="11">
        <f>IF(OR(WEEKDAY(A279,2)&gt;=6,C279&lt;&gt;"",COUNTIF('1_祝日'!$D$4:$D$43,A279)&gt;0,AND($B$3=1,OR(AND(MONTH(A279)=12,DAY(A279)&gt;=29),AND(MONTH(A279)=1,DAY(A279)&lt;=3)))),1,0)</f>
        <v/>
      </c>
      <c r="E279" s="7" t="n"/>
      <c r="F279" s="11">
        <f>IF(OR(D279=1,E279=1),1,0)</f>
        <v/>
      </c>
      <c r="G279" s="11">
        <f>IF(F279=1,G278+1,0)</f>
        <v/>
      </c>
      <c r="H279" s="11">
        <f>IF(F279=1,H280+1,0)</f>
        <v/>
      </c>
      <c r="I279" s="11">
        <f>IF(AND(D279=1,E279=1),"もとから休み","")</f>
        <v/>
      </c>
      <c r="J279" s="11">
        <f>IF(F279=1,G279+H279-1,"")</f>
        <v/>
      </c>
      <c r="K279" s="11">
        <f>IF(D279=0,COUNTIF($D$7:D279,0),"")</f>
        <v/>
      </c>
    </row>
    <row r="280">
      <c r="A280" s="10">
        <f>DATE($B$2-1,12,1)+273</f>
        <v/>
      </c>
      <c r="B280" s="11">
        <f>TEXT(A280,"aaa")</f>
        <v/>
      </c>
      <c r="C280" s="12">
        <f>IFERROR(VLOOKUP(A280,'1_祝日'!$A$4:$B$83,2,FALSE),"")</f>
        <v/>
      </c>
      <c r="D280" s="11">
        <f>IF(OR(WEEKDAY(A280,2)&gt;=6,C280&lt;&gt;"",COUNTIF('1_祝日'!$D$4:$D$43,A280)&gt;0,AND($B$3=1,OR(AND(MONTH(A280)=12,DAY(A280)&gt;=29),AND(MONTH(A280)=1,DAY(A280)&lt;=3)))),1,0)</f>
        <v/>
      </c>
      <c r="E280" s="7" t="n"/>
      <c r="F280" s="11">
        <f>IF(OR(D280=1,E280=1),1,0)</f>
        <v/>
      </c>
      <c r="G280" s="11">
        <f>IF(F280=1,G279+1,0)</f>
        <v/>
      </c>
      <c r="H280" s="11">
        <f>IF(F280=1,H281+1,0)</f>
        <v/>
      </c>
      <c r="I280" s="11">
        <f>IF(AND(D280=1,E280=1),"もとから休み","")</f>
        <v/>
      </c>
      <c r="J280" s="11">
        <f>IF(F280=1,G280+H280-1,"")</f>
        <v/>
      </c>
      <c r="K280" s="11">
        <f>IF(D280=0,COUNTIF($D$7:D280,0),"")</f>
        <v/>
      </c>
    </row>
    <row r="281">
      <c r="A281" s="10">
        <f>DATE($B$2-1,12,1)+274</f>
        <v/>
      </c>
      <c r="B281" s="11">
        <f>TEXT(A281,"aaa")</f>
        <v/>
      </c>
      <c r="C281" s="12">
        <f>IFERROR(VLOOKUP(A281,'1_祝日'!$A$4:$B$83,2,FALSE),"")</f>
        <v/>
      </c>
      <c r="D281" s="11">
        <f>IF(OR(WEEKDAY(A281,2)&gt;=6,C281&lt;&gt;"",COUNTIF('1_祝日'!$D$4:$D$43,A281)&gt;0,AND($B$3=1,OR(AND(MONTH(A281)=12,DAY(A281)&gt;=29),AND(MONTH(A281)=1,DAY(A281)&lt;=3)))),1,0)</f>
        <v/>
      </c>
      <c r="E281" s="7" t="n"/>
      <c r="F281" s="11">
        <f>IF(OR(D281=1,E281=1),1,0)</f>
        <v/>
      </c>
      <c r="G281" s="11">
        <f>IF(F281=1,G280+1,0)</f>
        <v/>
      </c>
      <c r="H281" s="11">
        <f>IF(F281=1,H282+1,0)</f>
        <v/>
      </c>
      <c r="I281" s="11">
        <f>IF(AND(D281=1,E281=1),"もとから休み","")</f>
        <v/>
      </c>
      <c r="J281" s="11">
        <f>IF(F281=1,G281+H281-1,"")</f>
        <v/>
      </c>
      <c r="K281" s="11">
        <f>IF(D281=0,COUNTIF($D$7:D281,0),"")</f>
        <v/>
      </c>
    </row>
    <row r="282">
      <c r="A282" s="10">
        <f>DATE($B$2-1,12,1)+275</f>
        <v/>
      </c>
      <c r="B282" s="11">
        <f>TEXT(A282,"aaa")</f>
        <v/>
      </c>
      <c r="C282" s="12">
        <f>IFERROR(VLOOKUP(A282,'1_祝日'!$A$4:$B$83,2,FALSE),"")</f>
        <v/>
      </c>
      <c r="D282" s="11">
        <f>IF(OR(WEEKDAY(A282,2)&gt;=6,C282&lt;&gt;"",COUNTIF('1_祝日'!$D$4:$D$43,A282)&gt;0,AND($B$3=1,OR(AND(MONTH(A282)=12,DAY(A282)&gt;=29),AND(MONTH(A282)=1,DAY(A282)&lt;=3)))),1,0)</f>
        <v/>
      </c>
      <c r="E282" s="7" t="n"/>
      <c r="F282" s="11">
        <f>IF(OR(D282=1,E282=1),1,0)</f>
        <v/>
      </c>
      <c r="G282" s="11">
        <f>IF(F282=1,G281+1,0)</f>
        <v/>
      </c>
      <c r="H282" s="11">
        <f>IF(F282=1,H283+1,0)</f>
        <v/>
      </c>
      <c r="I282" s="11">
        <f>IF(AND(D282=1,E282=1),"もとから休み","")</f>
        <v/>
      </c>
      <c r="J282" s="11">
        <f>IF(F282=1,G282+H282-1,"")</f>
        <v/>
      </c>
      <c r="K282" s="11">
        <f>IF(D282=0,COUNTIF($D$7:D282,0),"")</f>
        <v/>
      </c>
    </row>
    <row r="283">
      <c r="A283" s="10">
        <f>DATE($B$2-1,12,1)+276</f>
        <v/>
      </c>
      <c r="B283" s="11">
        <f>TEXT(A283,"aaa")</f>
        <v/>
      </c>
      <c r="C283" s="12">
        <f>IFERROR(VLOOKUP(A283,'1_祝日'!$A$4:$B$83,2,FALSE),"")</f>
        <v/>
      </c>
      <c r="D283" s="11">
        <f>IF(OR(WEEKDAY(A283,2)&gt;=6,C283&lt;&gt;"",COUNTIF('1_祝日'!$D$4:$D$43,A283)&gt;0,AND($B$3=1,OR(AND(MONTH(A283)=12,DAY(A283)&gt;=29),AND(MONTH(A283)=1,DAY(A283)&lt;=3)))),1,0)</f>
        <v/>
      </c>
      <c r="E283" s="7" t="n"/>
      <c r="F283" s="11">
        <f>IF(OR(D283=1,E283=1),1,0)</f>
        <v/>
      </c>
      <c r="G283" s="11">
        <f>IF(F283=1,G282+1,0)</f>
        <v/>
      </c>
      <c r="H283" s="11">
        <f>IF(F283=1,H284+1,0)</f>
        <v/>
      </c>
      <c r="I283" s="11">
        <f>IF(AND(D283=1,E283=1),"もとから休み","")</f>
        <v/>
      </c>
      <c r="J283" s="11">
        <f>IF(F283=1,G283+H283-1,"")</f>
        <v/>
      </c>
      <c r="K283" s="11">
        <f>IF(D283=0,COUNTIF($D$7:D283,0),"")</f>
        <v/>
      </c>
    </row>
    <row r="284">
      <c r="A284" s="10">
        <f>DATE($B$2-1,12,1)+277</f>
        <v/>
      </c>
      <c r="B284" s="11">
        <f>TEXT(A284,"aaa")</f>
        <v/>
      </c>
      <c r="C284" s="12">
        <f>IFERROR(VLOOKUP(A284,'1_祝日'!$A$4:$B$83,2,FALSE),"")</f>
        <v/>
      </c>
      <c r="D284" s="11">
        <f>IF(OR(WEEKDAY(A284,2)&gt;=6,C284&lt;&gt;"",COUNTIF('1_祝日'!$D$4:$D$43,A284)&gt;0,AND($B$3=1,OR(AND(MONTH(A284)=12,DAY(A284)&gt;=29),AND(MONTH(A284)=1,DAY(A284)&lt;=3)))),1,0)</f>
        <v/>
      </c>
      <c r="E284" s="7" t="n"/>
      <c r="F284" s="11">
        <f>IF(OR(D284=1,E284=1),1,0)</f>
        <v/>
      </c>
      <c r="G284" s="11">
        <f>IF(F284=1,G283+1,0)</f>
        <v/>
      </c>
      <c r="H284" s="11">
        <f>IF(F284=1,H285+1,0)</f>
        <v/>
      </c>
      <c r="I284" s="11">
        <f>IF(AND(D284=1,E284=1),"もとから休み","")</f>
        <v/>
      </c>
      <c r="J284" s="11">
        <f>IF(F284=1,G284+H284-1,"")</f>
        <v/>
      </c>
      <c r="K284" s="11">
        <f>IF(D284=0,COUNTIF($D$7:D284,0),"")</f>
        <v/>
      </c>
    </row>
    <row r="285">
      <c r="A285" s="10">
        <f>DATE($B$2-1,12,1)+278</f>
        <v/>
      </c>
      <c r="B285" s="11">
        <f>TEXT(A285,"aaa")</f>
        <v/>
      </c>
      <c r="C285" s="12">
        <f>IFERROR(VLOOKUP(A285,'1_祝日'!$A$4:$B$83,2,FALSE),"")</f>
        <v/>
      </c>
      <c r="D285" s="11">
        <f>IF(OR(WEEKDAY(A285,2)&gt;=6,C285&lt;&gt;"",COUNTIF('1_祝日'!$D$4:$D$43,A285)&gt;0,AND($B$3=1,OR(AND(MONTH(A285)=12,DAY(A285)&gt;=29),AND(MONTH(A285)=1,DAY(A285)&lt;=3)))),1,0)</f>
        <v/>
      </c>
      <c r="E285" s="7" t="n"/>
      <c r="F285" s="11">
        <f>IF(OR(D285=1,E285=1),1,0)</f>
        <v/>
      </c>
      <c r="G285" s="11">
        <f>IF(F285=1,G284+1,0)</f>
        <v/>
      </c>
      <c r="H285" s="11">
        <f>IF(F285=1,H286+1,0)</f>
        <v/>
      </c>
      <c r="I285" s="11">
        <f>IF(AND(D285=1,E285=1),"もとから休み","")</f>
        <v/>
      </c>
      <c r="J285" s="11">
        <f>IF(F285=1,G285+H285-1,"")</f>
        <v/>
      </c>
      <c r="K285" s="11">
        <f>IF(D285=0,COUNTIF($D$7:D285,0),"")</f>
        <v/>
      </c>
    </row>
    <row r="286">
      <c r="A286" s="10">
        <f>DATE($B$2-1,12,1)+279</f>
        <v/>
      </c>
      <c r="B286" s="11">
        <f>TEXT(A286,"aaa")</f>
        <v/>
      </c>
      <c r="C286" s="12">
        <f>IFERROR(VLOOKUP(A286,'1_祝日'!$A$4:$B$83,2,FALSE),"")</f>
        <v/>
      </c>
      <c r="D286" s="11">
        <f>IF(OR(WEEKDAY(A286,2)&gt;=6,C286&lt;&gt;"",COUNTIF('1_祝日'!$D$4:$D$43,A286)&gt;0,AND($B$3=1,OR(AND(MONTH(A286)=12,DAY(A286)&gt;=29),AND(MONTH(A286)=1,DAY(A286)&lt;=3)))),1,0)</f>
        <v/>
      </c>
      <c r="E286" s="7" t="n"/>
      <c r="F286" s="11">
        <f>IF(OR(D286=1,E286=1),1,0)</f>
        <v/>
      </c>
      <c r="G286" s="11">
        <f>IF(F286=1,G285+1,0)</f>
        <v/>
      </c>
      <c r="H286" s="11">
        <f>IF(F286=1,H287+1,0)</f>
        <v/>
      </c>
      <c r="I286" s="11">
        <f>IF(AND(D286=1,E286=1),"もとから休み","")</f>
        <v/>
      </c>
      <c r="J286" s="11">
        <f>IF(F286=1,G286+H286-1,"")</f>
        <v/>
      </c>
      <c r="K286" s="11">
        <f>IF(D286=0,COUNTIF($D$7:D286,0),"")</f>
        <v/>
      </c>
    </row>
    <row r="287">
      <c r="A287" s="10">
        <f>DATE($B$2-1,12,1)+280</f>
        <v/>
      </c>
      <c r="B287" s="11">
        <f>TEXT(A287,"aaa")</f>
        <v/>
      </c>
      <c r="C287" s="12">
        <f>IFERROR(VLOOKUP(A287,'1_祝日'!$A$4:$B$83,2,FALSE),"")</f>
        <v/>
      </c>
      <c r="D287" s="11">
        <f>IF(OR(WEEKDAY(A287,2)&gt;=6,C287&lt;&gt;"",COUNTIF('1_祝日'!$D$4:$D$43,A287)&gt;0,AND($B$3=1,OR(AND(MONTH(A287)=12,DAY(A287)&gt;=29),AND(MONTH(A287)=1,DAY(A287)&lt;=3)))),1,0)</f>
        <v/>
      </c>
      <c r="E287" s="7" t="n"/>
      <c r="F287" s="11">
        <f>IF(OR(D287=1,E287=1),1,0)</f>
        <v/>
      </c>
      <c r="G287" s="11">
        <f>IF(F287=1,G286+1,0)</f>
        <v/>
      </c>
      <c r="H287" s="11">
        <f>IF(F287=1,H288+1,0)</f>
        <v/>
      </c>
      <c r="I287" s="11">
        <f>IF(AND(D287=1,E287=1),"もとから休み","")</f>
        <v/>
      </c>
      <c r="J287" s="11">
        <f>IF(F287=1,G287+H287-1,"")</f>
        <v/>
      </c>
      <c r="K287" s="11">
        <f>IF(D287=0,COUNTIF($D$7:D287,0),"")</f>
        <v/>
      </c>
    </row>
    <row r="288">
      <c r="A288" s="10">
        <f>DATE($B$2-1,12,1)+281</f>
        <v/>
      </c>
      <c r="B288" s="11">
        <f>TEXT(A288,"aaa")</f>
        <v/>
      </c>
      <c r="C288" s="12">
        <f>IFERROR(VLOOKUP(A288,'1_祝日'!$A$4:$B$83,2,FALSE),"")</f>
        <v/>
      </c>
      <c r="D288" s="11">
        <f>IF(OR(WEEKDAY(A288,2)&gt;=6,C288&lt;&gt;"",COUNTIF('1_祝日'!$D$4:$D$43,A288)&gt;0,AND($B$3=1,OR(AND(MONTH(A288)=12,DAY(A288)&gt;=29),AND(MONTH(A288)=1,DAY(A288)&lt;=3)))),1,0)</f>
        <v/>
      </c>
      <c r="E288" s="7" t="n"/>
      <c r="F288" s="11">
        <f>IF(OR(D288=1,E288=1),1,0)</f>
        <v/>
      </c>
      <c r="G288" s="11">
        <f>IF(F288=1,G287+1,0)</f>
        <v/>
      </c>
      <c r="H288" s="11">
        <f>IF(F288=1,H289+1,0)</f>
        <v/>
      </c>
      <c r="I288" s="11">
        <f>IF(AND(D288=1,E288=1),"もとから休み","")</f>
        <v/>
      </c>
      <c r="J288" s="11">
        <f>IF(F288=1,G288+H288-1,"")</f>
        <v/>
      </c>
      <c r="K288" s="11">
        <f>IF(D288=0,COUNTIF($D$7:D288,0),"")</f>
        <v/>
      </c>
    </row>
    <row r="289">
      <c r="A289" s="10">
        <f>DATE($B$2-1,12,1)+282</f>
        <v/>
      </c>
      <c r="B289" s="11">
        <f>TEXT(A289,"aaa")</f>
        <v/>
      </c>
      <c r="C289" s="12">
        <f>IFERROR(VLOOKUP(A289,'1_祝日'!$A$4:$B$83,2,FALSE),"")</f>
        <v/>
      </c>
      <c r="D289" s="11">
        <f>IF(OR(WEEKDAY(A289,2)&gt;=6,C289&lt;&gt;"",COUNTIF('1_祝日'!$D$4:$D$43,A289)&gt;0,AND($B$3=1,OR(AND(MONTH(A289)=12,DAY(A289)&gt;=29),AND(MONTH(A289)=1,DAY(A289)&lt;=3)))),1,0)</f>
        <v/>
      </c>
      <c r="E289" s="7" t="n"/>
      <c r="F289" s="11">
        <f>IF(OR(D289=1,E289=1),1,0)</f>
        <v/>
      </c>
      <c r="G289" s="11">
        <f>IF(F289=1,G288+1,0)</f>
        <v/>
      </c>
      <c r="H289" s="11">
        <f>IF(F289=1,H290+1,0)</f>
        <v/>
      </c>
      <c r="I289" s="11">
        <f>IF(AND(D289=1,E289=1),"もとから休み","")</f>
        <v/>
      </c>
      <c r="J289" s="11">
        <f>IF(F289=1,G289+H289-1,"")</f>
        <v/>
      </c>
      <c r="K289" s="11">
        <f>IF(D289=0,COUNTIF($D$7:D289,0),"")</f>
        <v/>
      </c>
    </row>
    <row r="290">
      <c r="A290" s="10">
        <f>DATE($B$2-1,12,1)+283</f>
        <v/>
      </c>
      <c r="B290" s="11">
        <f>TEXT(A290,"aaa")</f>
        <v/>
      </c>
      <c r="C290" s="12">
        <f>IFERROR(VLOOKUP(A290,'1_祝日'!$A$4:$B$83,2,FALSE),"")</f>
        <v/>
      </c>
      <c r="D290" s="11">
        <f>IF(OR(WEEKDAY(A290,2)&gt;=6,C290&lt;&gt;"",COUNTIF('1_祝日'!$D$4:$D$43,A290)&gt;0,AND($B$3=1,OR(AND(MONTH(A290)=12,DAY(A290)&gt;=29),AND(MONTH(A290)=1,DAY(A290)&lt;=3)))),1,0)</f>
        <v/>
      </c>
      <c r="E290" s="7" t="n"/>
      <c r="F290" s="11">
        <f>IF(OR(D290=1,E290=1),1,0)</f>
        <v/>
      </c>
      <c r="G290" s="11">
        <f>IF(F290=1,G289+1,0)</f>
        <v/>
      </c>
      <c r="H290" s="11">
        <f>IF(F290=1,H291+1,0)</f>
        <v/>
      </c>
      <c r="I290" s="11">
        <f>IF(AND(D290=1,E290=1),"もとから休み","")</f>
        <v/>
      </c>
      <c r="J290" s="11">
        <f>IF(F290=1,G290+H290-1,"")</f>
        <v/>
      </c>
      <c r="K290" s="11">
        <f>IF(D290=0,COUNTIF($D$7:D290,0),"")</f>
        <v/>
      </c>
    </row>
    <row r="291">
      <c r="A291" s="10">
        <f>DATE($B$2-1,12,1)+284</f>
        <v/>
      </c>
      <c r="B291" s="11">
        <f>TEXT(A291,"aaa")</f>
        <v/>
      </c>
      <c r="C291" s="12">
        <f>IFERROR(VLOOKUP(A291,'1_祝日'!$A$4:$B$83,2,FALSE),"")</f>
        <v/>
      </c>
      <c r="D291" s="11">
        <f>IF(OR(WEEKDAY(A291,2)&gt;=6,C291&lt;&gt;"",COUNTIF('1_祝日'!$D$4:$D$43,A291)&gt;0,AND($B$3=1,OR(AND(MONTH(A291)=12,DAY(A291)&gt;=29),AND(MONTH(A291)=1,DAY(A291)&lt;=3)))),1,0)</f>
        <v/>
      </c>
      <c r="E291" s="7" t="n"/>
      <c r="F291" s="11">
        <f>IF(OR(D291=1,E291=1),1,0)</f>
        <v/>
      </c>
      <c r="G291" s="11">
        <f>IF(F291=1,G290+1,0)</f>
        <v/>
      </c>
      <c r="H291" s="11">
        <f>IF(F291=1,H292+1,0)</f>
        <v/>
      </c>
      <c r="I291" s="11">
        <f>IF(AND(D291=1,E291=1),"もとから休み","")</f>
        <v/>
      </c>
      <c r="J291" s="11">
        <f>IF(F291=1,G291+H291-1,"")</f>
        <v/>
      </c>
      <c r="K291" s="11">
        <f>IF(D291=0,COUNTIF($D$7:D291,0),"")</f>
        <v/>
      </c>
    </row>
    <row r="292">
      <c r="A292" s="10">
        <f>DATE($B$2-1,12,1)+285</f>
        <v/>
      </c>
      <c r="B292" s="11">
        <f>TEXT(A292,"aaa")</f>
        <v/>
      </c>
      <c r="C292" s="12">
        <f>IFERROR(VLOOKUP(A292,'1_祝日'!$A$4:$B$83,2,FALSE),"")</f>
        <v/>
      </c>
      <c r="D292" s="11">
        <f>IF(OR(WEEKDAY(A292,2)&gt;=6,C292&lt;&gt;"",COUNTIF('1_祝日'!$D$4:$D$43,A292)&gt;0,AND($B$3=1,OR(AND(MONTH(A292)=12,DAY(A292)&gt;=29),AND(MONTH(A292)=1,DAY(A292)&lt;=3)))),1,0)</f>
        <v/>
      </c>
      <c r="E292" s="7" t="n"/>
      <c r="F292" s="11">
        <f>IF(OR(D292=1,E292=1),1,0)</f>
        <v/>
      </c>
      <c r="G292" s="11">
        <f>IF(F292=1,G291+1,0)</f>
        <v/>
      </c>
      <c r="H292" s="11">
        <f>IF(F292=1,H293+1,0)</f>
        <v/>
      </c>
      <c r="I292" s="11">
        <f>IF(AND(D292=1,E292=1),"もとから休み","")</f>
        <v/>
      </c>
      <c r="J292" s="11">
        <f>IF(F292=1,G292+H292-1,"")</f>
        <v/>
      </c>
      <c r="K292" s="11">
        <f>IF(D292=0,COUNTIF($D$7:D292,0),"")</f>
        <v/>
      </c>
    </row>
    <row r="293">
      <c r="A293" s="10">
        <f>DATE($B$2-1,12,1)+286</f>
        <v/>
      </c>
      <c r="B293" s="11">
        <f>TEXT(A293,"aaa")</f>
        <v/>
      </c>
      <c r="C293" s="12">
        <f>IFERROR(VLOOKUP(A293,'1_祝日'!$A$4:$B$83,2,FALSE),"")</f>
        <v/>
      </c>
      <c r="D293" s="11">
        <f>IF(OR(WEEKDAY(A293,2)&gt;=6,C293&lt;&gt;"",COUNTIF('1_祝日'!$D$4:$D$43,A293)&gt;0,AND($B$3=1,OR(AND(MONTH(A293)=12,DAY(A293)&gt;=29),AND(MONTH(A293)=1,DAY(A293)&lt;=3)))),1,0)</f>
        <v/>
      </c>
      <c r="E293" s="7" t="n"/>
      <c r="F293" s="11">
        <f>IF(OR(D293=1,E293=1),1,0)</f>
        <v/>
      </c>
      <c r="G293" s="11">
        <f>IF(F293=1,G292+1,0)</f>
        <v/>
      </c>
      <c r="H293" s="11">
        <f>IF(F293=1,H294+1,0)</f>
        <v/>
      </c>
      <c r="I293" s="11">
        <f>IF(AND(D293=1,E293=1),"もとから休み","")</f>
        <v/>
      </c>
      <c r="J293" s="11">
        <f>IF(F293=1,G293+H293-1,"")</f>
        <v/>
      </c>
      <c r="K293" s="11">
        <f>IF(D293=0,COUNTIF($D$7:D293,0),"")</f>
        <v/>
      </c>
    </row>
    <row r="294">
      <c r="A294" s="10">
        <f>DATE($B$2-1,12,1)+287</f>
        <v/>
      </c>
      <c r="B294" s="11">
        <f>TEXT(A294,"aaa")</f>
        <v/>
      </c>
      <c r="C294" s="12">
        <f>IFERROR(VLOOKUP(A294,'1_祝日'!$A$4:$B$83,2,FALSE),"")</f>
        <v/>
      </c>
      <c r="D294" s="11">
        <f>IF(OR(WEEKDAY(A294,2)&gt;=6,C294&lt;&gt;"",COUNTIF('1_祝日'!$D$4:$D$43,A294)&gt;0,AND($B$3=1,OR(AND(MONTH(A294)=12,DAY(A294)&gt;=29),AND(MONTH(A294)=1,DAY(A294)&lt;=3)))),1,0)</f>
        <v/>
      </c>
      <c r="E294" s="7" t="n"/>
      <c r="F294" s="11">
        <f>IF(OR(D294=1,E294=1),1,0)</f>
        <v/>
      </c>
      <c r="G294" s="11">
        <f>IF(F294=1,G293+1,0)</f>
        <v/>
      </c>
      <c r="H294" s="11">
        <f>IF(F294=1,H295+1,0)</f>
        <v/>
      </c>
      <c r="I294" s="11">
        <f>IF(AND(D294=1,E294=1),"もとから休み","")</f>
        <v/>
      </c>
      <c r="J294" s="11">
        <f>IF(F294=1,G294+H294-1,"")</f>
        <v/>
      </c>
      <c r="K294" s="11">
        <f>IF(D294=0,COUNTIF($D$7:D294,0),"")</f>
        <v/>
      </c>
    </row>
    <row r="295">
      <c r="A295" s="10">
        <f>DATE($B$2-1,12,1)+288</f>
        <v/>
      </c>
      <c r="B295" s="11">
        <f>TEXT(A295,"aaa")</f>
        <v/>
      </c>
      <c r="C295" s="12">
        <f>IFERROR(VLOOKUP(A295,'1_祝日'!$A$4:$B$83,2,FALSE),"")</f>
        <v/>
      </c>
      <c r="D295" s="11">
        <f>IF(OR(WEEKDAY(A295,2)&gt;=6,C295&lt;&gt;"",COUNTIF('1_祝日'!$D$4:$D$43,A295)&gt;0,AND($B$3=1,OR(AND(MONTH(A295)=12,DAY(A295)&gt;=29),AND(MONTH(A295)=1,DAY(A295)&lt;=3)))),1,0)</f>
        <v/>
      </c>
      <c r="E295" s="7" t="n"/>
      <c r="F295" s="11">
        <f>IF(OR(D295=1,E295=1),1,0)</f>
        <v/>
      </c>
      <c r="G295" s="11">
        <f>IF(F295=1,G294+1,0)</f>
        <v/>
      </c>
      <c r="H295" s="11">
        <f>IF(F295=1,H296+1,0)</f>
        <v/>
      </c>
      <c r="I295" s="11">
        <f>IF(AND(D295=1,E295=1),"もとから休み","")</f>
        <v/>
      </c>
      <c r="J295" s="11">
        <f>IF(F295=1,G295+H295-1,"")</f>
        <v/>
      </c>
      <c r="K295" s="11">
        <f>IF(D295=0,COUNTIF($D$7:D295,0),"")</f>
        <v/>
      </c>
    </row>
    <row r="296">
      <c r="A296" s="10">
        <f>DATE($B$2-1,12,1)+289</f>
        <v/>
      </c>
      <c r="B296" s="11">
        <f>TEXT(A296,"aaa")</f>
        <v/>
      </c>
      <c r="C296" s="12">
        <f>IFERROR(VLOOKUP(A296,'1_祝日'!$A$4:$B$83,2,FALSE),"")</f>
        <v/>
      </c>
      <c r="D296" s="11">
        <f>IF(OR(WEEKDAY(A296,2)&gt;=6,C296&lt;&gt;"",COUNTIF('1_祝日'!$D$4:$D$43,A296)&gt;0,AND($B$3=1,OR(AND(MONTH(A296)=12,DAY(A296)&gt;=29),AND(MONTH(A296)=1,DAY(A296)&lt;=3)))),1,0)</f>
        <v/>
      </c>
      <c r="E296" s="7" t="n"/>
      <c r="F296" s="11">
        <f>IF(OR(D296=1,E296=1),1,0)</f>
        <v/>
      </c>
      <c r="G296" s="11">
        <f>IF(F296=1,G295+1,0)</f>
        <v/>
      </c>
      <c r="H296" s="11">
        <f>IF(F296=1,H297+1,0)</f>
        <v/>
      </c>
      <c r="I296" s="11">
        <f>IF(AND(D296=1,E296=1),"もとから休み","")</f>
        <v/>
      </c>
      <c r="J296" s="11">
        <f>IF(F296=1,G296+H296-1,"")</f>
        <v/>
      </c>
      <c r="K296" s="11">
        <f>IF(D296=0,COUNTIF($D$7:D296,0),"")</f>
        <v/>
      </c>
    </row>
    <row r="297">
      <c r="A297" s="10">
        <f>DATE($B$2-1,12,1)+290</f>
        <v/>
      </c>
      <c r="B297" s="11">
        <f>TEXT(A297,"aaa")</f>
        <v/>
      </c>
      <c r="C297" s="12">
        <f>IFERROR(VLOOKUP(A297,'1_祝日'!$A$4:$B$83,2,FALSE),"")</f>
        <v/>
      </c>
      <c r="D297" s="11">
        <f>IF(OR(WEEKDAY(A297,2)&gt;=6,C297&lt;&gt;"",COUNTIF('1_祝日'!$D$4:$D$43,A297)&gt;0,AND($B$3=1,OR(AND(MONTH(A297)=12,DAY(A297)&gt;=29),AND(MONTH(A297)=1,DAY(A297)&lt;=3)))),1,0)</f>
        <v/>
      </c>
      <c r="E297" s="7" t="n"/>
      <c r="F297" s="11">
        <f>IF(OR(D297=1,E297=1),1,0)</f>
        <v/>
      </c>
      <c r="G297" s="11">
        <f>IF(F297=1,G296+1,0)</f>
        <v/>
      </c>
      <c r="H297" s="11">
        <f>IF(F297=1,H298+1,0)</f>
        <v/>
      </c>
      <c r="I297" s="11">
        <f>IF(AND(D297=1,E297=1),"もとから休み","")</f>
        <v/>
      </c>
      <c r="J297" s="11">
        <f>IF(F297=1,G297+H297-1,"")</f>
        <v/>
      </c>
      <c r="K297" s="11">
        <f>IF(D297=0,COUNTIF($D$7:D297,0),"")</f>
        <v/>
      </c>
    </row>
    <row r="298">
      <c r="A298" s="10">
        <f>DATE($B$2-1,12,1)+291</f>
        <v/>
      </c>
      <c r="B298" s="11">
        <f>TEXT(A298,"aaa")</f>
        <v/>
      </c>
      <c r="C298" s="12">
        <f>IFERROR(VLOOKUP(A298,'1_祝日'!$A$4:$B$83,2,FALSE),"")</f>
        <v/>
      </c>
      <c r="D298" s="11">
        <f>IF(OR(WEEKDAY(A298,2)&gt;=6,C298&lt;&gt;"",COUNTIF('1_祝日'!$D$4:$D$43,A298)&gt;0,AND($B$3=1,OR(AND(MONTH(A298)=12,DAY(A298)&gt;=29),AND(MONTH(A298)=1,DAY(A298)&lt;=3)))),1,0)</f>
        <v/>
      </c>
      <c r="E298" s="7" t="n"/>
      <c r="F298" s="11">
        <f>IF(OR(D298=1,E298=1),1,0)</f>
        <v/>
      </c>
      <c r="G298" s="11">
        <f>IF(F298=1,G297+1,0)</f>
        <v/>
      </c>
      <c r="H298" s="11">
        <f>IF(F298=1,H299+1,0)</f>
        <v/>
      </c>
      <c r="I298" s="11">
        <f>IF(AND(D298=1,E298=1),"もとから休み","")</f>
        <v/>
      </c>
      <c r="J298" s="11">
        <f>IF(F298=1,G298+H298-1,"")</f>
        <v/>
      </c>
      <c r="K298" s="11">
        <f>IF(D298=0,COUNTIF($D$7:D298,0),"")</f>
        <v/>
      </c>
    </row>
    <row r="299">
      <c r="A299" s="10">
        <f>DATE($B$2-1,12,1)+292</f>
        <v/>
      </c>
      <c r="B299" s="11">
        <f>TEXT(A299,"aaa")</f>
        <v/>
      </c>
      <c r="C299" s="12">
        <f>IFERROR(VLOOKUP(A299,'1_祝日'!$A$4:$B$83,2,FALSE),"")</f>
        <v/>
      </c>
      <c r="D299" s="11">
        <f>IF(OR(WEEKDAY(A299,2)&gt;=6,C299&lt;&gt;"",COUNTIF('1_祝日'!$D$4:$D$43,A299)&gt;0,AND($B$3=1,OR(AND(MONTH(A299)=12,DAY(A299)&gt;=29),AND(MONTH(A299)=1,DAY(A299)&lt;=3)))),1,0)</f>
        <v/>
      </c>
      <c r="E299" s="7" t="n"/>
      <c r="F299" s="11">
        <f>IF(OR(D299=1,E299=1),1,0)</f>
        <v/>
      </c>
      <c r="G299" s="11">
        <f>IF(F299=1,G298+1,0)</f>
        <v/>
      </c>
      <c r="H299" s="11">
        <f>IF(F299=1,H300+1,0)</f>
        <v/>
      </c>
      <c r="I299" s="11">
        <f>IF(AND(D299=1,E299=1),"もとから休み","")</f>
        <v/>
      </c>
      <c r="J299" s="11">
        <f>IF(F299=1,G299+H299-1,"")</f>
        <v/>
      </c>
      <c r="K299" s="11">
        <f>IF(D299=0,COUNTIF($D$7:D299,0),"")</f>
        <v/>
      </c>
    </row>
    <row r="300">
      <c r="A300" s="10">
        <f>DATE($B$2-1,12,1)+293</f>
        <v/>
      </c>
      <c r="B300" s="11">
        <f>TEXT(A300,"aaa")</f>
        <v/>
      </c>
      <c r="C300" s="12">
        <f>IFERROR(VLOOKUP(A300,'1_祝日'!$A$4:$B$83,2,FALSE),"")</f>
        <v/>
      </c>
      <c r="D300" s="11">
        <f>IF(OR(WEEKDAY(A300,2)&gt;=6,C300&lt;&gt;"",COUNTIF('1_祝日'!$D$4:$D$43,A300)&gt;0,AND($B$3=1,OR(AND(MONTH(A300)=12,DAY(A300)&gt;=29),AND(MONTH(A300)=1,DAY(A300)&lt;=3)))),1,0)</f>
        <v/>
      </c>
      <c r="E300" s="7" t="n"/>
      <c r="F300" s="11">
        <f>IF(OR(D300=1,E300=1),1,0)</f>
        <v/>
      </c>
      <c r="G300" s="11">
        <f>IF(F300=1,G299+1,0)</f>
        <v/>
      </c>
      <c r="H300" s="11">
        <f>IF(F300=1,H301+1,0)</f>
        <v/>
      </c>
      <c r="I300" s="11">
        <f>IF(AND(D300=1,E300=1),"もとから休み","")</f>
        <v/>
      </c>
      <c r="J300" s="11">
        <f>IF(F300=1,G300+H300-1,"")</f>
        <v/>
      </c>
      <c r="K300" s="11">
        <f>IF(D300=0,COUNTIF($D$7:D300,0),"")</f>
        <v/>
      </c>
    </row>
    <row r="301">
      <c r="A301" s="10">
        <f>DATE($B$2-1,12,1)+294</f>
        <v/>
      </c>
      <c r="B301" s="11">
        <f>TEXT(A301,"aaa")</f>
        <v/>
      </c>
      <c r="C301" s="12">
        <f>IFERROR(VLOOKUP(A301,'1_祝日'!$A$4:$B$83,2,FALSE),"")</f>
        <v/>
      </c>
      <c r="D301" s="11">
        <f>IF(OR(WEEKDAY(A301,2)&gt;=6,C301&lt;&gt;"",COUNTIF('1_祝日'!$D$4:$D$43,A301)&gt;0,AND($B$3=1,OR(AND(MONTH(A301)=12,DAY(A301)&gt;=29),AND(MONTH(A301)=1,DAY(A301)&lt;=3)))),1,0)</f>
        <v/>
      </c>
      <c r="E301" s="7" t="n">
        <v>1</v>
      </c>
      <c r="F301" s="11">
        <f>IF(OR(D301=1,E301=1),1,0)</f>
        <v/>
      </c>
      <c r="G301" s="11">
        <f>IF(F301=1,G300+1,0)</f>
        <v/>
      </c>
      <c r="H301" s="11">
        <f>IF(F301=1,H302+1,0)</f>
        <v/>
      </c>
      <c r="I301" s="11">
        <f>IF(AND(D301=1,E301=1),"もとから休み","")</f>
        <v/>
      </c>
      <c r="J301" s="11">
        <f>IF(F301=1,G301+H301-1,"")</f>
        <v/>
      </c>
      <c r="K301" s="11">
        <f>IF(D301=0,COUNTIF($D$7:D301,0),"")</f>
        <v/>
      </c>
    </row>
    <row r="302">
      <c r="A302" s="10">
        <f>DATE($B$2-1,12,1)+295</f>
        <v/>
      </c>
      <c r="B302" s="11">
        <f>TEXT(A302,"aaa")</f>
        <v/>
      </c>
      <c r="C302" s="12">
        <f>IFERROR(VLOOKUP(A302,'1_祝日'!$A$4:$B$83,2,FALSE),"")</f>
        <v/>
      </c>
      <c r="D302" s="11">
        <f>IF(OR(WEEKDAY(A302,2)&gt;=6,C302&lt;&gt;"",COUNTIF('1_祝日'!$D$4:$D$43,A302)&gt;0,AND($B$3=1,OR(AND(MONTH(A302)=12,DAY(A302)&gt;=29),AND(MONTH(A302)=1,DAY(A302)&lt;=3)))),1,0)</f>
        <v/>
      </c>
      <c r="E302" s="7" t="n">
        <v>1</v>
      </c>
      <c r="F302" s="11">
        <f>IF(OR(D302=1,E302=1),1,0)</f>
        <v/>
      </c>
      <c r="G302" s="11">
        <f>IF(F302=1,G301+1,0)</f>
        <v/>
      </c>
      <c r="H302" s="11">
        <f>IF(F302=1,H303+1,0)</f>
        <v/>
      </c>
      <c r="I302" s="11">
        <f>IF(AND(D302=1,E302=1),"もとから休み","")</f>
        <v/>
      </c>
      <c r="J302" s="11">
        <f>IF(F302=1,G302+H302-1,"")</f>
        <v/>
      </c>
      <c r="K302" s="11">
        <f>IF(D302=0,COUNTIF($D$7:D302,0),"")</f>
        <v/>
      </c>
    </row>
    <row r="303">
      <c r="A303" s="10">
        <f>DATE($B$2-1,12,1)+296</f>
        <v/>
      </c>
      <c r="B303" s="11">
        <f>TEXT(A303,"aaa")</f>
        <v/>
      </c>
      <c r="C303" s="12">
        <f>IFERROR(VLOOKUP(A303,'1_祝日'!$A$4:$B$83,2,FALSE),"")</f>
        <v/>
      </c>
      <c r="D303" s="11">
        <f>IF(OR(WEEKDAY(A303,2)&gt;=6,C303&lt;&gt;"",COUNTIF('1_祝日'!$D$4:$D$43,A303)&gt;0,AND($B$3=1,OR(AND(MONTH(A303)=12,DAY(A303)&gt;=29),AND(MONTH(A303)=1,DAY(A303)&lt;=3)))),1,0)</f>
        <v/>
      </c>
      <c r="E303" s="7" t="n"/>
      <c r="F303" s="11">
        <f>IF(OR(D303=1,E303=1),1,0)</f>
        <v/>
      </c>
      <c r="G303" s="11">
        <f>IF(F303=1,G302+1,0)</f>
        <v/>
      </c>
      <c r="H303" s="11">
        <f>IF(F303=1,H304+1,0)</f>
        <v/>
      </c>
      <c r="I303" s="11">
        <f>IF(AND(D303=1,E303=1),"もとから休み","")</f>
        <v/>
      </c>
      <c r="J303" s="11">
        <f>IF(F303=1,G303+H303-1,"")</f>
        <v/>
      </c>
      <c r="K303" s="11">
        <f>IF(D303=0,COUNTIF($D$7:D303,0),"")</f>
        <v/>
      </c>
    </row>
    <row r="304">
      <c r="A304" s="10">
        <f>DATE($B$2-1,12,1)+297</f>
        <v/>
      </c>
      <c r="B304" s="11">
        <f>TEXT(A304,"aaa")</f>
        <v/>
      </c>
      <c r="C304" s="12">
        <f>IFERROR(VLOOKUP(A304,'1_祝日'!$A$4:$B$83,2,FALSE),"")</f>
        <v/>
      </c>
      <c r="D304" s="11">
        <f>IF(OR(WEEKDAY(A304,2)&gt;=6,C304&lt;&gt;"",COUNTIF('1_祝日'!$D$4:$D$43,A304)&gt;0,AND($B$3=1,OR(AND(MONTH(A304)=12,DAY(A304)&gt;=29),AND(MONTH(A304)=1,DAY(A304)&lt;=3)))),1,0)</f>
        <v/>
      </c>
      <c r="E304" s="7" t="n"/>
      <c r="F304" s="11">
        <f>IF(OR(D304=1,E304=1),1,0)</f>
        <v/>
      </c>
      <c r="G304" s="11">
        <f>IF(F304=1,G303+1,0)</f>
        <v/>
      </c>
      <c r="H304" s="11">
        <f>IF(F304=1,H305+1,0)</f>
        <v/>
      </c>
      <c r="I304" s="11">
        <f>IF(AND(D304=1,E304=1),"もとから休み","")</f>
        <v/>
      </c>
      <c r="J304" s="11">
        <f>IF(F304=1,G304+H304-1,"")</f>
        <v/>
      </c>
      <c r="K304" s="11">
        <f>IF(D304=0,COUNTIF($D$7:D304,0),"")</f>
        <v/>
      </c>
    </row>
    <row r="305">
      <c r="A305" s="10">
        <f>DATE($B$2-1,12,1)+298</f>
        <v/>
      </c>
      <c r="B305" s="11">
        <f>TEXT(A305,"aaa")</f>
        <v/>
      </c>
      <c r="C305" s="12">
        <f>IFERROR(VLOOKUP(A305,'1_祝日'!$A$4:$B$83,2,FALSE),"")</f>
        <v/>
      </c>
      <c r="D305" s="11">
        <f>IF(OR(WEEKDAY(A305,2)&gt;=6,C305&lt;&gt;"",COUNTIF('1_祝日'!$D$4:$D$43,A305)&gt;0,AND($B$3=1,OR(AND(MONTH(A305)=12,DAY(A305)&gt;=29),AND(MONTH(A305)=1,DAY(A305)&lt;=3)))),1,0)</f>
        <v/>
      </c>
      <c r="E305" s="7" t="n"/>
      <c r="F305" s="11">
        <f>IF(OR(D305=1,E305=1),1,0)</f>
        <v/>
      </c>
      <c r="G305" s="11">
        <f>IF(F305=1,G304+1,0)</f>
        <v/>
      </c>
      <c r="H305" s="11">
        <f>IF(F305=1,H306+1,0)</f>
        <v/>
      </c>
      <c r="I305" s="11">
        <f>IF(AND(D305=1,E305=1),"もとから休み","")</f>
        <v/>
      </c>
      <c r="J305" s="11">
        <f>IF(F305=1,G305+H305-1,"")</f>
        <v/>
      </c>
      <c r="K305" s="11">
        <f>IF(D305=0,COUNTIF($D$7:D305,0),"")</f>
        <v/>
      </c>
    </row>
    <row r="306">
      <c r="A306" s="10">
        <f>DATE($B$2-1,12,1)+299</f>
        <v/>
      </c>
      <c r="B306" s="11">
        <f>TEXT(A306,"aaa")</f>
        <v/>
      </c>
      <c r="C306" s="12">
        <f>IFERROR(VLOOKUP(A306,'1_祝日'!$A$4:$B$83,2,FALSE),"")</f>
        <v/>
      </c>
      <c r="D306" s="11">
        <f>IF(OR(WEEKDAY(A306,2)&gt;=6,C306&lt;&gt;"",COUNTIF('1_祝日'!$D$4:$D$43,A306)&gt;0,AND($B$3=1,OR(AND(MONTH(A306)=12,DAY(A306)&gt;=29),AND(MONTH(A306)=1,DAY(A306)&lt;=3)))),1,0)</f>
        <v/>
      </c>
      <c r="E306" s="7" t="n"/>
      <c r="F306" s="11">
        <f>IF(OR(D306=1,E306=1),1,0)</f>
        <v/>
      </c>
      <c r="G306" s="11">
        <f>IF(F306=1,G305+1,0)</f>
        <v/>
      </c>
      <c r="H306" s="11">
        <f>IF(F306=1,H307+1,0)</f>
        <v/>
      </c>
      <c r="I306" s="11">
        <f>IF(AND(D306=1,E306=1),"もとから休み","")</f>
        <v/>
      </c>
      <c r="J306" s="11">
        <f>IF(F306=1,G306+H306-1,"")</f>
        <v/>
      </c>
      <c r="K306" s="11">
        <f>IF(D306=0,COUNTIF($D$7:D306,0),"")</f>
        <v/>
      </c>
    </row>
    <row r="307">
      <c r="A307" s="10">
        <f>DATE($B$2-1,12,1)+300</f>
        <v/>
      </c>
      <c r="B307" s="11">
        <f>TEXT(A307,"aaa")</f>
        <v/>
      </c>
      <c r="C307" s="12">
        <f>IFERROR(VLOOKUP(A307,'1_祝日'!$A$4:$B$83,2,FALSE),"")</f>
        <v/>
      </c>
      <c r="D307" s="11">
        <f>IF(OR(WEEKDAY(A307,2)&gt;=6,C307&lt;&gt;"",COUNTIF('1_祝日'!$D$4:$D$43,A307)&gt;0,AND($B$3=1,OR(AND(MONTH(A307)=12,DAY(A307)&gt;=29),AND(MONTH(A307)=1,DAY(A307)&lt;=3)))),1,0)</f>
        <v/>
      </c>
      <c r="E307" s="7" t="n"/>
      <c r="F307" s="11">
        <f>IF(OR(D307=1,E307=1),1,0)</f>
        <v/>
      </c>
      <c r="G307" s="11">
        <f>IF(F307=1,G306+1,0)</f>
        <v/>
      </c>
      <c r="H307" s="11">
        <f>IF(F307=1,H308+1,0)</f>
        <v/>
      </c>
      <c r="I307" s="11">
        <f>IF(AND(D307=1,E307=1),"もとから休み","")</f>
        <v/>
      </c>
      <c r="J307" s="11">
        <f>IF(F307=1,G307+H307-1,"")</f>
        <v/>
      </c>
      <c r="K307" s="11">
        <f>IF(D307=0,COUNTIF($D$7:D307,0),"")</f>
        <v/>
      </c>
    </row>
    <row r="308">
      <c r="A308" s="10">
        <f>DATE($B$2-1,12,1)+301</f>
        <v/>
      </c>
      <c r="B308" s="11">
        <f>TEXT(A308,"aaa")</f>
        <v/>
      </c>
      <c r="C308" s="12">
        <f>IFERROR(VLOOKUP(A308,'1_祝日'!$A$4:$B$83,2,FALSE),"")</f>
        <v/>
      </c>
      <c r="D308" s="11">
        <f>IF(OR(WEEKDAY(A308,2)&gt;=6,C308&lt;&gt;"",COUNTIF('1_祝日'!$D$4:$D$43,A308)&gt;0,AND($B$3=1,OR(AND(MONTH(A308)=12,DAY(A308)&gt;=29),AND(MONTH(A308)=1,DAY(A308)&lt;=3)))),1,0)</f>
        <v/>
      </c>
      <c r="E308" s="7" t="n"/>
      <c r="F308" s="11">
        <f>IF(OR(D308=1,E308=1),1,0)</f>
        <v/>
      </c>
      <c r="G308" s="11">
        <f>IF(F308=1,G307+1,0)</f>
        <v/>
      </c>
      <c r="H308" s="11">
        <f>IF(F308=1,H309+1,0)</f>
        <v/>
      </c>
      <c r="I308" s="11">
        <f>IF(AND(D308=1,E308=1),"もとから休み","")</f>
        <v/>
      </c>
      <c r="J308" s="11">
        <f>IF(F308=1,G308+H308-1,"")</f>
        <v/>
      </c>
      <c r="K308" s="11">
        <f>IF(D308=0,COUNTIF($D$7:D308,0),"")</f>
        <v/>
      </c>
    </row>
    <row r="309">
      <c r="A309" s="10">
        <f>DATE($B$2-1,12,1)+302</f>
        <v/>
      </c>
      <c r="B309" s="11">
        <f>TEXT(A309,"aaa")</f>
        <v/>
      </c>
      <c r="C309" s="12">
        <f>IFERROR(VLOOKUP(A309,'1_祝日'!$A$4:$B$83,2,FALSE),"")</f>
        <v/>
      </c>
      <c r="D309" s="11">
        <f>IF(OR(WEEKDAY(A309,2)&gt;=6,C309&lt;&gt;"",COUNTIF('1_祝日'!$D$4:$D$43,A309)&gt;0,AND($B$3=1,OR(AND(MONTH(A309)=12,DAY(A309)&gt;=29),AND(MONTH(A309)=1,DAY(A309)&lt;=3)))),1,0)</f>
        <v/>
      </c>
      <c r="E309" s="7" t="n"/>
      <c r="F309" s="11">
        <f>IF(OR(D309=1,E309=1),1,0)</f>
        <v/>
      </c>
      <c r="G309" s="11">
        <f>IF(F309=1,G308+1,0)</f>
        <v/>
      </c>
      <c r="H309" s="11">
        <f>IF(F309=1,H310+1,0)</f>
        <v/>
      </c>
      <c r="I309" s="11">
        <f>IF(AND(D309=1,E309=1),"もとから休み","")</f>
        <v/>
      </c>
      <c r="J309" s="11">
        <f>IF(F309=1,G309+H309-1,"")</f>
        <v/>
      </c>
      <c r="K309" s="11">
        <f>IF(D309=0,COUNTIF($D$7:D309,0),"")</f>
        <v/>
      </c>
    </row>
    <row r="310">
      <c r="A310" s="10">
        <f>DATE($B$2-1,12,1)+303</f>
        <v/>
      </c>
      <c r="B310" s="11">
        <f>TEXT(A310,"aaa")</f>
        <v/>
      </c>
      <c r="C310" s="12">
        <f>IFERROR(VLOOKUP(A310,'1_祝日'!$A$4:$B$83,2,FALSE),"")</f>
        <v/>
      </c>
      <c r="D310" s="11">
        <f>IF(OR(WEEKDAY(A310,2)&gt;=6,C310&lt;&gt;"",COUNTIF('1_祝日'!$D$4:$D$43,A310)&gt;0,AND($B$3=1,OR(AND(MONTH(A310)=12,DAY(A310)&gt;=29),AND(MONTH(A310)=1,DAY(A310)&lt;=3)))),1,0)</f>
        <v/>
      </c>
      <c r="E310" s="7" t="n"/>
      <c r="F310" s="11">
        <f>IF(OR(D310=1,E310=1),1,0)</f>
        <v/>
      </c>
      <c r="G310" s="11">
        <f>IF(F310=1,G309+1,0)</f>
        <v/>
      </c>
      <c r="H310" s="11">
        <f>IF(F310=1,H311+1,0)</f>
        <v/>
      </c>
      <c r="I310" s="11">
        <f>IF(AND(D310=1,E310=1),"もとから休み","")</f>
        <v/>
      </c>
      <c r="J310" s="11">
        <f>IF(F310=1,G310+H310-1,"")</f>
        <v/>
      </c>
      <c r="K310" s="11">
        <f>IF(D310=0,COUNTIF($D$7:D310,0),"")</f>
        <v/>
      </c>
    </row>
    <row r="311">
      <c r="A311" s="10">
        <f>DATE($B$2-1,12,1)+304</f>
        <v/>
      </c>
      <c r="B311" s="11">
        <f>TEXT(A311,"aaa")</f>
        <v/>
      </c>
      <c r="C311" s="12">
        <f>IFERROR(VLOOKUP(A311,'1_祝日'!$A$4:$B$83,2,FALSE),"")</f>
        <v/>
      </c>
      <c r="D311" s="11">
        <f>IF(OR(WEEKDAY(A311,2)&gt;=6,C311&lt;&gt;"",COUNTIF('1_祝日'!$D$4:$D$43,A311)&gt;0,AND($B$3=1,OR(AND(MONTH(A311)=12,DAY(A311)&gt;=29),AND(MONTH(A311)=1,DAY(A311)&lt;=3)))),1,0)</f>
        <v/>
      </c>
      <c r="E311" s="7" t="n"/>
      <c r="F311" s="11">
        <f>IF(OR(D311=1,E311=1),1,0)</f>
        <v/>
      </c>
      <c r="G311" s="11">
        <f>IF(F311=1,G310+1,0)</f>
        <v/>
      </c>
      <c r="H311" s="11">
        <f>IF(F311=1,H312+1,0)</f>
        <v/>
      </c>
      <c r="I311" s="11">
        <f>IF(AND(D311=1,E311=1),"もとから休み","")</f>
        <v/>
      </c>
      <c r="J311" s="11">
        <f>IF(F311=1,G311+H311-1,"")</f>
        <v/>
      </c>
      <c r="K311" s="11">
        <f>IF(D311=0,COUNTIF($D$7:D311,0),"")</f>
        <v/>
      </c>
    </row>
    <row r="312">
      <c r="A312" s="10">
        <f>DATE($B$2-1,12,1)+305</f>
        <v/>
      </c>
      <c r="B312" s="11">
        <f>TEXT(A312,"aaa")</f>
        <v/>
      </c>
      <c r="C312" s="12">
        <f>IFERROR(VLOOKUP(A312,'1_祝日'!$A$4:$B$83,2,FALSE),"")</f>
        <v/>
      </c>
      <c r="D312" s="11">
        <f>IF(OR(WEEKDAY(A312,2)&gt;=6,C312&lt;&gt;"",COUNTIF('1_祝日'!$D$4:$D$43,A312)&gt;0,AND($B$3=1,OR(AND(MONTH(A312)=12,DAY(A312)&gt;=29),AND(MONTH(A312)=1,DAY(A312)&lt;=3)))),1,0)</f>
        <v/>
      </c>
      <c r="E312" s="7" t="n"/>
      <c r="F312" s="11">
        <f>IF(OR(D312=1,E312=1),1,0)</f>
        <v/>
      </c>
      <c r="G312" s="11">
        <f>IF(F312=1,G311+1,0)</f>
        <v/>
      </c>
      <c r="H312" s="11">
        <f>IF(F312=1,H313+1,0)</f>
        <v/>
      </c>
      <c r="I312" s="11">
        <f>IF(AND(D312=1,E312=1),"もとから休み","")</f>
        <v/>
      </c>
      <c r="J312" s="11">
        <f>IF(F312=1,G312+H312-1,"")</f>
        <v/>
      </c>
      <c r="K312" s="11">
        <f>IF(D312=0,COUNTIF($D$7:D312,0),"")</f>
        <v/>
      </c>
    </row>
    <row r="313">
      <c r="A313" s="10">
        <f>DATE($B$2-1,12,1)+306</f>
        <v/>
      </c>
      <c r="B313" s="11">
        <f>TEXT(A313,"aaa")</f>
        <v/>
      </c>
      <c r="C313" s="12">
        <f>IFERROR(VLOOKUP(A313,'1_祝日'!$A$4:$B$83,2,FALSE),"")</f>
        <v/>
      </c>
      <c r="D313" s="11">
        <f>IF(OR(WEEKDAY(A313,2)&gt;=6,C313&lt;&gt;"",COUNTIF('1_祝日'!$D$4:$D$43,A313)&gt;0,AND($B$3=1,OR(AND(MONTH(A313)=12,DAY(A313)&gt;=29),AND(MONTH(A313)=1,DAY(A313)&lt;=3)))),1,0)</f>
        <v/>
      </c>
      <c r="E313" s="7" t="n"/>
      <c r="F313" s="11">
        <f>IF(OR(D313=1,E313=1),1,0)</f>
        <v/>
      </c>
      <c r="G313" s="11">
        <f>IF(F313=1,G312+1,0)</f>
        <v/>
      </c>
      <c r="H313" s="11">
        <f>IF(F313=1,H314+1,0)</f>
        <v/>
      </c>
      <c r="I313" s="11">
        <f>IF(AND(D313=1,E313=1),"もとから休み","")</f>
        <v/>
      </c>
      <c r="J313" s="11">
        <f>IF(F313=1,G313+H313-1,"")</f>
        <v/>
      </c>
      <c r="K313" s="11">
        <f>IF(D313=0,COUNTIF($D$7:D313,0),"")</f>
        <v/>
      </c>
    </row>
    <row r="314">
      <c r="A314" s="10">
        <f>DATE($B$2-1,12,1)+307</f>
        <v/>
      </c>
      <c r="B314" s="11">
        <f>TEXT(A314,"aaa")</f>
        <v/>
      </c>
      <c r="C314" s="12">
        <f>IFERROR(VLOOKUP(A314,'1_祝日'!$A$4:$B$83,2,FALSE),"")</f>
        <v/>
      </c>
      <c r="D314" s="11">
        <f>IF(OR(WEEKDAY(A314,2)&gt;=6,C314&lt;&gt;"",COUNTIF('1_祝日'!$D$4:$D$43,A314)&gt;0,AND($B$3=1,OR(AND(MONTH(A314)=12,DAY(A314)&gt;=29),AND(MONTH(A314)=1,DAY(A314)&lt;=3)))),1,0)</f>
        <v/>
      </c>
      <c r="E314" s="7" t="n"/>
      <c r="F314" s="11">
        <f>IF(OR(D314=1,E314=1),1,0)</f>
        <v/>
      </c>
      <c r="G314" s="11">
        <f>IF(F314=1,G313+1,0)</f>
        <v/>
      </c>
      <c r="H314" s="11">
        <f>IF(F314=1,H315+1,0)</f>
        <v/>
      </c>
      <c r="I314" s="11">
        <f>IF(AND(D314=1,E314=1),"もとから休み","")</f>
        <v/>
      </c>
      <c r="J314" s="11">
        <f>IF(F314=1,G314+H314-1,"")</f>
        <v/>
      </c>
      <c r="K314" s="11">
        <f>IF(D314=0,COUNTIF($D$7:D314,0),"")</f>
        <v/>
      </c>
    </row>
    <row r="315">
      <c r="A315" s="10">
        <f>DATE($B$2-1,12,1)+308</f>
        <v/>
      </c>
      <c r="B315" s="11">
        <f>TEXT(A315,"aaa")</f>
        <v/>
      </c>
      <c r="C315" s="12">
        <f>IFERROR(VLOOKUP(A315,'1_祝日'!$A$4:$B$83,2,FALSE),"")</f>
        <v/>
      </c>
      <c r="D315" s="11">
        <f>IF(OR(WEEKDAY(A315,2)&gt;=6,C315&lt;&gt;"",COUNTIF('1_祝日'!$D$4:$D$43,A315)&gt;0,AND($B$3=1,OR(AND(MONTH(A315)=12,DAY(A315)&gt;=29),AND(MONTH(A315)=1,DAY(A315)&lt;=3)))),1,0)</f>
        <v/>
      </c>
      <c r="E315" s="7" t="n"/>
      <c r="F315" s="11">
        <f>IF(OR(D315=1,E315=1),1,0)</f>
        <v/>
      </c>
      <c r="G315" s="11">
        <f>IF(F315=1,G314+1,0)</f>
        <v/>
      </c>
      <c r="H315" s="11">
        <f>IF(F315=1,H316+1,0)</f>
        <v/>
      </c>
      <c r="I315" s="11">
        <f>IF(AND(D315=1,E315=1),"もとから休み","")</f>
        <v/>
      </c>
      <c r="J315" s="11">
        <f>IF(F315=1,G315+H315-1,"")</f>
        <v/>
      </c>
      <c r="K315" s="11">
        <f>IF(D315=0,COUNTIF($D$7:D315,0),"")</f>
        <v/>
      </c>
    </row>
    <row r="316">
      <c r="A316" s="10">
        <f>DATE($B$2-1,12,1)+309</f>
        <v/>
      </c>
      <c r="B316" s="11">
        <f>TEXT(A316,"aaa")</f>
        <v/>
      </c>
      <c r="C316" s="12">
        <f>IFERROR(VLOOKUP(A316,'1_祝日'!$A$4:$B$83,2,FALSE),"")</f>
        <v/>
      </c>
      <c r="D316" s="11">
        <f>IF(OR(WEEKDAY(A316,2)&gt;=6,C316&lt;&gt;"",COUNTIF('1_祝日'!$D$4:$D$43,A316)&gt;0,AND($B$3=1,OR(AND(MONTH(A316)=12,DAY(A316)&gt;=29),AND(MONTH(A316)=1,DAY(A316)&lt;=3)))),1,0)</f>
        <v/>
      </c>
      <c r="E316" s="7" t="n"/>
      <c r="F316" s="11">
        <f>IF(OR(D316=1,E316=1),1,0)</f>
        <v/>
      </c>
      <c r="G316" s="11">
        <f>IF(F316=1,G315+1,0)</f>
        <v/>
      </c>
      <c r="H316" s="11">
        <f>IF(F316=1,H317+1,0)</f>
        <v/>
      </c>
      <c r="I316" s="11">
        <f>IF(AND(D316=1,E316=1),"もとから休み","")</f>
        <v/>
      </c>
      <c r="J316" s="11">
        <f>IF(F316=1,G316+H316-1,"")</f>
        <v/>
      </c>
      <c r="K316" s="11">
        <f>IF(D316=0,COUNTIF($D$7:D316,0),"")</f>
        <v/>
      </c>
    </row>
    <row r="317">
      <c r="A317" s="10">
        <f>DATE($B$2-1,12,1)+310</f>
        <v/>
      </c>
      <c r="B317" s="11">
        <f>TEXT(A317,"aaa")</f>
        <v/>
      </c>
      <c r="C317" s="12">
        <f>IFERROR(VLOOKUP(A317,'1_祝日'!$A$4:$B$83,2,FALSE),"")</f>
        <v/>
      </c>
      <c r="D317" s="11">
        <f>IF(OR(WEEKDAY(A317,2)&gt;=6,C317&lt;&gt;"",COUNTIF('1_祝日'!$D$4:$D$43,A317)&gt;0,AND($B$3=1,OR(AND(MONTH(A317)=12,DAY(A317)&gt;=29),AND(MONTH(A317)=1,DAY(A317)&lt;=3)))),1,0)</f>
        <v/>
      </c>
      <c r="E317" s="7" t="n"/>
      <c r="F317" s="11">
        <f>IF(OR(D317=1,E317=1),1,0)</f>
        <v/>
      </c>
      <c r="G317" s="11">
        <f>IF(F317=1,G316+1,0)</f>
        <v/>
      </c>
      <c r="H317" s="11">
        <f>IF(F317=1,H318+1,0)</f>
        <v/>
      </c>
      <c r="I317" s="11">
        <f>IF(AND(D317=1,E317=1),"もとから休み","")</f>
        <v/>
      </c>
      <c r="J317" s="11">
        <f>IF(F317=1,G317+H317-1,"")</f>
        <v/>
      </c>
      <c r="K317" s="11">
        <f>IF(D317=0,COUNTIF($D$7:D317,0),"")</f>
        <v/>
      </c>
    </row>
    <row r="318">
      <c r="A318" s="10">
        <f>DATE($B$2-1,12,1)+311</f>
        <v/>
      </c>
      <c r="B318" s="11">
        <f>TEXT(A318,"aaa")</f>
        <v/>
      </c>
      <c r="C318" s="12">
        <f>IFERROR(VLOOKUP(A318,'1_祝日'!$A$4:$B$83,2,FALSE),"")</f>
        <v/>
      </c>
      <c r="D318" s="11">
        <f>IF(OR(WEEKDAY(A318,2)&gt;=6,C318&lt;&gt;"",COUNTIF('1_祝日'!$D$4:$D$43,A318)&gt;0,AND($B$3=1,OR(AND(MONTH(A318)=12,DAY(A318)&gt;=29),AND(MONTH(A318)=1,DAY(A318)&lt;=3)))),1,0)</f>
        <v/>
      </c>
      <c r="E318" s="7" t="n"/>
      <c r="F318" s="11">
        <f>IF(OR(D318=1,E318=1),1,0)</f>
        <v/>
      </c>
      <c r="G318" s="11">
        <f>IF(F318=1,G317+1,0)</f>
        <v/>
      </c>
      <c r="H318" s="11">
        <f>IF(F318=1,H319+1,0)</f>
        <v/>
      </c>
      <c r="I318" s="11">
        <f>IF(AND(D318=1,E318=1),"もとから休み","")</f>
        <v/>
      </c>
      <c r="J318" s="11">
        <f>IF(F318=1,G318+H318-1,"")</f>
        <v/>
      </c>
      <c r="K318" s="11">
        <f>IF(D318=0,COUNTIF($D$7:D318,0),"")</f>
        <v/>
      </c>
    </row>
    <row r="319">
      <c r="A319" s="10">
        <f>DATE($B$2-1,12,1)+312</f>
        <v/>
      </c>
      <c r="B319" s="11">
        <f>TEXT(A319,"aaa")</f>
        <v/>
      </c>
      <c r="C319" s="12">
        <f>IFERROR(VLOOKUP(A319,'1_祝日'!$A$4:$B$83,2,FALSE),"")</f>
        <v/>
      </c>
      <c r="D319" s="11">
        <f>IF(OR(WEEKDAY(A319,2)&gt;=6,C319&lt;&gt;"",COUNTIF('1_祝日'!$D$4:$D$43,A319)&gt;0,AND($B$3=1,OR(AND(MONTH(A319)=12,DAY(A319)&gt;=29),AND(MONTH(A319)=1,DAY(A319)&lt;=3)))),1,0)</f>
        <v/>
      </c>
      <c r="E319" s="7" t="n"/>
      <c r="F319" s="11">
        <f>IF(OR(D319=1,E319=1),1,0)</f>
        <v/>
      </c>
      <c r="G319" s="11">
        <f>IF(F319=1,G318+1,0)</f>
        <v/>
      </c>
      <c r="H319" s="11">
        <f>IF(F319=1,H320+1,0)</f>
        <v/>
      </c>
      <c r="I319" s="11">
        <f>IF(AND(D319=1,E319=1),"もとから休み","")</f>
        <v/>
      </c>
      <c r="J319" s="11">
        <f>IF(F319=1,G319+H319-1,"")</f>
        <v/>
      </c>
      <c r="K319" s="11">
        <f>IF(D319=0,COUNTIF($D$7:D319,0),"")</f>
        <v/>
      </c>
    </row>
    <row r="320">
      <c r="A320" s="10">
        <f>DATE($B$2-1,12,1)+313</f>
        <v/>
      </c>
      <c r="B320" s="11">
        <f>TEXT(A320,"aaa")</f>
        <v/>
      </c>
      <c r="C320" s="12">
        <f>IFERROR(VLOOKUP(A320,'1_祝日'!$A$4:$B$83,2,FALSE),"")</f>
        <v/>
      </c>
      <c r="D320" s="11">
        <f>IF(OR(WEEKDAY(A320,2)&gt;=6,C320&lt;&gt;"",COUNTIF('1_祝日'!$D$4:$D$43,A320)&gt;0,AND($B$3=1,OR(AND(MONTH(A320)=12,DAY(A320)&gt;=29),AND(MONTH(A320)=1,DAY(A320)&lt;=3)))),1,0)</f>
        <v/>
      </c>
      <c r="E320" s="7" t="n"/>
      <c r="F320" s="11">
        <f>IF(OR(D320=1,E320=1),1,0)</f>
        <v/>
      </c>
      <c r="G320" s="11">
        <f>IF(F320=1,G319+1,0)</f>
        <v/>
      </c>
      <c r="H320" s="11">
        <f>IF(F320=1,H321+1,0)</f>
        <v/>
      </c>
      <c r="I320" s="11">
        <f>IF(AND(D320=1,E320=1),"もとから休み","")</f>
        <v/>
      </c>
      <c r="J320" s="11">
        <f>IF(F320=1,G320+H320-1,"")</f>
        <v/>
      </c>
      <c r="K320" s="11">
        <f>IF(D320=0,COUNTIF($D$7:D320,0),"")</f>
        <v/>
      </c>
    </row>
    <row r="321">
      <c r="A321" s="10">
        <f>DATE($B$2-1,12,1)+314</f>
        <v/>
      </c>
      <c r="B321" s="11">
        <f>TEXT(A321,"aaa")</f>
        <v/>
      </c>
      <c r="C321" s="12">
        <f>IFERROR(VLOOKUP(A321,'1_祝日'!$A$4:$B$83,2,FALSE),"")</f>
        <v/>
      </c>
      <c r="D321" s="11">
        <f>IF(OR(WEEKDAY(A321,2)&gt;=6,C321&lt;&gt;"",COUNTIF('1_祝日'!$D$4:$D$43,A321)&gt;0,AND($B$3=1,OR(AND(MONTH(A321)=12,DAY(A321)&gt;=29),AND(MONTH(A321)=1,DAY(A321)&lt;=3)))),1,0)</f>
        <v/>
      </c>
      <c r="E321" s="7" t="n"/>
      <c r="F321" s="11">
        <f>IF(OR(D321=1,E321=1),1,0)</f>
        <v/>
      </c>
      <c r="G321" s="11">
        <f>IF(F321=1,G320+1,0)</f>
        <v/>
      </c>
      <c r="H321" s="11">
        <f>IF(F321=1,H322+1,0)</f>
        <v/>
      </c>
      <c r="I321" s="11">
        <f>IF(AND(D321=1,E321=1),"もとから休み","")</f>
        <v/>
      </c>
      <c r="J321" s="11">
        <f>IF(F321=1,G321+H321-1,"")</f>
        <v/>
      </c>
      <c r="K321" s="11">
        <f>IF(D321=0,COUNTIF($D$7:D321,0),"")</f>
        <v/>
      </c>
    </row>
    <row r="322">
      <c r="A322" s="10">
        <f>DATE($B$2-1,12,1)+315</f>
        <v/>
      </c>
      <c r="B322" s="11">
        <f>TEXT(A322,"aaa")</f>
        <v/>
      </c>
      <c r="C322" s="12">
        <f>IFERROR(VLOOKUP(A322,'1_祝日'!$A$4:$B$83,2,FALSE),"")</f>
        <v/>
      </c>
      <c r="D322" s="11">
        <f>IF(OR(WEEKDAY(A322,2)&gt;=6,C322&lt;&gt;"",COUNTIF('1_祝日'!$D$4:$D$43,A322)&gt;0,AND($B$3=1,OR(AND(MONTH(A322)=12,DAY(A322)&gt;=29),AND(MONTH(A322)=1,DAY(A322)&lt;=3)))),1,0)</f>
        <v/>
      </c>
      <c r="E322" s="7" t="n"/>
      <c r="F322" s="11">
        <f>IF(OR(D322=1,E322=1),1,0)</f>
        <v/>
      </c>
      <c r="G322" s="11">
        <f>IF(F322=1,G321+1,0)</f>
        <v/>
      </c>
      <c r="H322" s="11">
        <f>IF(F322=1,H323+1,0)</f>
        <v/>
      </c>
      <c r="I322" s="11">
        <f>IF(AND(D322=1,E322=1),"もとから休み","")</f>
        <v/>
      </c>
      <c r="J322" s="11">
        <f>IF(F322=1,G322+H322-1,"")</f>
        <v/>
      </c>
      <c r="K322" s="11">
        <f>IF(D322=0,COUNTIF($D$7:D322,0),"")</f>
        <v/>
      </c>
    </row>
    <row r="323">
      <c r="A323" s="10">
        <f>DATE($B$2-1,12,1)+316</f>
        <v/>
      </c>
      <c r="B323" s="11">
        <f>TEXT(A323,"aaa")</f>
        <v/>
      </c>
      <c r="C323" s="12">
        <f>IFERROR(VLOOKUP(A323,'1_祝日'!$A$4:$B$83,2,FALSE),"")</f>
        <v/>
      </c>
      <c r="D323" s="11">
        <f>IF(OR(WEEKDAY(A323,2)&gt;=6,C323&lt;&gt;"",COUNTIF('1_祝日'!$D$4:$D$43,A323)&gt;0,AND($B$3=1,OR(AND(MONTH(A323)=12,DAY(A323)&gt;=29),AND(MONTH(A323)=1,DAY(A323)&lt;=3)))),1,0)</f>
        <v/>
      </c>
      <c r="E323" s="7" t="n"/>
      <c r="F323" s="11">
        <f>IF(OR(D323=1,E323=1),1,0)</f>
        <v/>
      </c>
      <c r="G323" s="11">
        <f>IF(F323=1,G322+1,0)</f>
        <v/>
      </c>
      <c r="H323" s="11">
        <f>IF(F323=1,H324+1,0)</f>
        <v/>
      </c>
      <c r="I323" s="11">
        <f>IF(AND(D323=1,E323=1),"もとから休み","")</f>
        <v/>
      </c>
      <c r="J323" s="11">
        <f>IF(F323=1,G323+H323-1,"")</f>
        <v/>
      </c>
      <c r="K323" s="11">
        <f>IF(D323=0,COUNTIF($D$7:D323,0),"")</f>
        <v/>
      </c>
    </row>
    <row r="324">
      <c r="A324" s="10">
        <f>DATE($B$2-1,12,1)+317</f>
        <v/>
      </c>
      <c r="B324" s="11">
        <f>TEXT(A324,"aaa")</f>
        <v/>
      </c>
      <c r="C324" s="12">
        <f>IFERROR(VLOOKUP(A324,'1_祝日'!$A$4:$B$83,2,FALSE),"")</f>
        <v/>
      </c>
      <c r="D324" s="11">
        <f>IF(OR(WEEKDAY(A324,2)&gt;=6,C324&lt;&gt;"",COUNTIF('1_祝日'!$D$4:$D$43,A324)&gt;0,AND($B$3=1,OR(AND(MONTH(A324)=12,DAY(A324)&gt;=29),AND(MONTH(A324)=1,DAY(A324)&lt;=3)))),1,0)</f>
        <v/>
      </c>
      <c r="E324" s="7" t="n"/>
      <c r="F324" s="11">
        <f>IF(OR(D324=1,E324=1),1,0)</f>
        <v/>
      </c>
      <c r="G324" s="11">
        <f>IF(F324=1,G323+1,0)</f>
        <v/>
      </c>
      <c r="H324" s="11">
        <f>IF(F324=1,H325+1,0)</f>
        <v/>
      </c>
      <c r="I324" s="11">
        <f>IF(AND(D324=1,E324=1),"もとから休み","")</f>
        <v/>
      </c>
      <c r="J324" s="11">
        <f>IF(F324=1,G324+H324-1,"")</f>
        <v/>
      </c>
      <c r="K324" s="11">
        <f>IF(D324=0,COUNTIF($D$7:D324,0),"")</f>
        <v/>
      </c>
    </row>
    <row r="325">
      <c r="A325" s="10">
        <f>DATE($B$2-1,12,1)+318</f>
        <v/>
      </c>
      <c r="B325" s="11">
        <f>TEXT(A325,"aaa")</f>
        <v/>
      </c>
      <c r="C325" s="12">
        <f>IFERROR(VLOOKUP(A325,'1_祝日'!$A$4:$B$83,2,FALSE),"")</f>
        <v/>
      </c>
      <c r="D325" s="11">
        <f>IF(OR(WEEKDAY(A325,2)&gt;=6,C325&lt;&gt;"",COUNTIF('1_祝日'!$D$4:$D$43,A325)&gt;0,AND($B$3=1,OR(AND(MONTH(A325)=12,DAY(A325)&gt;=29),AND(MONTH(A325)=1,DAY(A325)&lt;=3)))),1,0)</f>
        <v/>
      </c>
      <c r="E325" s="7" t="n"/>
      <c r="F325" s="11">
        <f>IF(OR(D325=1,E325=1),1,0)</f>
        <v/>
      </c>
      <c r="G325" s="11">
        <f>IF(F325=1,G324+1,0)</f>
        <v/>
      </c>
      <c r="H325" s="11">
        <f>IF(F325=1,H326+1,0)</f>
        <v/>
      </c>
      <c r="I325" s="11">
        <f>IF(AND(D325=1,E325=1),"もとから休み","")</f>
        <v/>
      </c>
      <c r="J325" s="11">
        <f>IF(F325=1,G325+H325-1,"")</f>
        <v/>
      </c>
      <c r="K325" s="11">
        <f>IF(D325=0,COUNTIF($D$7:D325,0),"")</f>
        <v/>
      </c>
    </row>
    <row r="326">
      <c r="A326" s="10">
        <f>DATE($B$2-1,12,1)+319</f>
        <v/>
      </c>
      <c r="B326" s="11">
        <f>TEXT(A326,"aaa")</f>
        <v/>
      </c>
      <c r="C326" s="12">
        <f>IFERROR(VLOOKUP(A326,'1_祝日'!$A$4:$B$83,2,FALSE),"")</f>
        <v/>
      </c>
      <c r="D326" s="11">
        <f>IF(OR(WEEKDAY(A326,2)&gt;=6,C326&lt;&gt;"",COUNTIF('1_祝日'!$D$4:$D$43,A326)&gt;0,AND($B$3=1,OR(AND(MONTH(A326)=12,DAY(A326)&gt;=29),AND(MONTH(A326)=1,DAY(A326)&lt;=3)))),1,0)</f>
        <v/>
      </c>
      <c r="E326" s="7" t="n"/>
      <c r="F326" s="11">
        <f>IF(OR(D326=1,E326=1),1,0)</f>
        <v/>
      </c>
      <c r="G326" s="11">
        <f>IF(F326=1,G325+1,0)</f>
        <v/>
      </c>
      <c r="H326" s="11">
        <f>IF(F326=1,H327+1,0)</f>
        <v/>
      </c>
      <c r="I326" s="11">
        <f>IF(AND(D326=1,E326=1),"もとから休み","")</f>
        <v/>
      </c>
      <c r="J326" s="11">
        <f>IF(F326=1,G326+H326-1,"")</f>
        <v/>
      </c>
      <c r="K326" s="11">
        <f>IF(D326=0,COUNTIF($D$7:D326,0),"")</f>
        <v/>
      </c>
    </row>
    <row r="327">
      <c r="A327" s="10">
        <f>DATE($B$2-1,12,1)+320</f>
        <v/>
      </c>
      <c r="B327" s="11">
        <f>TEXT(A327,"aaa")</f>
        <v/>
      </c>
      <c r="C327" s="12">
        <f>IFERROR(VLOOKUP(A327,'1_祝日'!$A$4:$B$83,2,FALSE),"")</f>
        <v/>
      </c>
      <c r="D327" s="11">
        <f>IF(OR(WEEKDAY(A327,2)&gt;=6,C327&lt;&gt;"",COUNTIF('1_祝日'!$D$4:$D$43,A327)&gt;0,AND($B$3=1,OR(AND(MONTH(A327)=12,DAY(A327)&gt;=29),AND(MONTH(A327)=1,DAY(A327)&lt;=3)))),1,0)</f>
        <v/>
      </c>
      <c r="E327" s="7" t="n"/>
      <c r="F327" s="11">
        <f>IF(OR(D327=1,E327=1),1,0)</f>
        <v/>
      </c>
      <c r="G327" s="11">
        <f>IF(F327=1,G326+1,0)</f>
        <v/>
      </c>
      <c r="H327" s="11">
        <f>IF(F327=1,H328+1,0)</f>
        <v/>
      </c>
      <c r="I327" s="11">
        <f>IF(AND(D327=1,E327=1),"もとから休み","")</f>
        <v/>
      </c>
      <c r="J327" s="11">
        <f>IF(F327=1,G327+H327-1,"")</f>
        <v/>
      </c>
      <c r="K327" s="11">
        <f>IF(D327=0,COUNTIF($D$7:D327,0),"")</f>
        <v/>
      </c>
    </row>
    <row r="328">
      <c r="A328" s="10">
        <f>DATE($B$2-1,12,1)+321</f>
        <v/>
      </c>
      <c r="B328" s="11">
        <f>TEXT(A328,"aaa")</f>
        <v/>
      </c>
      <c r="C328" s="12">
        <f>IFERROR(VLOOKUP(A328,'1_祝日'!$A$4:$B$83,2,FALSE),"")</f>
        <v/>
      </c>
      <c r="D328" s="11">
        <f>IF(OR(WEEKDAY(A328,2)&gt;=6,C328&lt;&gt;"",COUNTIF('1_祝日'!$D$4:$D$43,A328)&gt;0,AND($B$3=1,OR(AND(MONTH(A328)=12,DAY(A328)&gt;=29),AND(MONTH(A328)=1,DAY(A328)&lt;=3)))),1,0)</f>
        <v/>
      </c>
      <c r="E328" s="7" t="n"/>
      <c r="F328" s="11">
        <f>IF(OR(D328=1,E328=1),1,0)</f>
        <v/>
      </c>
      <c r="G328" s="11">
        <f>IF(F328=1,G327+1,0)</f>
        <v/>
      </c>
      <c r="H328" s="11">
        <f>IF(F328=1,H329+1,0)</f>
        <v/>
      </c>
      <c r="I328" s="11">
        <f>IF(AND(D328=1,E328=1),"もとから休み","")</f>
        <v/>
      </c>
      <c r="J328" s="11">
        <f>IF(F328=1,G328+H328-1,"")</f>
        <v/>
      </c>
      <c r="K328" s="11">
        <f>IF(D328=0,COUNTIF($D$7:D328,0),"")</f>
        <v/>
      </c>
    </row>
    <row r="329">
      <c r="A329" s="10">
        <f>DATE($B$2-1,12,1)+322</f>
        <v/>
      </c>
      <c r="B329" s="11">
        <f>TEXT(A329,"aaa")</f>
        <v/>
      </c>
      <c r="C329" s="12">
        <f>IFERROR(VLOOKUP(A329,'1_祝日'!$A$4:$B$83,2,FALSE),"")</f>
        <v/>
      </c>
      <c r="D329" s="11">
        <f>IF(OR(WEEKDAY(A329,2)&gt;=6,C329&lt;&gt;"",COUNTIF('1_祝日'!$D$4:$D$43,A329)&gt;0,AND($B$3=1,OR(AND(MONTH(A329)=12,DAY(A329)&gt;=29),AND(MONTH(A329)=1,DAY(A329)&lt;=3)))),1,0)</f>
        <v/>
      </c>
      <c r="E329" s="7" t="n"/>
      <c r="F329" s="11">
        <f>IF(OR(D329=1,E329=1),1,0)</f>
        <v/>
      </c>
      <c r="G329" s="11">
        <f>IF(F329=1,G328+1,0)</f>
        <v/>
      </c>
      <c r="H329" s="11">
        <f>IF(F329=1,H330+1,0)</f>
        <v/>
      </c>
      <c r="I329" s="11">
        <f>IF(AND(D329=1,E329=1),"もとから休み","")</f>
        <v/>
      </c>
      <c r="J329" s="11">
        <f>IF(F329=1,G329+H329-1,"")</f>
        <v/>
      </c>
      <c r="K329" s="11">
        <f>IF(D329=0,COUNTIF($D$7:D329,0),"")</f>
        <v/>
      </c>
    </row>
    <row r="330">
      <c r="A330" s="10">
        <f>DATE($B$2-1,12,1)+323</f>
        <v/>
      </c>
      <c r="B330" s="11">
        <f>TEXT(A330,"aaa")</f>
        <v/>
      </c>
      <c r="C330" s="12">
        <f>IFERROR(VLOOKUP(A330,'1_祝日'!$A$4:$B$83,2,FALSE),"")</f>
        <v/>
      </c>
      <c r="D330" s="11">
        <f>IF(OR(WEEKDAY(A330,2)&gt;=6,C330&lt;&gt;"",COUNTIF('1_祝日'!$D$4:$D$43,A330)&gt;0,AND($B$3=1,OR(AND(MONTH(A330)=12,DAY(A330)&gt;=29),AND(MONTH(A330)=1,DAY(A330)&lt;=3)))),1,0)</f>
        <v/>
      </c>
      <c r="E330" s="7" t="n"/>
      <c r="F330" s="11">
        <f>IF(OR(D330=1,E330=1),1,0)</f>
        <v/>
      </c>
      <c r="G330" s="11">
        <f>IF(F330=1,G329+1,0)</f>
        <v/>
      </c>
      <c r="H330" s="11">
        <f>IF(F330=1,H331+1,0)</f>
        <v/>
      </c>
      <c r="I330" s="11">
        <f>IF(AND(D330=1,E330=1),"もとから休み","")</f>
        <v/>
      </c>
      <c r="J330" s="11">
        <f>IF(F330=1,G330+H330-1,"")</f>
        <v/>
      </c>
      <c r="K330" s="11">
        <f>IF(D330=0,COUNTIF($D$7:D330,0),"")</f>
        <v/>
      </c>
    </row>
    <row r="331">
      <c r="A331" s="10">
        <f>DATE($B$2-1,12,1)+324</f>
        <v/>
      </c>
      <c r="B331" s="11">
        <f>TEXT(A331,"aaa")</f>
        <v/>
      </c>
      <c r="C331" s="12">
        <f>IFERROR(VLOOKUP(A331,'1_祝日'!$A$4:$B$83,2,FALSE),"")</f>
        <v/>
      </c>
      <c r="D331" s="11">
        <f>IF(OR(WEEKDAY(A331,2)&gt;=6,C331&lt;&gt;"",COUNTIF('1_祝日'!$D$4:$D$43,A331)&gt;0,AND($B$3=1,OR(AND(MONTH(A331)=12,DAY(A331)&gt;=29),AND(MONTH(A331)=1,DAY(A331)&lt;=3)))),1,0)</f>
        <v/>
      </c>
      <c r="E331" s="7" t="n"/>
      <c r="F331" s="11">
        <f>IF(OR(D331=1,E331=1),1,0)</f>
        <v/>
      </c>
      <c r="G331" s="11">
        <f>IF(F331=1,G330+1,0)</f>
        <v/>
      </c>
      <c r="H331" s="11">
        <f>IF(F331=1,H332+1,0)</f>
        <v/>
      </c>
      <c r="I331" s="11">
        <f>IF(AND(D331=1,E331=1),"もとから休み","")</f>
        <v/>
      </c>
      <c r="J331" s="11">
        <f>IF(F331=1,G331+H331-1,"")</f>
        <v/>
      </c>
      <c r="K331" s="11">
        <f>IF(D331=0,COUNTIF($D$7:D331,0),"")</f>
        <v/>
      </c>
    </row>
    <row r="332">
      <c r="A332" s="10">
        <f>DATE($B$2-1,12,1)+325</f>
        <v/>
      </c>
      <c r="B332" s="11">
        <f>TEXT(A332,"aaa")</f>
        <v/>
      </c>
      <c r="C332" s="12">
        <f>IFERROR(VLOOKUP(A332,'1_祝日'!$A$4:$B$83,2,FALSE),"")</f>
        <v/>
      </c>
      <c r="D332" s="11">
        <f>IF(OR(WEEKDAY(A332,2)&gt;=6,C332&lt;&gt;"",COUNTIF('1_祝日'!$D$4:$D$43,A332)&gt;0,AND($B$3=1,OR(AND(MONTH(A332)=12,DAY(A332)&gt;=29),AND(MONTH(A332)=1,DAY(A332)&lt;=3)))),1,0)</f>
        <v/>
      </c>
      <c r="E332" s="7" t="n"/>
      <c r="F332" s="11">
        <f>IF(OR(D332=1,E332=1),1,0)</f>
        <v/>
      </c>
      <c r="G332" s="11">
        <f>IF(F332=1,G331+1,0)</f>
        <v/>
      </c>
      <c r="H332" s="11">
        <f>IF(F332=1,H333+1,0)</f>
        <v/>
      </c>
      <c r="I332" s="11">
        <f>IF(AND(D332=1,E332=1),"もとから休み","")</f>
        <v/>
      </c>
      <c r="J332" s="11">
        <f>IF(F332=1,G332+H332-1,"")</f>
        <v/>
      </c>
      <c r="K332" s="11">
        <f>IF(D332=0,COUNTIF($D$7:D332,0),"")</f>
        <v/>
      </c>
    </row>
    <row r="333">
      <c r="A333" s="10">
        <f>DATE($B$2-1,12,1)+326</f>
        <v/>
      </c>
      <c r="B333" s="11">
        <f>TEXT(A333,"aaa")</f>
        <v/>
      </c>
      <c r="C333" s="12">
        <f>IFERROR(VLOOKUP(A333,'1_祝日'!$A$4:$B$83,2,FALSE),"")</f>
        <v/>
      </c>
      <c r="D333" s="11">
        <f>IF(OR(WEEKDAY(A333,2)&gt;=6,C333&lt;&gt;"",COUNTIF('1_祝日'!$D$4:$D$43,A333)&gt;0,AND($B$3=1,OR(AND(MONTH(A333)=12,DAY(A333)&gt;=29),AND(MONTH(A333)=1,DAY(A333)&lt;=3)))),1,0)</f>
        <v/>
      </c>
      <c r="E333" s="7" t="n"/>
      <c r="F333" s="11">
        <f>IF(OR(D333=1,E333=1),1,0)</f>
        <v/>
      </c>
      <c r="G333" s="11">
        <f>IF(F333=1,G332+1,0)</f>
        <v/>
      </c>
      <c r="H333" s="11">
        <f>IF(F333=1,H334+1,0)</f>
        <v/>
      </c>
      <c r="I333" s="11">
        <f>IF(AND(D333=1,E333=1),"もとから休み","")</f>
        <v/>
      </c>
      <c r="J333" s="11">
        <f>IF(F333=1,G333+H333-1,"")</f>
        <v/>
      </c>
      <c r="K333" s="11">
        <f>IF(D333=0,COUNTIF($D$7:D333,0),"")</f>
        <v/>
      </c>
    </row>
    <row r="334">
      <c r="A334" s="10">
        <f>DATE($B$2-1,12,1)+327</f>
        <v/>
      </c>
      <c r="B334" s="11">
        <f>TEXT(A334,"aaa")</f>
        <v/>
      </c>
      <c r="C334" s="12">
        <f>IFERROR(VLOOKUP(A334,'1_祝日'!$A$4:$B$83,2,FALSE),"")</f>
        <v/>
      </c>
      <c r="D334" s="11">
        <f>IF(OR(WEEKDAY(A334,2)&gt;=6,C334&lt;&gt;"",COUNTIF('1_祝日'!$D$4:$D$43,A334)&gt;0,AND($B$3=1,OR(AND(MONTH(A334)=12,DAY(A334)&gt;=29),AND(MONTH(A334)=1,DAY(A334)&lt;=3)))),1,0)</f>
        <v/>
      </c>
      <c r="E334" s="7" t="n"/>
      <c r="F334" s="11">
        <f>IF(OR(D334=1,E334=1),1,0)</f>
        <v/>
      </c>
      <c r="G334" s="11">
        <f>IF(F334=1,G333+1,0)</f>
        <v/>
      </c>
      <c r="H334" s="11">
        <f>IF(F334=1,H335+1,0)</f>
        <v/>
      </c>
      <c r="I334" s="11">
        <f>IF(AND(D334=1,E334=1),"もとから休み","")</f>
        <v/>
      </c>
      <c r="J334" s="11">
        <f>IF(F334=1,G334+H334-1,"")</f>
        <v/>
      </c>
      <c r="K334" s="11">
        <f>IF(D334=0,COUNTIF($D$7:D334,0),"")</f>
        <v/>
      </c>
    </row>
    <row r="335">
      <c r="A335" s="10">
        <f>DATE($B$2-1,12,1)+328</f>
        <v/>
      </c>
      <c r="B335" s="11">
        <f>TEXT(A335,"aaa")</f>
        <v/>
      </c>
      <c r="C335" s="12">
        <f>IFERROR(VLOOKUP(A335,'1_祝日'!$A$4:$B$83,2,FALSE),"")</f>
        <v/>
      </c>
      <c r="D335" s="11">
        <f>IF(OR(WEEKDAY(A335,2)&gt;=6,C335&lt;&gt;"",COUNTIF('1_祝日'!$D$4:$D$43,A335)&gt;0,AND($B$3=1,OR(AND(MONTH(A335)=12,DAY(A335)&gt;=29),AND(MONTH(A335)=1,DAY(A335)&lt;=3)))),1,0)</f>
        <v/>
      </c>
      <c r="E335" s="7" t="n"/>
      <c r="F335" s="11">
        <f>IF(OR(D335=1,E335=1),1,0)</f>
        <v/>
      </c>
      <c r="G335" s="11">
        <f>IF(F335=1,G334+1,0)</f>
        <v/>
      </c>
      <c r="H335" s="11">
        <f>IF(F335=1,H336+1,0)</f>
        <v/>
      </c>
      <c r="I335" s="11">
        <f>IF(AND(D335=1,E335=1),"もとから休み","")</f>
        <v/>
      </c>
      <c r="J335" s="11">
        <f>IF(F335=1,G335+H335-1,"")</f>
        <v/>
      </c>
      <c r="K335" s="11">
        <f>IF(D335=0,COUNTIF($D$7:D335,0),"")</f>
        <v/>
      </c>
    </row>
    <row r="336">
      <c r="A336" s="10">
        <f>DATE($B$2-1,12,1)+329</f>
        <v/>
      </c>
      <c r="B336" s="11">
        <f>TEXT(A336,"aaa")</f>
        <v/>
      </c>
      <c r="C336" s="12">
        <f>IFERROR(VLOOKUP(A336,'1_祝日'!$A$4:$B$83,2,FALSE),"")</f>
        <v/>
      </c>
      <c r="D336" s="11">
        <f>IF(OR(WEEKDAY(A336,2)&gt;=6,C336&lt;&gt;"",COUNTIF('1_祝日'!$D$4:$D$43,A336)&gt;0,AND($B$3=1,OR(AND(MONTH(A336)=12,DAY(A336)&gt;=29),AND(MONTH(A336)=1,DAY(A336)&lt;=3)))),1,0)</f>
        <v/>
      </c>
      <c r="E336" s="7" t="n"/>
      <c r="F336" s="11">
        <f>IF(OR(D336=1,E336=1),1,0)</f>
        <v/>
      </c>
      <c r="G336" s="11">
        <f>IF(F336=1,G335+1,0)</f>
        <v/>
      </c>
      <c r="H336" s="11">
        <f>IF(F336=1,H337+1,0)</f>
        <v/>
      </c>
      <c r="I336" s="11">
        <f>IF(AND(D336=1,E336=1),"もとから休み","")</f>
        <v/>
      </c>
      <c r="J336" s="11">
        <f>IF(F336=1,G336+H336-1,"")</f>
        <v/>
      </c>
      <c r="K336" s="11">
        <f>IF(D336=0,COUNTIF($D$7:D336,0),"")</f>
        <v/>
      </c>
    </row>
    <row r="337">
      <c r="A337" s="10">
        <f>DATE($B$2-1,12,1)+330</f>
        <v/>
      </c>
      <c r="B337" s="11">
        <f>TEXT(A337,"aaa")</f>
        <v/>
      </c>
      <c r="C337" s="12">
        <f>IFERROR(VLOOKUP(A337,'1_祝日'!$A$4:$B$83,2,FALSE),"")</f>
        <v/>
      </c>
      <c r="D337" s="11">
        <f>IF(OR(WEEKDAY(A337,2)&gt;=6,C337&lt;&gt;"",COUNTIF('1_祝日'!$D$4:$D$43,A337)&gt;0,AND($B$3=1,OR(AND(MONTH(A337)=12,DAY(A337)&gt;=29),AND(MONTH(A337)=1,DAY(A337)&lt;=3)))),1,0)</f>
        <v/>
      </c>
      <c r="E337" s="7" t="n"/>
      <c r="F337" s="11">
        <f>IF(OR(D337=1,E337=1),1,0)</f>
        <v/>
      </c>
      <c r="G337" s="11">
        <f>IF(F337=1,G336+1,0)</f>
        <v/>
      </c>
      <c r="H337" s="11">
        <f>IF(F337=1,H338+1,0)</f>
        <v/>
      </c>
      <c r="I337" s="11">
        <f>IF(AND(D337=1,E337=1),"もとから休み","")</f>
        <v/>
      </c>
      <c r="J337" s="11">
        <f>IF(F337=1,G337+H337-1,"")</f>
        <v/>
      </c>
      <c r="K337" s="11">
        <f>IF(D337=0,COUNTIF($D$7:D337,0),"")</f>
        <v/>
      </c>
    </row>
    <row r="338">
      <c r="A338" s="10">
        <f>DATE($B$2-1,12,1)+331</f>
        <v/>
      </c>
      <c r="B338" s="11">
        <f>TEXT(A338,"aaa")</f>
        <v/>
      </c>
      <c r="C338" s="12">
        <f>IFERROR(VLOOKUP(A338,'1_祝日'!$A$4:$B$83,2,FALSE),"")</f>
        <v/>
      </c>
      <c r="D338" s="11">
        <f>IF(OR(WEEKDAY(A338,2)&gt;=6,C338&lt;&gt;"",COUNTIF('1_祝日'!$D$4:$D$43,A338)&gt;0,AND($B$3=1,OR(AND(MONTH(A338)=12,DAY(A338)&gt;=29),AND(MONTH(A338)=1,DAY(A338)&lt;=3)))),1,0)</f>
        <v/>
      </c>
      <c r="E338" s="7" t="n"/>
      <c r="F338" s="11">
        <f>IF(OR(D338=1,E338=1),1,0)</f>
        <v/>
      </c>
      <c r="G338" s="11">
        <f>IF(F338=1,G337+1,0)</f>
        <v/>
      </c>
      <c r="H338" s="11">
        <f>IF(F338=1,H339+1,0)</f>
        <v/>
      </c>
      <c r="I338" s="11">
        <f>IF(AND(D338=1,E338=1),"もとから休み","")</f>
        <v/>
      </c>
      <c r="J338" s="11">
        <f>IF(F338=1,G338+H338-1,"")</f>
        <v/>
      </c>
      <c r="K338" s="11">
        <f>IF(D338=0,COUNTIF($D$7:D338,0),"")</f>
        <v/>
      </c>
    </row>
    <row r="339">
      <c r="A339" s="10">
        <f>DATE($B$2-1,12,1)+332</f>
        <v/>
      </c>
      <c r="B339" s="11">
        <f>TEXT(A339,"aaa")</f>
        <v/>
      </c>
      <c r="C339" s="12">
        <f>IFERROR(VLOOKUP(A339,'1_祝日'!$A$4:$B$83,2,FALSE),"")</f>
        <v/>
      </c>
      <c r="D339" s="11">
        <f>IF(OR(WEEKDAY(A339,2)&gt;=6,C339&lt;&gt;"",COUNTIF('1_祝日'!$D$4:$D$43,A339)&gt;0,AND($B$3=1,OR(AND(MONTH(A339)=12,DAY(A339)&gt;=29),AND(MONTH(A339)=1,DAY(A339)&lt;=3)))),1,0)</f>
        <v/>
      </c>
      <c r="E339" s="7" t="n"/>
      <c r="F339" s="11">
        <f>IF(OR(D339=1,E339=1),1,0)</f>
        <v/>
      </c>
      <c r="G339" s="11">
        <f>IF(F339=1,G338+1,0)</f>
        <v/>
      </c>
      <c r="H339" s="11">
        <f>IF(F339=1,H340+1,0)</f>
        <v/>
      </c>
      <c r="I339" s="11">
        <f>IF(AND(D339=1,E339=1),"もとから休み","")</f>
        <v/>
      </c>
      <c r="J339" s="11">
        <f>IF(F339=1,G339+H339-1,"")</f>
        <v/>
      </c>
      <c r="K339" s="11">
        <f>IF(D339=0,COUNTIF($D$7:D339,0),"")</f>
        <v/>
      </c>
    </row>
    <row r="340">
      <c r="A340" s="10">
        <f>DATE($B$2-1,12,1)+333</f>
        <v/>
      </c>
      <c r="B340" s="11">
        <f>TEXT(A340,"aaa")</f>
        <v/>
      </c>
      <c r="C340" s="12">
        <f>IFERROR(VLOOKUP(A340,'1_祝日'!$A$4:$B$83,2,FALSE),"")</f>
        <v/>
      </c>
      <c r="D340" s="11">
        <f>IF(OR(WEEKDAY(A340,2)&gt;=6,C340&lt;&gt;"",COUNTIF('1_祝日'!$D$4:$D$43,A340)&gt;0,AND($B$3=1,OR(AND(MONTH(A340)=12,DAY(A340)&gt;=29),AND(MONTH(A340)=1,DAY(A340)&lt;=3)))),1,0)</f>
        <v/>
      </c>
      <c r="E340" s="7" t="n"/>
      <c r="F340" s="11">
        <f>IF(OR(D340=1,E340=1),1,0)</f>
        <v/>
      </c>
      <c r="G340" s="11">
        <f>IF(F340=1,G339+1,0)</f>
        <v/>
      </c>
      <c r="H340" s="11">
        <f>IF(F340=1,H341+1,0)</f>
        <v/>
      </c>
      <c r="I340" s="11">
        <f>IF(AND(D340=1,E340=1),"もとから休み","")</f>
        <v/>
      </c>
      <c r="J340" s="11">
        <f>IF(F340=1,G340+H340-1,"")</f>
        <v/>
      </c>
      <c r="K340" s="11">
        <f>IF(D340=0,COUNTIF($D$7:D340,0),"")</f>
        <v/>
      </c>
    </row>
    <row r="341">
      <c r="A341" s="10">
        <f>DATE($B$2-1,12,1)+334</f>
        <v/>
      </c>
      <c r="B341" s="11">
        <f>TEXT(A341,"aaa")</f>
        <v/>
      </c>
      <c r="C341" s="12">
        <f>IFERROR(VLOOKUP(A341,'1_祝日'!$A$4:$B$83,2,FALSE),"")</f>
        <v/>
      </c>
      <c r="D341" s="11">
        <f>IF(OR(WEEKDAY(A341,2)&gt;=6,C341&lt;&gt;"",COUNTIF('1_祝日'!$D$4:$D$43,A341)&gt;0,AND($B$3=1,OR(AND(MONTH(A341)=12,DAY(A341)&gt;=29),AND(MONTH(A341)=1,DAY(A341)&lt;=3)))),1,0)</f>
        <v/>
      </c>
      <c r="E341" s="7" t="n"/>
      <c r="F341" s="11">
        <f>IF(OR(D341=1,E341=1),1,0)</f>
        <v/>
      </c>
      <c r="G341" s="11">
        <f>IF(F341=1,G340+1,0)</f>
        <v/>
      </c>
      <c r="H341" s="11">
        <f>IF(F341=1,H342+1,0)</f>
        <v/>
      </c>
      <c r="I341" s="11">
        <f>IF(AND(D341=1,E341=1),"もとから休み","")</f>
        <v/>
      </c>
      <c r="J341" s="11">
        <f>IF(F341=1,G341+H341-1,"")</f>
        <v/>
      </c>
      <c r="K341" s="11">
        <f>IF(D341=0,COUNTIF($D$7:D341,0),"")</f>
        <v/>
      </c>
    </row>
    <row r="342">
      <c r="A342" s="10">
        <f>DATE($B$2-1,12,1)+335</f>
        <v/>
      </c>
      <c r="B342" s="11">
        <f>TEXT(A342,"aaa")</f>
        <v/>
      </c>
      <c r="C342" s="12">
        <f>IFERROR(VLOOKUP(A342,'1_祝日'!$A$4:$B$83,2,FALSE),"")</f>
        <v/>
      </c>
      <c r="D342" s="11">
        <f>IF(OR(WEEKDAY(A342,2)&gt;=6,C342&lt;&gt;"",COUNTIF('1_祝日'!$D$4:$D$43,A342)&gt;0,AND($B$3=1,OR(AND(MONTH(A342)=12,DAY(A342)&gt;=29),AND(MONTH(A342)=1,DAY(A342)&lt;=3)))),1,0)</f>
        <v/>
      </c>
      <c r="E342" s="7" t="n"/>
      <c r="F342" s="11">
        <f>IF(OR(D342=1,E342=1),1,0)</f>
        <v/>
      </c>
      <c r="G342" s="11">
        <f>IF(F342=1,G341+1,0)</f>
        <v/>
      </c>
      <c r="H342" s="11">
        <f>IF(F342=1,H343+1,0)</f>
        <v/>
      </c>
      <c r="I342" s="11">
        <f>IF(AND(D342=1,E342=1),"もとから休み","")</f>
        <v/>
      </c>
      <c r="J342" s="11">
        <f>IF(F342=1,G342+H342-1,"")</f>
        <v/>
      </c>
      <c r="K342" s="11">
        <f>IF(D342=0,COUNTIF($D$7:D342,0),"")</f>
        <v/>
      </c>
    </row>
    <row r="343">
      <c r="A343" s="10">
        <f>DATE($B$2-1,12,1)+336</f>
        <v/>
      </c>
      <c r="B343" s="11">
        <f>TEXT(A343,"aaa")</f>
        <v/>
      </c>
      <c r="C343" s="12">
        <f>IFERROR(VLOOKUP(A343,'1_祝日'!$A$4:$B$83,2,FALSE),"")</f>
        <v/>
      </c>
      <c r="D343" s="11">
        <f>IF(OR(WEEKDAY(A343,2)&gt;=6,C343&lt;&gt;"",COUNTIF('1_祝日'!$D$4:$D$43,A343)&gt;0,AND($B$3=1,OR(AND(MONTH(A343)=12,DAY(A343)&gt;=29),AND(MONTH(A343)=1,DAY(A343)&lt;=3)))),1,0)</f>
        <v/>
      </c>
      <c r="E343" s="7" t="n"/>
      <c r="F343" s="11">
        <f>IF(OR(D343=1,E343=1),1,0)</f>
        <v/>
      </c>
      <c r="G343" s="11">
        <f>IF(F343=1,G342+1,0)</f>
        <v/>
      </c>
      <c r="H343" s="11">
        <f>IF(F343=1,H344+1,0)</f>
        <v/>
      </c>
      <c r="I343" s="11">
        <f>IF(AND(D343=1,E343=1),"もとから休み","")</f>
        <v/>
      </c>
      <c r="J343" s="11">
        <f>IF(F343=1,G343+H343-1,"")</f>
        <v/>
      </c>
      <c r="K343" s="11">
        <f>IF(D343=0,COUNTIF($D$7:D343,0),"")</f>
        <v/>
      </c>
    </row>
    <row r="344">
      <c r="A344" s="10">
        <f>DATE($B$2-1,12,1)+337</f>
        <v/>
      </c>
      <c r="B344" s="11">
        <f>TEXT(A344,"aaa")</f>
        <v/>
      </c>
      <c r="C344" s="12">
        <f>IFERROR(VLOOKUP(A344,'1_祝日'!$A$4:$B$83,2,FALSE),"")</f>
        <v/>
      </c>
      <c r="D344" s="11">
        <f>IF(OR(WEEKDAY(A344,2)&gt;=6,C344&lt;&gt;"",COUNTIF('1_祝日'!$D$4:$D$43,A344)&gt;0,AND($B$3=1,OR(AND(MONTH(A344)=12,DAY(A344)&gt;=29),AND(MONTH(A344)=1,DAY(A344)&lt;=3)))),1,0)</f>
        <v/>
      </c>
      <c r="E344" s="7" t="n"/>
      <c r="F344" s="11">
        <f>IF(OR(D344=1,E344=1),1,0)</f>
        <v/>
      </c>
      <c r="G344" s="11">
        <f>IF(F344=1,G343+1,0)</f>
        <v/>
      </c>
      <c r="H344" s="11">
        <f>IF(F344=1,H345+1,0)</f>
        <v/>
      </c>
      <c r="I344" s="11">
        <f>IF(AND(D344=1,E344=1),"もとから休み","")</f>
        <v/>
      </c>
      <c r="J344" s="11">
        <f>IF(F344=1,G344+H344-1,"")</f>
        <v/>
      </c>
      <c r="K344" s="11">
        <f>IF(D344=0,COUNTIF($D$7:D344,0),"")</f>
        <v/>
      </c>
    </row>
    <row r="345">
      <c r="A345" s="10">
        <f>DATE($B$2-1,12,1)+338</f>
        <v/>
      </c>
      <c r="B345" s="11">
        <f>TEXT(A345,"aaa")</f>
        <v/>
      </c>
      <c r="C345" s="12">
        <f>IFERROR(VLOOKUP(A345,'1_祝日'!$A$4:$B$83,2,FALSE),"")</f>
        <v/>
      </c>
      <c r="D345" s="11">
        <f>IF(OR(WEEKDAY(A345,2)&gt;=6,C345&lt;&gt;"",COUNTIF('1_祝日'!$D$4:$D$43,A345)&gt;0,AND($B$3=1,OR(AND(MONTH(A345)=12,DAY(A345)&gt;=29),AND(MONTH(A345)=1,DAY(A345)&lt;=3)))),1,0)</f>
        <v/>
      </c>
      <c r="E345" s="7" t="n"/>
      <c r="F345" s="11">
        <f>IF(OR(D345=1,E345=1),1,0)</f>
        <v/>
      </c>
      <c r="G345" s="11">
        <f>IF(F345=1,G344+1,0)</f>
        <v/>
      </c>
      <c r="H345" s="11">
        <f>IF(F345=1,H346+1,0)</f>
        <v/>
      </c>
      <c r="I345" s="11">
        <f>IF(AND(D345=1,E345=1),"もとから休み","")</f>
        <v/>
      </c>
      <c r="J345" s="11">
        <f>IF(F345=1,G345+H345-1,"")</f>
        <v/>
      </c>
      <c r="K345" s="11">
        <f>IF(D345=0,COUNTIF($D$7:D345,0),"")</f>
        <v/>
      </c>
    </row>
    <row r="346">
      <c r="A346" s="10">
        <f>DATE($B$2-1,12,1)+339</f>
        <v/>
      </c>
      <c r="B346" s="11">
        <f>TEXT(A346,"aaa")</f>
        <v/>
      </c>
      <c r="C346" s="12">
        <f>IFERROR(VLOOKUP(A346,'1_祝日'!$A$4:$B$83,2,FALSE),"")</f>
        <v/>
      </c>
      <c r="D346" s="11">
        <f>IF(OR(WEEKDAY(A346,2)&gt;=6,C346&lt;&gt;"",COUNTIF('1_祝日'!$D$4:$D$43,A346)&gt;0,AND($B$3=1,OR(AND(MONTH(A346)=12,DAY(A346)&gt;=29),AND(MONTH(A346)=1,DAY(A346)&lt;=3)))),1,0)</f>
        <v/>
      </c>
      <c r="E346" s="7" t="n"/>
      <c r="F346" s="11">
        <f>IF(OR(D346=1,E346=1),1,0)</f>
        <v/>
      </c>
      <c r="G346" s="11">
        <f>IF(F346=1,G345+1,0)</f>
        <v/>
      </c>
      <c r="H346" s="11">
        <f>IF(F346=1,H347+1,0)</f>
        <v/>
      </c>
      <c r="I346" s="11">
        <f>IF(AND(D346=1,E346=1),"もとから休み","")</f>
        <v/>
      </c>
      <c r="J346" s="11">
        <f>IF(F346=1,G346+H346-1,"")</f>
        <v/>
      </c>
      <c r="K346" s="11">
        <f>IF(D346=0,COUNTIF($D$7:D346,0),"")</f>
        <v/>
      </c>
    </row>
    <row r="347">
      <c r="A347" s="10">
        <f>DATE($B$2-1,12,1)+340</f>
        <v/>
      </c>
      <c r="B347" s="11">
        <f>TEXT(A347,"aaa")</f>
        <v/>
      </c>
      <c r="C347" s="12">
        <f>IFERROR(VLOOKUP(A347,'1_祝日'!$A$4:$B$83,2,FALSE),"")</f>
        <v/>
      </c>
      <c r="D347" s="11">
        <f>IF(OR(WEEKDAY(A347,2)&gt;=6,C347&lt;&gt;"",COUNTIF('1_祝日'!$D$4:$D$43,A347)&gt;0,AND($B$3=1,OR(AND(MONTH(A347)=12,DAY(A347)&gt;=29),AND(MONTH(A347)=1,DAY(A347)&lt;=3)))),1,0)</f>
        <v/>
      </c>
      <c r="E347" s="7" t="n"/>
      <c r="F347" s="11">
        <f>IF(OR(D347=1,E347=1),1,0)</f>
        <v/>
      </c>
      <c r="G347" s="11">
        <f>IF(F347=1,G346+1,0)</f>
        <v/>
      </c>
      <c r="H347" s="11">
        <f>IF(F347=1,H348+1,0)</f>
        <v/>
      </c>
      <c r="I347" s="11">
        <f>IF(AND(D347=1,E347=1),"もとから休み","")</f>
        <v/>
      </c>
      <c r="J347" s="11">
        <f>IF(F347=1,G347+H347-1,"")</f>
        <v/>
      </c>
      <c r="K347" s="11">
        <f>IF(D347=0,COUNTIF($D$7:D347,0),"")</f>
        <v/>
      </c>
    </row>
    <row r="348">
      <c r="A348" s="10">
        <f>DATE($B$2-1,12,1)+341</f>
        <v/>
      </c>
      <c r="B348" s="11">
        <f>TEXT(A348,"aaa")</f>
        <v/>
      </c>
      <c r="C348" s="12">
        <f>IFERROR(VLOOKUP(A348,'1_祝日'!$A$4:$B$83,2,FALSE),"")</f>
        <v/>
      </c>
      <c r="D348" s="11">
        <f>IF(OR(WEEKDAY(A348,2)&gt;=6,C348&lt;&gt;"",COUNTIF('1_祝日'!$D$4:$D$43,A348)&gt;0,AND($B$3=1,OR(AND(MONTH(A348)=12,DAY(A348)&gt;=29),AND(MONTH(A348)=1,DAY(A348)&lt;=3)))),1,0)</f>
        <v/>
      </c>
      <c r="E348" s="7" t="n"/>
      <c r="F348" s="11">
        <f>IF(OR(D348=1,E348=1),1,0)</f>
        <v/>
      </c>
      <c r="G348" s="11">
        <f>IF(F348=1,G347+1,0)</f>
        <v/>
      </c>
      <c r="H348" s="11">
        <f>IF(F348=1,H349+1,0)</f>
        <v/>
      </c>
      <c r="I348" s="11">
        <f>IF(AND(D348=1,E348=1),"もとから休み","")</f>
        <v/>
      </c>
      <c r="J348" s="11">
        <f>IF(F348=1,G348+H348-1,"")</f>
        <v/>
      </c>
      <c r="K348" s="11">
        <f>IF(D348=0,COUNTIF($D$7:D348,0),"")</f>
        <v/>
      </c>
    </row>
    <row r="349">
      <c r="A349" s="10">
        <f>DATE($B$2-1,12,1)+342</f>
        <v/>
      </c>
      <c r="B349" s="11">
        <f>TEXT(A349,"aaa")</f>
        <v/>
      </c>
      <c r="C349" s="12">
        <f>IFERROR(VLOOKUP(A349,'1_祝日'!$A$4:$B$83,2,FALSE),"")</f>
        <v/>
      </c>
      <c r="D349" s="11">
        <f>IF(OR(WEEKDAY(A349,2)&gt;=6,C349&lt;&gt;"",COUNTIF('1_祝日'!$D$4:$D$43,A349)&gt;0,AND($B$3=1,OR(AND(MONTH(A349)=12,DAY(A349)&gt;=29),AND(MONTH(A349)=1,DAY(A349)&lt;=3)))),1,0)</f>
        <v/>
      </c>
      <c r="E349" s="7" t="n"/>
      <c r="F349" s="11">
        <f>IF(OR(D349=1,E349=1),1,0)</f>
        <v/>
      </c>
      <c r="G349" s="11">
        <f>IF(F349=1,G348+1,0)</f>
        <v/>
      </c>
      <c r="H349" s="11">
        <f>IF(F349=1,H350+1,0)</f>
        <v/>
      </c>
      <c r="I349" s="11">
        <f>IF(AND(D349=1,E349=1),"もとから休み","")</f>
        <v/>
      </c>
      <c r="J349" s="11">
        <f>IF(F349=1,G349+H349-1,"")</f>
        <v/>
      </c>
      <c r="K349" s="11">
        <f>IF(D349=0,COUNTIF($D$7:D349,0),"")</f>
        <v/>
      </c>
    </row>
    <row r="350">
      <c r="A350" s="10">
        <f>DATE($B$2-1,12,1)+343</f>
        <v/>
      </c>
      <c r="B350" s="11">
        <f>TEXT(A350,"aaa")</f>
        <v/>
      </c>
      <c r="C350" s="12">
        <f>IFERROR(VLOOKUP(A350,'1_祝日'!$A$4:$B$83,2,FALSE),"")</f>
        <v/>
      </c>
      <c r="D350" s="11">
        <f>IF(OR(WEEKDAY(A350,2)&gt;=6,C350&lt;&gt;"",COUNTIF('1_祝日'!$D$4:$D$43,A350)&gt;0,AND($B$3=1,OR(AND(MONTH(A350)=12,DAY(A350)&gt;=29),AND(MONTH(A350)=1,DAY(A350)&lt;=3)))),1,0)</f>
        <v/>
      </c>
      <c r="E350" s="7" t="n"/>
      <c r="F350" s="11">
        <f>IF(OR(D350=1,E350=1),1,0)</f>
        <v/>
      </c>
      <c r="G350" s="11">
        <f>IF(F350=1,G349+1,0)</f>
        <v/>
      </c>
      <c r="H350" s="11">
        <f>IF(F350=1,H351+1,0)</f>
        <v/>
      </c>
      <c r="I350" s="11">
        <f>IF(AND(D350=1,E350=1),"もとから休み","")</f>
        <v/>
      </c>
      <c r="J350" s="11">
        <f>IF(F350=1,G350+H350-1,"")</f>
        <v/>
      </c>
      <c r="K350" s="11">
        <f>IF(D350=0,COUNTIF($D$7:D350,0),"")</f>
        <v/>
      </c>
    </row>
    <row r="351">
      <c r="A351" s="10">
        <f>DATE($B$2-1,12,1)+344</f>
        <v/>
      </c>
      <c r="B351" s="11">
        <f>TEXT(A351,"aaa")</f>
        <v/>
      </c>
      <c r="C351" s="12">
        <f>IFERROR(VLOOKUP(A351,'1_祝日'!$A$4:$B$83,2,FALSE),"")</f>
        <v/>
      </c>
      <c r="D351" s="11">
        <f>IF(OR(WEEKDAY(A351,2)&gt;=6,C351&lt;&gt;"",COUNTIF('1_祝日'!$D$4:$D$43,A351)&gt;0,AND($B$3=1,OR(AND(MONTH(A351)=12,DAY(A351)&gt;=29),AND(MONTH(A351)=1,DAY(A351)&lt;=3)))),1,0)</f>
        <v/>
      </c>
      <c r="E351" s="7" t="n"/>
      <c r="F351" s="11">
        <f>IF(OR(D351=1,E351=1),1,0)</f>
        <v/>
      </c>
      <c r="G351" s="11">
        <f>IF(F351=1,G350+1,0)</f>
        <v/>
      </c>
      <c r="H351" s="11">
        <f>IF(F351=1,H352+1,0)</f>
        <v/>
      </c>
      <c r="I351" s="11">
        <f>IF(AND(D351=1,E351=1),"もとから休み","")</f>
        <v/>
      </c>
      <c r="J351" s="11">
        <f>IF(F351=1,G351+H351-1,"")</f>
        <v/>
      </c>
      <c r="K351" s="11">
        <f>IF(D351=0,COUNTIF($D$7:D351,0),"")</f>
        <v/>
      </c>
    </row>
    <row r="352">
      <c r="A352" s="10">
        <f>DATE($B$2-1,12,1)+345</f>
        <v/>
      </c>
      <c r="B352" s="11">
        <f>TEXT(A352,"aaa")</f>
        <v/>
      </c>
      <c r="C352" s="12">
        <f>IFERROR(VLOOKUP(A352,'1_祝日'!$A$4:$B$83,2,FALSE),"")</f>
        <v/>
      </c>
      <c r="D352" s="11">
        <f>IF(OR(WEEKDAY(A352,2)&gt;=6,C352&lt;&gt;"",COUNTIF('1_祝日'!$D$4:$D$43,A352)&gt;0,AND($B$3=1,OR(AND(MONTH(A352)=12,DAY(A352)&gt;=29),AND(MONTH(A352)=1,DAY(A352)&lt;=3)))),1,0)</f>
        <v/>
      </c>
      <c r="E352" s="7" t="n"/>
      <c r="F352" s="11">
        <f>IF(OR(D352=1,E352=1),1,0)</f>
        <v/>
      </c>
      <c r="G352" s="11">
        <f>IF(F352=1,G351+1,0)</f>
        <v/>
      </c>
      <c r="H352" s="11">
        <f>IF(F352=1,H353+1,0)</f>
        <v/>
      </c>
      <c r="I352" s="11">
        <f>IF(AND(D352=1,E352=1),"もとから休み","")</f>
        <v/>
      </c>
      <c r="J352" s="11">
        <f>IF(F352=1,G352+H352-1,"")</f>
        <v/>
      </c>
      <c r="K352" s="11">
        <f>IF(D352=0,COUNTIF($D$7:D352,0),"")</f>
        <v/>
      </c>
    </row>
    <row r="353">
      <c r="A353" s="10">
        <f>DATE($B$2-1,12,1)+346</f>
        <v/>
      </c>
      <c r="B353" s="11">
        <f>TEXT(A353,"aaa")</f>
        <v/>
      </c>
      <c r="C353" s="12">
        <f>IFERROR(VLOOKUP(A353,'1_祝日'!$A$4:$B$83,2,FALSE),"")</f>
        <v/>
      </c>
      <c r="D353" s="11">
        <f>IF(OR(WEEKDAY(A353,2)&gt;=6,C353&lt;&gt;"",COUNTIF('1_祝日'!$D$4:$D$43,A353)&gt;0,AND($B$3=1,OR(AND(MONTH(A353)=12,DAY(A353)&gt;=29),AND(MONTH(A353)=1,DAY(A353)&lt;=3)))),1,0)</f>
        <v/>
      </c>
      <c r="E353" s="7" t="n"/>
      <c r="F353" s="11">
        <f>IF(OR(D353=1,E353=1),1,0)</f>
        <v/>
      </c>
      <c r="G353" s="11">
        <f>IF(F353=1,G352+1,0)</f>
        <v/>
      </c>
      <c r="H353" s="11">
        <f>IF(F353=1,H354+1,0)</f>
        <v/>
      </c>
      <c r="I353" s="11">
        <f>IF(AND(D353=1,E353=1),"もとから休み","")</f>
        <v/>
      </c>
      <c r="J353" s="11">
        <f>IF(F353=1,G353+H353-1,"")</f>
        <v/>
      </c>
      <c r="K353" s="11">
        <f>IF(D353=0,COUNTIF($D$7:D353,0),"")</f>
        <v/>
      </c>
    </row>
    <row r="354">
      <c r="A354" s="10">
        <f>DATE($B$2-1,12,1)+347</f>
        <v/>
      </c>
      <c r="B354" s="11">
        <f>TEXT(A354,"aaa")</f>
        <v/>
      </c>
      <c r="C354" s="12">
        <f>IFERROR(VLOOKUP(A354,'1_祝日'!$A$4:$B$83,2,FALSE),"")</f>
        <v/>
      </c>
      <c r="D354" s="11">
        <f>IF(OR(WEEKDAY(A354,2)&gt;=6,C354&lt;&gt;"",COUNTIF('1_祝日'!$D$4:$D$43,A354)&gt;0,AND($B$3=1,OR(AND(MONTH(A354)=12,DAY(A354)&gt;=29),AND(MONTH(A354)=1,DAY(A354)&lt;=3)))),1,0)</f>
        <v/>
      </c>
      <c r="E354" s="7" t="n"/>
      <c r="F354" s="11">
        <f>IF(OR(D354=1,E354=1),1,0)</f>
        <v/>
      </c>
      <c r="G354" s="11">
        <f>IF(F354=1,G353+1,0)</f>
        <v/>
      </c>
      <c r="H354" s="11">
        <f>IF(F354=1,H355+1,0)</f>
        <v/>
      </c>
      <c r="I354" s="11">
        <f>IF(AND(D354=1,E354=1),"もとから休み","")</f>
        <v/>
      </c>
      <c r="J354" s="11">
        <f>IF(F354=1,G354+H354-1,"")</f>
        <v/>
      </c>
      <c r="K354" s="11">
        <f>IF(D354=0,COUNTIF($D$7:D354,0),"")</f>
        <v/>
      </c>
    </row>
    <row r="355">
      <c r="A355" s="10">
        <f>DATE($B$2-1,12,1)+348</f>
        <v/>
      </c>
      <c r="B355" s="11">
        <f>TEXT(A355,"aaa")</f>
        <v/>
      </c>
      <c r="C355" s="12">
        <f>IFERROR(VLOOKUP(A355,'1_祝日'!$A$4:$B$83,2,FALSE),"")</f>
        <v/>
      </c>
      <c r="D355" s="11">
        <f>IF(OR(WEEKDAY(A355,2)&gt;=6,C355&lt;&gt;"",COUNTIF('1_祝日'!$D$4:$D$43,A355)&gt;0,AND($B$3=1,OR(AND(MONTH(A355)=12,DAY(A355)&gt;=29),AND(MONTH(A355)=1,DAY(A355)&lt;=3)))),1,0)</f>
        <v/>
      </c>
      <c r="E355" s="7" t="n"/>
      <c r="F355" s="11">
        <f>IF(OR(D355=1,E355=1),1,0)</f>
        <v/>
      </c>
      <c r="G355" s="11">
        <f>IF(F355=1,G354+1,0)</f>
        <v/>
      </c>
      <c r="H355" s="11">
        <f>IF(F355=1,H356+1,0)</f>
        <v/>
      </c>
      <c r="I355" s="11">
        <f>IF(AND(D355=1,E355=1),"もとから休み","")</f>
        <v/>
      </c>
      <c r="J355" s="11">
        <f>IF(F355=1,G355+H355-1,"")</f>
        <v/>
      </c>
      <c r="K355" s="11">
        <f>IF(D355=0,COUNTIF($D$7:D355,0),"")</f>
        <v/>
      </c>
    </row>
    <row r="356">
      <c r="A356" s="10">
        <f>DATE($B$2-1,12,1)+349</f>
        <v/>
      </c>
      <c r="B356" s="11">
        <f>TEXT(A356,"aaa")</f>
        <v/>
      </c>
      <c r="C356" s="12">
        <f>IFERROR(VLOOKUP(A356,'1_祝日'!$A$4:$B$83,2,FALSE),"")</f>
        <v/>
      </c>
      <c r="D356" s="11">
        <f>IF(OR(WEEKDAY(A356,2)&gt;=6,C356&lt;&gt;"",COUNTIF('1_祝日'!$D$4:$D$43,A356)&gt;0,AND($B$3=1,OR(AND(MONTH(A356)=12,DAY(A356)&gt;=29),AND(MONTH(A356)=1,DAY(A356)&lt;=3)))),1,0)</f>
        <v/>
      </c>
      <c r="E356" s="7" t="n"/>
      <c r="F356" s="11">
        <f>IF(OR(D356=1,E356=1),1,0)</f>
        <v/>
      </c>
      <c r="G356" s="11">
        <f>IF(F356=1,G355+1,0)</f>
        <v/>
      </c>
      <c r="H356" s="11">
        <f>IF(F356=1,H357+1,0)</f>
        <v/>
      </c>
      <c r="I356" s="11">
        <f>IF(AND(D356=1,E356=1),"もとから休み","")</f>
        <v/>
      </c>
      <c r="J356" s="11">
        <f>IF(F356=1,G356+H356-1,"")</f>
        <v/>
      </c>
      <c r="K356" s="11">
        <f>IF(D356=0,COUNTIF($D$7:D356,0),"")</f>
        <v/>
      </c>
    </row>
    <row r="357">
      <c r="A357" s="10">
        <f>DATE($B$2-1,12,1)+350</f>
        <v/>
      </c>
      <c r="B357" s="11">
        <f>TEXT(A357,"aaa")</f>
        <v/>
      </c>
      <c r="C357" s="12">
        <f>IFERROR(VLOOKUP(A357,'1_祝日'!$A$4:$B$83,2,FALSE),"")</f>
        <v/>
      </c>
      <c r="D357" s="11">
        <f>IF(OR(WEEKDAY(A357,2)&gt;=6,C357&lt;&gt;"",COUNTIF('1_祝日'!$D$4:$D$43,A357)&gt;0,AND($B$3=1,OR(AND(MONTH(A357)=12,DAY(A357)&gt;=29),AND(MONTH(A357)=1,DAY(A357)&lt;=3)))),1,0)</f>
        <v/>
      </c>
      <c r="E357" s="7" t="n"/>
      <c r="F357" s="11">
        <f>IF(OR(D357=1,E357=1),1,0)</f>
        <v/>
      </c>
      <c r="G357" s="11">
        <f>IF(F357=1,G356+1,0)</f>
        <v/>
      </c>
      <c r="H357" s="11">
        <f>IF(F357=1,H358+1,0)</f>
        <v/>
      </c>
      <c r="I357" s="11">
        <f>IF(AND(D357=1,E357=1),"もとから休み","")</f>
        <v/>
      </c>
      <c r="J357" s="11">
        <f>IF(F357=1,G357+H357-1,"")</f>
        <v/>
      </c>
      <c r="K357" s="11">
        <f>IF(D357=0,COUNTIF($D$7:D357,0),"")</f>
        <v/>
      </c>
    </row>
    <row r="358">
      <c r="A358" s="10">
        <f>DATE($B$2-1,12,1)+351</f>
        <v/>
      </c>
      <c r="B358" s="11">
        <f>TEXT(A358,"aaa")</f>
        <v/>
      </c>
      <c r="C358" s="12">
        <f>IFERROR(VLOOKUP(A358,'1_祝日'!$A$4:$B$83,2,FALSE),"")</f>
        <v/>
      </c>
      <c r="D358" s="11">
        <f>IF(OR(WEEKDAY(A358,2)&gt;=6,C358&lt;&gt;"",COUNTIF('1_祝日'!$D$4:$D$43,A358)&gt;0,AND($B$3=1,OR(AND(MONTH(A358)=12,DAY(A358)&gt;=29),AND(MONTH(A358)=1,DAY(A358)&lt;=3)))),1,0)</f>
        <v/>
      </c>
      <c r="E358" s="7" t="n"/>
      <c r="F358" s="11">
        <f>IF(OR(D358=1,E358=1),1,0)</f>
        <v/>
      </c>
      <c r="G358" s="11">
        <f>IF(F358=1,G357+1,0)</f>
        <v/>
      </c>
      <c r="H358" s="11">
        <f>IF(F358=1,H359+1,0)</f>
        <v/>
      </c>
      <c r="I358" s="11">
        <f>IF(AND(D358=1,E358=1),"もとから休み","")</f>
        <v/>
      </c>
      <c r="J358" s="11">
        <f>IF(F358=1,G358+H358-1,"")</f>
        <v/>
      </c>
      <c r="K358" s="11">
        <f>IF(D358=0,COUNTIF($D$7:D358,0),"")</f>
        <v/>
      </c>
    </row>
    <row r="359">
      <c r="A359" s="10">
        <f>DATE($B$2-1,12,1)+352</f>
        <v/>
      </c>
      <c r="B359" s="11">
        <f>TEXT(A359,"aaa")</f>
        <v/>
      </c>
      <c r="C359" s="12">
        <f>IFERROR(VLOOKUP(A359,'1_祝日'!$A$4:$B$83,2,FALSE),"")</f>
        <v/>
      </c>
      <c r="D359" s="11">
        <f>IF(OR(WEEKDAY(A359,2)&gt;=6,C359&lt;&gt;"",COUNTIF('1_祝日'!$D$4:$D$43,A359)&gt;0,AND($B$3=1,OR(AND(MONTH(A359)=12,DAY(A359)&gt;=29),AND(MONTH(A359)=1,DAY(A359)&lt;=3)))),1,0)</f>
        <v/>
      </c>
      <c r="E359" s="7" t="n"/>
      <c r="F359" s="11">
        <f>IF(OR(D359=1,E359=1),1,0)</f>
        <v/>
      </c>
      <c r="G359" s="11">
        <f>IF(F359=1,G358+1,0)</f>
        <v/>
      </c>
      <c r="H359" s="11">
        <f>IF(F359=1,H360+1,0)</f>
        <v/>
      </c>
      <c r="I359" s="11">
        <f>IF(AND(D359=1,E359=1),"もとから休み","")</f>
        <v/>
      </c>
      <c r="J359" s="11">
        <f>IF(F359=1,G359+H359-1,"")</f>
        <v/>
      </c>
      <c r="K359" s="11">
        <f>IF(D359=0,COUNTIF($D$7:D359,0),"")</f>
        <v/>
      </c>
    </row>
    <row r="360">
      <c r="A360" s="10">
        <f>DATE($B$2-1,12,1)+353</f>
        <v/>
      </c>
      <c r="B360" s="11">
        <f>TEXT(A360,"aaa")</f>
        <v/>
      </c>
      <c r="C360" s="12">
        <f>IFERROR(VLOOKUP(A360,'1_祝日'!$A$4:$B$83,2,FALSE),"")</f>
        <v/>
      </c>
      <c r="D360" s="11">
        <f>IF(OR(WEEKDAY(A360,2)&gt;=6,C360&lt;&gt;"",COUNTIF('1_祝日'!$D$4:$D$43,A360)&gt;0,AND($B$3=1,OR(AND(MONTH(A360)=12,DAY(A360)&gt;=29),AND(MONTH(A360)=1,DAY(A360)&lt;=3)))),1,0)</f>
        <v/>
      </c>
      <c r="E360" s="7" t="n"/>
      <c r="F360" s="11">
        <f>IF(OR(D360=1,E360=1),1,0)</f>
        <v/>
      </c>
      <c r="G360" s="11">
        <f>IF(F360=1,G359+1,0)</f>
        <v/>
      </c>
      <c r="H360" s="11">
        <f>IF(F360=1,H361+1,0)</f>
        <v/>
      </c>
      <c r="I360" s="11">
        <f>IF(AND(D360=1,E360=1),"もとから休み","")</f>
        <v/>
      </c>
      <c r="J360" s="11">
        <f>IF(F360=1,G360+H360-1,"")</f>
        <v/>
      </c>
      <c r="K360" s="11">
        <f>IF(D360=0,COUNTIF($D$7:D360,0),"")</f>
        <v/>
      </c>
    </row>
    <row r="361">
      <c r="A361" s="10">
        <f>DATE($B$2-1,12,1)+354</f>
        <v/>
      </c>
      <c r="B361" s="11">
        <f>TEXT(A361,"aaa")</f>
        <v/>
      </c>
      <c r="C361" s="12">
        <f>IFERROR(VLOOKUP(A361,'1_祝日'!$A$4:$B$83,2,FALSE),"")</f>
        <v/>
      </c>
      <c r="D361" s="11">
        <f>IF(OR(WEEKDAY(A361,2)&gt;=6,C361&lt;&gt;"",COUNTIF('1_祝日'!$D$4:$D$43,A361)&gt;0,AND($B$3=1,OR(AND(MONTH(A361)=12,DAY(A361)&gt;=29),AND(MONTH(A361)=1,DAY(A361)&lt;=3)))),1,0)</f>
        <v/>
      </c>
      <c r="E361" s="7" t="n"/>
      <c r="F361" s="11">
        <f>IF(OR(D361=1,E361=1),1,0)</f>
        <v/>
      </c>
      <c r="G361" s="11">
        <f>IF(F361=1,G360+1,0)</f>
        <v/>
      </c>
      <c r="H361" s="11">
        <f>IF(F361=1,H362+1,0)</f>
        <v/>
      </c>
      <c r="I361" s="11">
        <f>IF(AND(D361=1,E361=1),"もとから休み","")</f>
        <v/>
      </c>
      <c r="J361" s="11">
        <f>IF(F361=1,G361+H361-1,"")</f>
        <v/>
      </c>
      <c r="K361" s="11">
        <f>IF(D361=0,COUNTIF($D$7:D361,0),"")</f>
        <v/>
      </c>
    </row>
    <row r="362">
      <c r="A362" s="10">
        <f>DATE($B$2-1,12,1)+355</f>
        <v/>
      </c>
      <c r="B362" s="11">
        <f>TEXT(A362,"aaa")</f>
        <v/>
      </c>
      <c r="C362" s="12">
        <f>IFERROR(VLOOKUP(A362,'1_祝日'!$A$4:$B$83,2,FALSE),"")</f>
        <v/>
      </c>
      <c r="D362" s="11">
        <f>IF(OR(WEEKDAY(A362,2)&gt;=6,C362&lt;&gt;"",COUNTIF('1_祝日'!$D$4:$D$43,A362)&gt;0,AND($B$3=1,OR(AND(MONTH(A362)=12,DAY(A362)&gt;=29),AND(MONTH(A362)=1,DAY(A362)&lt;=3)))),1,0)</f>
        <v/>
      </c>
      <c r="E362" s="7" t="n"/>
      <c r="F362" s="11">
        <f>IF(OR(D362=1,E362=1),1,0)</f>
        <v/>
      </c>
      <c r="G362" s="11">
        <f>IF(F362=1,G361+1,0)</f>
        <v/>
      </c>
      <c r="H362" s="11">
        <f>IF(F362=1,H363+1,0)</f>
        <v/>
      </c>
      <c r="I362" s="11">
        <f>IF(AND(D362=1,E362=1),"もとから休み","")</f>
        <v/>
      </c>
      <c r="J362" s="11">
        <f>IF(F362=1,G362+H362-1,"")</f>
        <v/>
      </c>
      <c r="K362" s="11">
        <f>IF(D362=0,COUNTIF($D$7:D362,0),"")</f>
        <v/>
      </c>
    </row>
    <row r="363">
      <c r="A363" s="10">
        <f>DATE($B$2-1,12,1)+356</f>
        <v/>
      </c>
      <c r="B363" s="11">
        <f>TEXT(A363,"aaa")</f>
        <v/>
      </c>
      <c r="C363" s="12">
        <f>IFERROR(VLOOKUP(A363,'1_祝日'!$A$4:$B$83,2,FALSE),"")</f>
        <v/>
      </c>
      <c r="D363" s="11">
        <f>IF(OR(WEEKDAY(A363,2)&gt;=6,C363&lt;&gt;"",COUNTIF('1_祝日'!$D$4:$D$43,A363)&gt;0,AND($B$3=1,OR(AND(MONTH(A363)=12,DAY(A363)&gt;=29),AND(MONTH(A363)=1,DAY(A363)&lt;=3)))),1,0)</f>
        <v/>
      </c>
      <c r="E363" s="7" t="n"/>
      <c r="F363" s="11">
        <f>IF(OR(D363=1,E363=1),1,0)</f>
        <v/>
      </c>
      <c r="G363" s="11">
        <f>IF(F363=1,G362+1,0)</f>
        <v/>
      </c>
      <c r="H363" s="11">
        <f>IF(F363=1,H364+1,0)</f>
        <v/>
      </c>
      <c r="I363" s="11">
        <f>IF(AND(D363=1,E363=1),"もとから休み","")</f>
        <v/>
      </c>
      <c r="J363" s="11">
        <f>IF(F363=1,G363+H363-1,"")</f>
        <v/>
      </c>
      <c r="K363" s="11">
        <f>IF(D363=0,COUNTIF($D$7:D363,0),"")</f>
        <v/>
      </c>
    </row>
    <row r="364">
      <c r="A364" s="10">
        <f>DATE($B$2-1,12,1)+357</f>
        <v/>
      </c>
      <c r="B364" s="11">
        <f>TEXT(A364,"aaa")</f>
        <v/>
      </c>
      <c r="C364" s="12">
        <f>IFERROR(VLOOKUP(A364,'1_祝日'!$A$4:$B$83,2,FALSE),"")</f>
        <v/>
      </c>
      <c r="D364" s="11">
        <f>IF(OR(WEEKDAY(A364,2)&gt;=6,C364&lt;&gt;"",COUNTIF('1_祝日'!$D$4:$D$43,A364)&gt;0,AND($B$3=1,OR(AND(MONTH(A364)=12,DAY(A364)&gt;=29),AND(MONTH(A364)=1,DAY(A364)&lt;=3)))),1,0)</f>
        <v/>
      </c>
      <c r="E364" s="7" t="n"/>
      <c r="F364" s="11">
        <f>IF(OR(D364=1,E364=1),1,0)</f>
        <v/>
      </c>
      <c r="G364" s="11">
        <f>IF(F364=1,G363+1,0)</f>
        <v/>
      </c>
      <c r="H364" s="11">
        <f>IF(F364=1,H365+1,0)</f>
        <v/>
      </c>
      <c r="I364" s="11">
        <f>IF(AND(D364=1,E364=1),"もとから休み","")</f>
        <v/>
      </c>
      <c r="J364" s="11">
        <f>IF(F364=1,G364+H364-1,"")</f>
        <v/>
      </c>
      <c r="K364" s="11">
        <f>IF(D364=0,COUNTIF($D$7:D364,0),"")</f>
        <v/>
      </c>
    </row>
    <row r="365">
      <c r="A365" s="10">
        <f>DATE($B$2-1,12,1)+358</f>
        <v/>
      </c>
      <c r="B365" s="11">
        <f>TEXT(A365,"aaa")</f>
        <v/>
      </c>
      <c r="C365" s="12">
        <f>IFERROR(VLOOKUP(A365,'1_祝日'!$A$4:$B$83,2,FALSE),"")</f>
        <v/>
      </c>
      <c r="D365" s="11">
        <f>IF(OR(WEEKDAY(A365,2)&gt;=6,C365&lt;&gt;"",COUNTIF('1_祝日'!$D$4:$D$43,A365)&gt;0,AND($B$3=1,OR(AND(MONTH(A365)=12,DAY(A365)&gt;=29),AND(MONTH(A365)=1,DAY(A365)&lt;=3)))),1,0)</f>
        <v/>
      </c>
      <c r="E365" s="7" t="n"/>
      <c r="F365" s="11">
        <f>IF(OR(D365=1,E365=1),1,0)</f>
        <v/>
      </c>
      <c r="G365" s="11">
        <f>IF(F365=1,G364+1,0)</f>
        <v/>
      </c>
      <c r="H365" s="11">
        <f>IF(F365=1,H366+1,0)</f>
        <v/>
      </c>
      <c r="I365" s="11">
        <f>IF(AND(D365=1,E365=1),"もとから休み","")</f>
        <v/>
      </c>
      <c r="J365" s="11">
        <f>IF(F365=1,G365+H365-1,"")</f>
        <v/>
      </c>
      <c r="K365" s="11">
        <f>IF(D365=0,COUNTIF($D$7:D365,0),"")</f>
        <v/>
      </c>
    </row>
    <row r="366">
      <c r="A366" s="10">
        <f>DATE($B$2-1,12,1)+359</f>
        <v/>
      </c>
      <c r="B366" s="11">
        <f>TEXT(A366,"aaa")</f>
        <v/>
      </c>
      <c r="C366" s="12">
        <f>IFERROR(VLOOKUP(A366,'1_祝日'!$A$4:$B$83,2,FALSE),"")</f>
        <v/>
      </c>
      <c r="D366" s="11">
        <f>IF(OR(WEEKDAY(A366,2)&gt;=6,C366&lt;&gt;"",COUNTIF('1_祝日'!$D$4:$D$43,A366)&gt;0,AND($B$3=1,OR(AND(MONTH(A366)=12,DAY(A366)&gt;=29),AND(MONTH(A366)=1,DAY(A366)&lt;=3)))),1,0)</f>
        <v/>
      </c>
      <c r="E366" s="7" t="n"/>
      <c r="F366" s="11">
        <f>IF(OR(D366=1,E366=1),1,0)</f>
        <v/>
      </c>
      <c r="G366" s="11">
        <f>IF(F366=1,G365+1,0)</f>
        <v/>
      </c>
      <c r="H366" s="11">
        <f>IF(F366=1,H367+1,0)</f>
        <v/>
      </c>
      <c r="I366" s="11">
        <f>IF(AND(D366=1,E366=1),"もとから休み","")</f>
        <v/>
      </c>
      <c r="J366" s="11">
        <f>IF(F366=1,G366+H366-1,"")</f>
        <v/>
      </c>
      <c r="K366" s="11">
        <f>IF(D366=0,COUNTIF($D$7:D366,0),"")</f>
        <v/>
      </c>
    </row>
    <row r="367">
      <c r="A367" s="10">
        <f>DATE($B$2-1,12,1)+360</f>
        <v/>
      </c>
      <c r="B367" s="11">
        <f>TEXT(A367,"aaa")</f>
        <v/>
      </c>
      <c r="C367" s="12">
        <f>IFERROR(VLOOKUP(A367,'1_祝日'!$A$4:$B$83,2,FALSE),"")</f>
        <v/>
      </c>
      <c r="D367" s="11">
        <f>IF(OR(WEEKDAY(A367,2)&gt;=6,C367&lt;&gt;"",COUNTIF('1_祝日'!$D$4:$D$43,A367)&gt;0,AND($B$3=1,OR(AND(MONTH(A367)=12,DAY(A367)&gt;=29),AND(MONTH(A367)=1,DAY(A367)&lt;=3)))),1,0)</f>
        <v/>
      </c>
      <c r="E367" s="7" t="n"/>
      <c r="F367" s="11">
        <f>IF(OR(D367=1,E367=1),1,0)</f>
        <v/>
      </c>
      <c r="G367" s="11">
        <f>IF(F367=1,G366+1,0)</f>
        <v/>
      </c>
      <c r="H367" s="11">
        <f>IF(F367=1,H368+1,0)</f>
        <v/>
      </c>
      <c r="I367" s="11">
        <f>IF(AND(D367=1,E367=1),"もとから休み","")</f>
        <v/>
      </c>
      <c r="J367" s="11">
        <f>IF(F367=1,G367+H367-1,"")</f>
        <v/>
      </c>
      <c r="K367" s="11">
        <f>IF(D367=0,COUNTIF($D$7:D367,0),"")</f>
        <v/>
      </c>
    </row>
    <row r="368">
      <c r="A368" s="10">
        <f>DATE($B$2-1,12,1)+361</f>
        <v/>
      </c>
      <c r="B368" s="11">
        <f>TEXT(A368,"aaa")</f>
        <v/>
      </c>
      <c r="C368" s="12">
        <f>IFERROR(VLOOKUP(A368,'1_祝日'!$A$4:$B$83,2,FALSE),"")</f>
        <v/>
      </c>
      <c r="D368" s="11">
        <f>IF(OR(WEEKDAY(A368,2)&gt;=6,C368&lt;&gt;"",COUNTIF('1_祝日'!$D$4:$D$43,A368)&gt;0,AND($B$3=1,OR(AND(MONTH(A368)=12,DAY(A368)&gt;=29),AND(MONTH(A368)=1,DAY(A368)&lt;=3)))),1,0)</f>
        <v/>
      </c>
      <c r="E368" s="7" t="n"/>
      <c r="F368" s="11">
        <f>IF(OR(D368=1,E368=1),1,0)</f>
        <v/>
      </c>
      <c r="G368" s="11">
        <f>IF(F368=1,G367+1,0)</f>
        <v/>
      </c>
      <c r="H368" s="11">
        <f>IF(F368=1,H369+1,0)</f>
        <v/>
      </c>
      <c r="I368" s="11">
        <f>IF(AND(D368=1,E368=1),"もとから休み","")</f>
        <v/>
      </c>
      <c r="J368" s="11">
        <f>IF(F368=1,G368+H368-1,"")</f>
        <v/>
      </c>
      <c r="K368" s="11">
        <f>IF(D368=0,COUNTIF($D$7:D368,0),"")</f>
        <v/>
      </c>
    </row>
    <row r="369">
      <c r="A369" s="10">
        <f>DATE($B$2-1,12,1)+362</f>
        <v/>
      </c>
      <c r="B369" s="11">
        <f>TEXT(A369,"aaa")</f>
        <v/>
      </c>
      <c r="C369" s="12">
        <f>IFERROR(VLOOKUP(A369,'1_祝日'!$A$4:$B$83,2,FALSE),"")</f>
        <v/>
      </c>
      <c r="D369" s="11">
        <f>IF(OR(WEEKDAY(A369,2)&gt;=6,C369&lt;&gt;"",COUNTIF('1_祝日'!$D$4:$D$43,A369)&gt;0,AND($B$3=1,OR(AND(MONTH(A369)=12,DAY(A369)&gt;=29),AND(MONTH(A369)=1,DAY(A369)&lt;=3)))),1,0)</f>
        <v/>
      </c>
      <c r="E369" s="7" t="n"/>
      <c r="F369" s="11">
        <f>IF(OR(D369=1,E369=1),1,0)</f>
        <v/>
      </c>
      <c r="G369" s="11">
        <f>IF(F369=1,G368+1,0)</f>
        <v/>
      </c>
      <c r="H369" s="11">
        <f>IF(F369=1,H370+1,0)</f>
        <v/>
      </c>
      <c r="I369" s="11">
        <f>IF(AND(D369=1,E369=1),"もとから休み","")</f>
        <v/>
      </c>
      <c r="J369" s="11">
        <f>IF(F369=1,G369+H369-1,"")</f>
        <v/>
      </c>
      <c r="K369" s="11">
        <f>IF(D369=0,COUNTIF($D$7:D369,0),"")</f>
        <v/>
      </c>
    </row>
    <row r="370">
      <c r="A370" s="10">
        <f>DATE($B$2-1,12,1)+363</f>
        <v/>
      </c>
      <c r="B370" s="11">
        <f>TEXT(A370,"aaa")</f>
        <v/>
      </c>
      <c r="C370" s="12">
        <f>IFERROR(VLOOKUP(A370,'1_祝日'!$A$4:$B$83,2,FALSE),"")</f>
        <v/>
      </c>
      <c r="D370" s="11">
        <f>IF(OR(WEEKDAY(A370,2)&gt;=6,C370&lt;&gt;"",COUNTIF('1_祝日'!$D$4:$D$43,A370)&gt;0,AND($B$3=1,OR(AND(MONTH(A370)=12,DAY(A370)&gt;=29),AND(MONTH(A370)=1,DAY(A370)&lt;=3)))),1,0)</f>
        <v/>
      </c>
      <c r="E370" s="7" t="n"/>
      <c r="F370" s="11">
        <f>IF(OR(D370=1,E370=1),1,0)</f>
        <v/>
      </c>
      <c r="G370" s="11">
        <f>IF(F370=1,G369+1,0)</f>
        <v/>
      </c>
      <c r="H370" s="11">
        <f>IF(F370=1,H371+1,0)</f>
        <v/>
      </c>
      <c r="I370" s="11">
        <f>IF(AND(D370=1,E370=1),"もとから休み","")</f>
        <v/>
      </c>
      <c r="J370" s="11">
        <f>IF(F370=1,G370+H370-1,"")</f>
        <v/>
      </c>
      <c r="K370" s="11">
        <f>IF(D370=0,COUNTIF($D$7:D370,0),"")</f>
        <v/>
      </c>
    </row>
    <row r="371">
      <c r="A371" s="10">
        <f>DATE($B$2-1,12,1)+364</f>
        <v/>
      </c>
      <c r="B371" s="11">
        <f>TEXT(A371,"aaa")</f>
        <v/>
      </c>
      <c r="C371" s="12">
        <f>IFERROR(VLOOKUP(A371,'1_祝日'!$A$4:$B$83,2,FALSE),"")</f>
        <v/>
      </c>
      <c r="D371" s="11">
        <f>IF(OR(WEEKDAY(A371,2)&gt;=6,C371&lt;&gt;"",COUNTIF('1_祝日'!$D$4:$D$43,A371)&gt;0,AND($B$3=1,OR(AND(MONTH(A371)=12,DAY(A371)&gt;=29),AND(MONTH(A371)=1,DAY(A371)&lt;=3)))),1,0)</f>
        <v/>
      </c>
      <c r="E371" s="7" t="n"/>
      <c r="F371" s="11">
        <f>IF(OR(D371=1,E371=1),1,0)</f>
        <v/>
      </c>
      <c r="G371" s="11">
        <f>IF(F371=1,G370+1,0)</f>
        <v/>
      </c>
      <c r="H371" s="11">
        <f>IF(F371=1,H372+1,0)</f>
        <v/>
      </c>
      <c r="I371" s="11">
        <f>IF(AND(D371=1,E371=1),"もとから休み","")</f>
        <v/>
      </c>
      <c r="J371" s="11">
        <f>IF(F371=1,G371+H371-1,"")</f>
        <v/>
      </c>
      <c r="K371" s="11">
        <f>IF(D371=0,COUNTIF($D$7:D371,0),"")</f>
        <v/>
      </c>
    </row>
    <row r="372">
      <c r="A372" s="10">
        <f>DATE($B$2-1,12,1)+365</f>
        <v/>
      </c>
      <c r="B372" s="11">
        <f>TEXT(A372,"aaa")</f>
        <v/>
      </c>
      <c r="C372" s="12">
        <f>IFERROR(VLOOKUP(A372,'1_祝日'!$A$4:$B$83,2,FALSE),"")</f>
        <v/>
      </c>
      <c r="D372" s="11">
        <f>IF(OR(WEEKDAY(A372,2)&gt;=6,C372&lt;&gt;"",COUNTIF('1_祝日'!$D$4:$D$43,A372)&gt;0,AND($B$3=1,OR(AND(MONTH(A372)=12,DAY(A372)&gt;=29),AND(MONTH(A372)=1,DAY(A372)&lt;=3)))),1,0)</f>
        <v/>
      </c>
      <c r="E372" s="7" t="n"/>
      <c r="F372" s="11">
        <f>IF(OR(D372=1,E372=1),1,0)</f>
        <v/>
      </c>
      <c r="G372" s="11">
        <f>IF(F372=1,G371+1,0)</f>
        <v/>
      </c>
      <c r="H372" s="11">
        <f>IF(F372=1,H373+1,0)</f>
        <v/>
      </c>
      <c r="I372" s="11">
        <f>IF(AND(D372=1,E372=1),"もとから休み","")</f>
        <v/>
      </c>
      <c r="J372" s="11">
        <f>IF(F372=1,G372+H372-1,"")</f>
        <v/>
      </c>
      <c r="K372" s="11">
        <f>IF(D372=0,COUNTIF($D$7:D372,0),"")</f>
        <v/>
      </c>
    </row>
    <row r="373">
      <c r="A373" s="10">
        <f>DATE($B$2-1,12,1)+366</f>
        <v/>
      </c>
      <c r="B373" s="11">
        <f>TEXT(A373,"aaa")</f>
        <v/>
      </c>
      <c r="C373" s="12">
        <f>IFERROR(VLOOKUP(A373,'1_祝日'!$A$4:$B$83,2,FALSE),"")</f>
        <v/>
      </c>
      <c r="D373" s="11">
        <f>IF(OR(WEEKDAY(A373,2)&gt;=6,C373&lt;&gt;"",COUNTIF('1_祝日'!$D$4:$D$43,A373)&gt;0,AND($B$3=1,OR(AND(MONTH(A373)=12,DAY(A373)&gt;=29),AND(MONTH(A373)=1,DAY(A373)&lt;=3)))),1,0)</f>
        <v/>
      </c>
      <c r="E373" s="7" t="n"/>
      <c r="F373" s="11">
        <f>IF(OR(D373=1,E373=1),1,0)</f>
        <v/>
      </c>
      <c r="G373" s="11">
        <f>IF(F373=1,G372+1,0)</f>
        <v/>
      </c>
      <c r="H373" s="11">
        <f>IF(F373=1,H374+1,0)</f>
        <v/>
      </c>
      <c r="I373" s="11">
        <f>IF(AND(D373=1,E373=1),"もとから休み","")</f>
        <v/>
      </c>
      <c r="J373" s="11">
        <f>IF(F373=1,G373+H373-1,"")</f>
        <v/>
      </c>
      <c r="K373" s="11">
        <f>IF(D373=0,COUNTIF($D$7:D373,0),"")</f>
        <v/>
      </c>
    </row>
    <row r="374">
      <c r="A374" s="10">
        <f>DATE($B$2-1,12,1)+367</f>
        <v/>
      </c>
      <c r="B374" s="11">
        <f>TEXT(A374,"aaa")</f>
        <v/>
      </c>
      <c r="C374" s="12">
        <f>IFERROR(VLOOKUP(A374,'1_祝日'!$A$4:$B$83,2,FALSE),"")</f>
        <v/>
      </c>
      <c r="D374" s="11">
        <f>IF(OR(WEEKDAY(A374,2)&gt;=6,C374&lt;&gt;"",COUNTIF('1_祝日'!$D$4:$D$43,A374)&gt;0,AND($B$3=1,OR(AND(MONTH(A374)=12,DAY(A374)&gt;=29),AND(MONTH(A374)=1,DAY(A374)&lt;=3)))),1,0)</f>
        <v/>
      </c>
      <c r="E374" s="7" t="n"/>
      <c r="F374" s="11">
        <f>IF(OR(D374=1,E374=1),1,0)</f>
        <v/>
      </c>
      <c r="G374" s="11">
        <f>IF(F374=1,G373+1,0)</f>
        <v/>
      </c>
      <c r="H374" s="11">
        <f>IF(F374=1,H375+1,0)</f>
        <v/>
      </c>
      <c r="I374" s="11">
        <f>IF(AND(D374=1,E374=1),"もとから休み","")</f>
        <v/>
      </c>
      <c r="J374" s="11">
        <f>IF(F374=1,G374+H374-1,"")</f>
        <v/>
      </c>
      <c r="K374" s="11">
        <f>IF(D374=0,COUNTIF($D$7:D374,0),"")</f>
        <v/>
      </c>
    </row>
    <row r="375">
      <c r="A375" s="10">
        <f>DATE($B$2-1,12,1)+368</f>
        <v/>
      </c>
      <c r="B375" s="11">
        <f>TEXT(A375,"aaa")</f>
        <v/>
      </c>
      <c r="C375" s="12">
        <f>IFERROR(VLOOKUP(A375,'1_祝日'!$A$4:$B$83,2,FALSE),"")</f>
        <v/>
      </c>
      <c r="D375" s="11">
        <f>IF(OR(WEEKDAY(A375,2)&gt;=6,C375&lt;&gt;"",COUNTIF('1_祝日'!$D$4:$D$43,A375)&gt;0,AND($B$3=1,OR(AND(MONTH(A375)=12,DAY(A375)&gt;=29),AND(MONTH(A375)=1,DAY(A375)&lt;=3)))),1,0)</f>
        <v/>
      </c>
      <c r="E375" s="7" t="n"/>
      <c r="F375" s="11">
        <f>IF(OR(D375=1,E375=1),1,0)</f>
        <v/>
      </c>
      <c r="G375" s="11">
        <f>IF(F375=1,G374+1,0)</f>
        <v/>
      </c>
      <c r="H375" s="11">
        <f>IF(F375=1,H376+1,0)</f>
        <v/>
      </c>
      <c r="I375" s="11">
        <f>IF(AND(D375=1,E375=1),"もとから休み","")</f>
        <v/>
      </c>
      <c r="J375" s="11">
        <f>IF(F375=1,G375+H375-1,"")</f>
        <v/>
      </c>
      <c r="K375" s="11">
        <f>IF(D375=0,COUNTIF($D$7:D375,0),"")</f>
        <v/>
      </c>
    </row>
    <row r="376">
      <c r="A376" s="10">
        <f>DATE($B$2-1,12,1)+369</f>
        <v/>
      </c>
      <c r="B376" s="11">
        <f>TEXT(A376,"aaa")</f>
        <v/>
      </c>
      <c r="C376" s="12">
        <f>IFERROR(VLOOKUP(A376,'1_祝日'!$A$4:$B$83,2,FALSE),"")</f>
        <v/>
      </c>
      <c r="D376" s="11">
        <f>IF(OR(WEEKDAY(A376,2)&gt;=6,C376&lt;&gt;"",COUNTIF('1_祝日'!$D$4:$D$43,A376)&gt;0,AND($B$3=1,OR(AND(MONTH(A376)=12,DAY(A376)&gt;=29),AND(MONTH(A376)=1,DAY(A376)&lt;=3)))),1,0)</f>
        <v/>
      </c>
      <c r="E376" s="7" t="n"/>
      <c r="F376" s="11">
        <f>IF(OR(D376=1,E376=1),1,0)</f>
        <v/>
      </c>
      <c r="G376" s="11">
        <f>IF(F376=1,G375+1,0)</f>
        <v/>
      </c>
      <c r="H376" s="11">
        <f>IF(F376=1,H377+1,0)</f>
        <v/>
      </c>
      <c r="I376" s="11">
        <f>IF(AND(D376=1,E376=1),"もとから休み","")</f>
        <v/>
      </c>
      <c r="J376" s="11">
        <f>IF(F376=1,G376+H376-1,"")</f>
        <v/>
      </c>
      <c r="K376" s="11">
        <f>IF(D376=0,COUNTIF($D$7:D376,0),"")</f>
        <v/>
      </c>
    </row>
    <row r="377">
      <c r="A377" s="10">
        <f>DATE($B$2-1,12,1)+370</f>
        <v/>
      </c>
      <c r="B377" s="11">
        <f>TEXT(A377,"aaa")</f>
        <v/>
      </c>
      <c r="C377" s="12">
        <f>IFERROR(VLOOKUP(A377,'1_祝日'!$A$4:$B$83,2,FALSE),"")</f>
        <v/>
      </c>
      <c r="D377" s="11">
        <f>IF(OR(WEEKDAY(A377,2)&gt;=6,C377&lt;&gt;"",COUNTIF('1_祝日'!$D$4:$D$43,A377)&gt;0,AND($B$3=1,OR(AND(MONTH(A377)=12,DAY(A377)&gt;=29),AND(MONTH(A377)=1,DAY(A377)&lt;=3)))),1,0)</f>
        <v/>
      </c>
      <c r="E377" s="7" t="n"/>
      <c r="F377" s="11">
        <f>IF(OR(D377=1,E377=1),1,0)</f>
        <v/>
      </c>
      <c r="G377" s="11">
        <f>IF(F377=1,G376+1,0)</f>
        <v/>
      </c>
      <c r="H377" s="11">
        <f>IF(F377=1,H378+1,0)</f>
        <v/>
      </c>
      <c r="I377" s="11">
        <f>IF(AND(D377=1,E377=1),"もとから休み","")</f>
        <v/>
      </c>
      <c r="J377" s="11">
        <f>IF(F377=1,G377+H377-1,"")</f>
        <v/>
      </c>
      <c r="K377" s="11">
        <f>IF(D377=0,COUNTIF($D$7:D377,0),"")</f>
        <v/>
      </c>
    </row>
    <row r="378">
      <c r="A378" s="10">
        <f>DATE($B$2-1,12,1)+371</f>
        <v/>
      </c>
      <c r="B378" s="11">
        <f>TEXT(A378,"aaa")</f>
        <v/>
      </c>
      <c r="C378" s="12">
        <f>IFERROR(VLOOKUP(A378,'1_祝日'!$A$4:$B$83,2,FALSE),"")</f>
        <v/>
      </c>
      <c r="D378" s="11">
        <f>IF(OR(WEEKDAY(A378,2)&gt;=6,C378&lt;&gt;"",COUNTIF('1_祝日'!$D$4:$D$43,A378)&gt;0,AND($B$3=1,OR(AND(MONTH(A378)=12,DAY(A378)&gt;=29),AND(MONTH(A378)=1,DAY(A378)&lt;=3)))),1,0)</f>
        <v/>
      </c>
      <c r="E378" s="7" t="n"/>
      <c r="F378" s="11">
        <f>IF(OR(D378=1,E378=1),1,0)</f>
        <v/>
      </c>
      <c r="G378" s="11">
        <f>IF(F378=1,G377+1,0)</f>
        <v/>
      </c>
      <c r="H378" s="11">
        <f>IF(F378=1,H379+1,0)</f>
        <v/>
      </c>
      <c r="I378" s="11">
        <f>IF(AND(D378=1,E378=1),"もとから休み","")</f>
        <v/>
      </c>
      <c r="J378" s="11">
        <f>IF(F378=1,G378+H378-1,"")</f>
        <v/>
      </c>
      <c r="K378" s="11">
        <f>IF(D378=0,COUNTIF($D$7:D378,0),"")</f>
        <v/>
      </c>
    </row>
    <row r="379">
      <c r="A379" s="10">
        <f>DATE($B$2-1,12,1)+372</f>
        <v/>
      </c>
      <c r="B379" s="11">
        <f>TEXT(A379,"aaa")</f>
        <v/>
      </c>
      <c r="C379" s="12">
        <f>IFERROR(VLOOKUP(A379,'1_祝日'!$A$4:$B$83,2,FALSE),"")</f>
        <v/>
      </c>
      <c r="D379" s="11">
        <f>IF(OR(WEEKDAY(A379,2)&gt;=6,C379&lt;&gt;"",COUNTIF('1_祝日'!$D$4:$D$43,A379)&gt;0,AND($B$3=1,OR(AND(MONTH(A379)=12,DAY(A379)&gt;=29),AND(MONTH(A379)=1,DAY(A379)&lt;=3)))),1,0)</f>
        <v/>
      </c>
      <c r="E379" s="7" t="n"/>
      <c r="F379" s="11">
        <f>IF(OR(D379=1,E379=1),1,0)</f>
        <v/>
      </c>
      <c r="G379" s="11">
        <f>IF(F379=1,G378+1,0)</f>
        <v/>
      </c>
      <c r="H379" s="11">
        <f>IF(F379=1,H380+1,0)</f>
        <v/>
      </c>
      <c r="I379" s="11">
        <f>IF(AND(D379=1,E379=1),"もとから休み","")</f>
        <v/>
      </c>
      <c r="J379" s="11">
        <f>IF(F379=1,G379+H379-1,"")</f>
        <v/>
      </c>
      <c r="K379" s="11">
        <f>IF(D379=0,COUNTIF($D$7:D379,0),"")</f>
        <v/>
      </c>
    </row>
    <row r="380">
      <c r="A380" s="10">
        <f>DATE($B$2-1,12,1)+373</f>
        <v/>
      </c>
      <c r="B380" s="11">
        <f>TEXT(A380,"aaa")</f>
        <v/>
      </c>
      <c r="C380" s="12">
        <f>IFERROR(VLOOKUP(A380,'1_祝日'!$A$4:$B$83,2,FALSE),"")</f>
        <v/>
      </c>
      <c r="D380" s="11">
        <f>IF(OR(WEEKDAY(A380,2)&gt;=6,C380&lt;&gt;"",COUNTIF('1_祝日'!$D$4:$D$43,A380)&gt;0,AND($B$3=1,OR(AND(MONTH(A380)=12,DAY(A380)&gt;=29),AND(MONTH(A380)=1,DAY(A380)&lt;=3)))),1,0)</f>
        <v/>
      </c>
      <c r="E380" s="7" t="n"/>
      <c r="F380" s="11">
        <f>IF(OR(D380=1,E380=1),1,0)</f>
        <v/>
      </c>
      <c r="G380" s="11">
        <f>IF(F380=1,G379+1,0)</f>
        <v/>
      </c>
      <c r="H380" s="11">
        <f>IF(F380=1,H381+1,0)</f>
        <v/>
      </c>
      <c r="I380" s="11">
        <f>IF(AND(D380=1,E380=1),"もとから休み","")</f>
        <v/>
      </c>
      <c r="J380" s="11">
        <f>IF(F380=1,G380+H380-1,"")</f>
        <v/>
      </c>
      <c r="K380" s="11">
        <f>IF(D380=0,COUNTIF($D$7:D380,0),"")</f>
        <v/>
      </c>
    </row>
    <row r="381">
      <c r="A381" s="10">
        <f>DATE($B$2-1,12,1)+374</f>
        <v/>
      </c>
      <c r="B381" s="11">
        <f>TEXT(A381,"aaa")</f>
        <v/>
      </c>
      <c r="C381" s="12">
        <f>IFERROR(VLOOKUP(A381,'1_祝日'!$A$4:$B$83,2,FALSE),"")</f>
        <v/>
      </c>
      <c r="D381" s="11">
        <f>IF(OR(WEEKDAY(A381,2)&gt;=6,C381&lt;&gt;"",COUNTIF('1_祝日'!$D$4:$D$43,A381)&gt;0,AND($B$3=1,OR(AND(MONTH(A381)=12,DAY(A381)&gt;=29),AND(MONTH(A381)=1,DAY(A381)&lt;=3)))),1,0)</f>
        <v/>
      </c>
      <c r="E381" s="7" t="n"/>
      <c r="F381" s="11">
        <f>IF(OR(D381=1,E381=1),1,0)</f>
        <v/>
      </c>
      <c r="G381" s="11">
        <f>IF(F381=1,G380+1,0)</f>
        <v/>
      </c>
      <c r="H381" s="11">
        <f>IF(F381=1,H382+1,0)</f>
        <v/>
      </c>
      <c r="I381" s="11">
        <f>IF(AND(D381=1,E381=1),"もとから休み","")</f>
        <v/>
      </c>
      <c r="J381" s="11">
        <f>IF(F381=1,G381+H381-1,"")</f>
        <v/>
      </c>
      <c r="K381" s="11">
        <f>IF(D381=0,COUNTIF($D$7:D381,0),"")</f>
        <v/>
      </c>
    </row>
    <row r="382">
      <c r="A382" s="10">
        <f>DATE($B$2-1,12,1)+375</f>
        <v/>
      </c>
      <c r="B382" s="11">
        <f>TEXT(A382,"aaa")</f>
        <v/>
      </c>
      <c r="C382" s="12">
        <f>IFERROR(VLOOKUP(A382,'1_祝日'!$A$4:$B$83,2,FALSE),"")</f>
        <v/>
      </c>
      <c r="D382" s="11">
        <f>IF(OR(WEEKDAY(A382,2)&gt;=6,C382&lt;&gt;"",COUNTIF('1_祝日'!$D$4:$D$43,A382)&gt;0,AND($B$3=1,OR(AND(MONTH(A382)=12,DAY(A382)&gt;=29),AND(MONTH(A382)=1,DAY(A382)&lt;=3)))),1,0)</f>
        <v/>
      </c>
      <c r="E382" s="7" t="n"/>
      <c r="F382" s="11">
        <f>IF(OR(D382=1,E382=1),1,0)</f>
        <v/>
      </c>
      <c r="G382" s="11">
        <f>IF(F382=1,G381+1,0)</f>
        <v/>
      </c>
      <c r="H382" s="11">
        <f>IF(F382=1,H383+1,0)</f>
        <v/>
      </c>
      <c r="I382" s="11">
        <f>IF(AND(D382=1,E382=1),"もとから休み","")</f>
        <v/>
      </c>
      <c r="J382" s="11">
        <f>IF(F382=1,G382+H382-1,"")</f>
        <v/>
      </c>
      <c r="K382" s="11">
        <f>IF(D382=0,COUNTIF($D$7:D382,0),"")</f>
        <v/>
      </c>
    </row>
    <row r="383">
      <c r="A383" s="10">
        <f>DATE($B$2-1,12,1)+376</f>
        <v/>
      </c>
      <c r="B383" s="11">
        <f>TEXT(A383,"aaa")</f>
        <v/>
      </c>
      <c r="C383" s="12">
        <f>IFERROR(VLOOKUP(A383,'1_祝日'!$A$4:$B$83,2,FALSE),"")</f>
        <v/>
      </c>
      <c r="D383" s="11">
        <f>IF(OR(WEEKDAY(A383,2)&gt;=6,C383&lt;&gt;"",COUNTIF('1_祝日'!$D$4:$D$43,A383)&gt;0,AND($B$3=1,OR(AND(MONTH(A383)=12,DAY(A383)&gt;=29),AND(MONTH(A383)=1,DAY(A383)&lt;=3)))),1,0)</f>
        <v/>
      </c>
      <c r="E383" s="7" t="n"/>
      <c r="F383" s="11">
        <f>IF(OR(D383=1,E383=1),1,0)</f>
        <v/>
      </c>
      <c r="G383" s="11">
        <f>IF(F383=1,G382+1,0)</f>
        <v/>
      </c>
      <c r="H383" s="11">
        <f>IF(F383=1,H384+1,0)</f>
        <v/>
      </c>
      <c r="I383" s="11">
        <f>IF(AND(D383=1,E383=1),"もとから休み","")</f>
        <v/>
      </c>
      <c r="J383" s="11">
        <f>IF(F383=1,G383+H383-1,"")</f>
        <v/>
      </c>
      <c r="K383" s="11">
        <f>IF(D383=0,COUNTIF($D$7:D383,0),"")</f>
        <v/>
      </c>
    </row>
    <row r="384">
      <c r="A384" s="10">
        <f>DATE($B$2-1,12,1)+377</f>
        <v/>
      </c>
      <c r="B384" s="11">
        <f>TEXT(A384,"aaa")</f>
        <v/>
      </c>
      <c r="C384" s="12">
        <f>IFERROR(VLOOKUP(A384,'1_祝日'!$A$4:$B$83,2,FALSE),"")</f>
        <v/>
      </c>
      <c r="D384" s="11">
        <f>IF(OR(WEEKDAY(A384,2)&gt;=6,C384&lt;&gt;"",COUNTIF('1_祝日'!$D$4:$D$43,A384)&gt;0,AND($B$3=1,OR(AND(MONTH(A384)=12,DAY(A384)&gt;=29),AND(MONTH(A384)=1,DAY(A384)&lt;=3)))),1,0)</f>
        <v/>
      </c>
      <c r="E384" s="7" t="n"/>
      <c r="F384" s="11">
        <f>IF(OR(D384=1,E384=1),1,0)</f>
        <v/>
      </c>
      <c r="G384" s="11">
        <f>IF(F384=1,G383+1,0)</f>
        <v/>
      </c>
      <c r="H384" s="11">
        <f>IF(F384=1,H385+1,0)</f>
        <v/>
      </c>
      <c r="I384" s="11">
        <f>IF(AND(D384=1,E384=1),"もとから休み","")</f>
        <v/>
      </c>
      <c r="J384" s="11">
        <f>IF(F384=1,G384+H384-1,"")</f>
        <v/>
      </c>
      <c r="K384" s="11">
        <f>IF(D384=0,COUNTIF($D$7:D384,0),"")</f>
        <v/>
      </c>
    </row>
    <row r="385">
      <c r="A385" s="10">
        <f>DATE($B$2-1,12,1)+378</f>
        <v/>
      </c>
      <c r="B385" s="11">
        <f>TEXT(A385,"aaa")</f>
        <v/>
      </c>
      <c r="C385" s="12">
        <f>IFERROR(VLOOKUP(A385,'1_祝日'!$A$4:$B$83,2,FALSE),"")</f>
        <v/>
      </c>
      <c r="D385" s="11">
        <f>IF(OR(WEEKDAY(A385,2)&gt;=6,C385&lt;&gt;"",COUNTIF('1_祝日'!$D$4:$D$43,A385)&gt;0,AND($B$3=1,OR(AND(MONTH(A385)=12,DAY(A385)&gt;=29),AND(MONTH(A385)=1,DAY(A385)&lt;=3)))),1,0)</f>
        <v/>
      </c>
      <c r="E385" s="7" t="n"/>
      <c r="F385" s="11">
        <f>IF(OR(D385=1,E385=1),1,0)</f>
        <v/>
      </c>
      <c r="G385" s="11">
        <f>IF(F385=1,G384+1,0)</f>
        <v/>
      </c>
      <c r="H385" s="11">
        <f>IF(F385=1,H386+1,0)</f>
        <v/>
      </c>
      <c r="I385" s="11">
        <f>IF(AND(D385=1,E385=1),"もとから休み","")</f>
        <v/>
      </c>
      <c r="J385" s="11">
        <f>IF(F385=1,G385+H385-1,"")</f>
        <v/>
      </c>
      <c r="K385" s="11">
        <f>IF(D385=0,COUNTIF($D$7:D385,0),"")</f>
        <v/>
      </c>
    </row>
    <row r="386">
      <c r="A386" s="10">
        <f>DATE($B$2-1,12,1)+379</f>
        <v/>
      </c>
      <c r="B386" s="11">
        <f>TEXT(A386,"aaa")</f>
        <v/>
      </c>
      <c r="C386" s="12">
        <f>IFERROR(VLOOKUP(A386,'1_祝日'!$A$4:$B$83,2,FALSE),"")</f>
        <v/>
      </c>
      <c r="D386" s="11">
        <f>IF(OR(WEEKDAY(A386,2)&gt;=6,C386&lt;&gt;"",COUNTIF('1_祝日'!$D$4:$D$43,A386)&gt;0,AND($B$3=1,OR(AND(MONTH(A386)=12,DAY(A386)&gt;=29),AND(MONTH(A386)=1,DAY(A386)&lt;=3)))),1,0)</f>
        <v/>
      </c>
      <c r="E386" s="7" t="n"/>
      <c r="F386" s="11">
        <f>IF(OR(D386=1,E386=1),1,0)</f>
        <v/>
      </c>
      <c r="G386" s="11">
        <f>IF(F386=1,G385+1,0)</f>
        <v/>
      </c>
      <c r="H386" s="11">
        <f>IF(F386=1,H387+1,0)</f>
        <v/>
      </c>
      <c r="I386" s="11">
        <f>IF(AND(D386=1,E386=1),"もとから休み","")</f>
        <v/>
      </c>
      <c r="J386" s="11">
        <f>IF(F386=1,G386+H386-1,"")</f>
        <v/>
      </c>
      <c r="K386" s="11">
        <f>IF(D386=0,COUNTIF($D$7:D386,0),"")</f>
        <v/>
      </c>
    </row>
    <row r="387">
      <c r="A387" s="10">
        <f>DATE($B$2-1,12,1)+380</f>
        <v/>
      </c>
      <c r="B387" s="11">
        <f>TEXT(A387,"aaa")</f>
        <v/>
      </c>
      <c r="C387" s="12">
        <f>IFERROR(VLOOKUP(A387,'1_祝日'!$A$4:$B$83,2,FALSE),"")</f>
        <v/>
      </c>
      <c r="D387" s="11">
        <f>IF(OR(WEEKDAY(A387,2)&gt;=6,C387&lt;&gt;"",COUNTIF('1_祝日'!$D$4:$D$43,A387)&gt;0,AND($B$3=1,OR(AND(MONTH(A387)=12,DAY(A387)&gt;=29),AND(MONTH(A387)=1,DAY(A387)&lt;=3)))),1,0)</f>
        <v/>
      </c>
      <c r="E387" s="7" t="n"/>
      <c r="F387" s="11">
        <f>IF(OR(D387=1,E387=1),1,0)</f>
        <v/>
      </c>
      <c r="G387" s="11">
        <f>IF(F387=1,G386+1,0)</f>
        <v/>
      </c>
      <c r="H387" s="11">
        <f>IF(F387=1,H388+1,0)</f>
        <v/>
      </c>
      <c r="I387" s="11">
        <f>IF(AND(D387=1,E387=1),"もとから休み","")</f>
        <v/>
      </c>
      <c r="J387" s="11">
        <f>IF(F387=1,G387+H387-1,"")</f>
        <v/>
      </c>
      <c r="K387" s="11">
        <f>IF(D387=0,COUNTIF($D$7:D387,0),"")</f>
        <v/>
      </c>
    </row>
    <row r="388">
      <c r="A388" s="10">
        <f>DATE($B$2-1,12,1)+381</f>
        <v/>
      </c>
      <c r="B388" s="11">
        <f>TEXT(A388,"aaa")</f>
        <v/>
      </c>
      <c r="C388" s="12">
        <f>IFERROR(VLOOKUP(A388,'1_祝日'!$A$4:$B$83,2,FALSE),"")</f>
        <v/>
      </c>
      <c r="D388" s="11">
        <f>IF(OR(WEEKDAY(A388,2)&gt;=6,C388&lt;&gt;"",COUNTIF('1_祝日'!$D$4:$D$43,A388)&gt;0,AND($B$3=1,OR(AND(MONTH(A388)=12,DAY(A388)&gt;=29),AND(MONTH(A388)=1,DAY(A388)&lt;=3)))),1,0)</f>
        <v/>
      </c>
      <c r="E388" s="7" t="n"/>
      <c r="F388" s="11">
        <f>IF(OR(D388=1,E388=1),1,0)</f>
        <v/>
      </c>
      <c r="G388" s="11">
        <f>IF(F388=1,G387+1,0)</f>
        <v/>
      </c>
      <c r="H388" s="11">
        <f>IF(F388=1,H389+1,0)</f>
        <v/>
      </c>
      <c r="I388" s="11">
        <f>IF(AND(D388=1,E388=1),"もとから休み","")</f>
        <v/>
      </c>
      <c r="J388" s="11">
        <f>IF(F388=1,G388+H388-1,"")</f>
        <v/>
      </c>
      <c r="K388" s="11">
        <f>IF(D388=0,COUNTIF($D$7:D388,0),"")</f>
        <v/>
      </c>
    </row>
    <row r="389">
      <c r="A389" s="10">
        <f>DATE($B$2-1,12,1)+382</f>
        <v/>
      </c>
      <c r="B389" s="11">
        <f>TEXT(A389,"aaa")</f>
        <v/>
      </c>
      <c r="C389" s="12">
        <f>IFERROR(VLOOKUP(A389,'1_祝日'!$A$4:$B$83,2,FALSE),"")</f>
        <v/>
      </c>
      <c r="D389" s="11">
        <f>IF(OR(WEEKDAY(A389,2)&gt;=6,C389&lt;&gt;"",COUNTIF('1_祝日'!$D$4:$D$43,A389)&gt;0,AND($B$3=1,OR(AND(MONTH(A389)=12,DAY(A389)&gt;=29),AND(MONTH(A389)=1,DAY(A389)&lt;=3)))),1,0)</f>
        <v/>
      </c>
      <c r="E389" s="7" t="n"/>
      <c r="F389" s="11">
        <f>IF(OR(D389=1,E389=1),1,0)</f>
        <v/>
      </c>
      <c r="G389" s="11">
        <f>IF(F389=1,G388+1,0)</f>
        <v/>
      </c>
      <c r="H389" s="11">
        <f>IF(F389=1,H390+1,0)</f>
        <v/>
      </c>
      <c r="I389" s="11">
        <f>IF(AND(D389=1,E389=1),"もとから休み","")</f>
        <v/>
      </c>
      <c r="J389" s="11">
        <f>IF(F389=1,G389+H389-1,"")</f>
        <v/>
      </c>
      <c r="K389" s="11">
        <f>IF(D389=0,COUNTIF($D$7:D389,0),"")</f>
        <v/>
      </c>
    </row>
    <row r="390">
      <c r="A390" s="10">
        <f>DATE($B$2-1,12,1)+383</f>
        <v/>
      </c>
      <c r="B390" s="11">
        <f>TEXT(A390,"aaa")</f>
        <v/>
      </c>
      <c r="C390" s="12">
        <f>IFERROR(VLOOKUP(A390,'1_祝日'!$A$4:$B$83,2,FALSE),"")</f>
        <v/>
      </c>
      <c r="D390" s="11">
        <f>IF(OR(WEEKDAY(A390,2)&gt;=6,C390&lt;&gt;"",COUNTIF('1_祝日'!$D$4:$D$43,A390)&gt;0,AND($B$3=1,OR(AND(MONTH(A390)=12,DAY(A390)&gt;=29),AND(MONTH(A390)=1,DAY(A390)&lt;=3)))),1,0)</f>
        <v/>
      </c>
      <c r="E390" s="7" t="n"/>
      <c r="F390" s="11">
        <f>IF(OR(D390=1,E390=1),1,0)</f>
        <v/>
      </c>
      <c r="G390" s="11">
        <f>IF(F390=1,G389+1,0)</f>
        <v/>
      </c>
      <c r="H390" s="11">
        <f>IF(F390=1,H391+1,0)</f>
        <v/>
      </c>
      <c r="I390" s="11">
        <f>IF(AND(D390=1,E390=1),"もとから休み","")</f>
        <v/>
      </c>
      <c r="J390" s="11">
        <f>IF(F390=1,G390+H390-1,"")</f>
        <v/>
      </c>
      <c r="K390" s="11">
        <f>IF(D390=0,COUNTIF($D$7:D390,0),"")</f>
        <v/>
      </c>
    </row>
    <row r="391">
      <c r="A391" s="10">
        <f>DATE($B$2-1,12,1)+384</f>
        <v/>
      </c>
      <c r="B391" s="11">
        <f>TEXT(A391,"aaa")</f>
        <v/>
      </c>
      <c r="C391" s="12">
        <f>IFERROR(VLOOKUP(A391,'1_祝日'!$A$4:$B$83,2,FALSE),"")</f>
        <v/>
      </c>
      <c r="D391" s="11">
        <f>IF(OR(WEEKDAY(A391,2)&gt;=6,C391&lt;&gt;"",COUNTIF('1_祝日'!$D$4:$D$43,A391)&gt;0,AND($B$3=1,OR(AND(MONTH(A391)=12,DAY(A391)&gt;=29),AND(MONTH(A391)=1,DAY(A391)&lt;=3)))),1,0)</f>
        <v/>
      </c>
      <c r="E391" s="7" t="n"/>
      <c r="F391" s="11">
        <f>IF(OR(D391=1,E391=1),1,0)</f>
        <v/>
      </c>
      <c r="G391" s="11">
        <f>IF(F391=1,G390+1,0)</f>
        <v/>
      </c>
      <c r="H391" s="11">
        <f>IF(F391=1,H392+1,0)</f>
        <v/>
      </c>
      <c r="I391" s="11">
        <f>IF(AND(D391=1,E391=1),"もとから休み","")</f>
        <v/>
      </c>
      <c r="J391" s="11">
        <f>IF(F391=1,G391+H391-1,"")</f>
        <v/>
      </c>
      <c r="K391" s="11">
        <f>IF(D391=0,COUNTIF($D$7:D391,0),"")</f>
        <v/>
      </c>
    </row>
    <row r="392">
      <c r="A392" s="10">
        <f>DATE($B$2-1,12,1)+385</f>
        <v/>
      </c>
      <c r="B392" s="11">
        <f>TEXT(A392,"aaa")</f>
        <v/>
      </c>
      <c r="C392" s="12">
        <f>IFERROR(VLOOKUP(A392,'1_祝日'!$A$4:$B$83,2,FALSE),"")</f>
        <v/>
      </c>
      <c r="D392" s="11">
        <f>IF(OR(WEEKDAY(A392,2)&gt;=6,C392&lt;&gt;"",COUNTIF('1_祝日'!$D$4:$D$43,A392)&gt;0,AND($B$3=1,OR(AND(MONTH(A392)=12,DAY(A392)&gt;=29),AND(MONTH(A392)=1,DAY(A392)&lt;=3)))),1,0)</f>
        <v/>
      </c>
      <c r="E392" s="7" t="n"/>
      <c r="F392" s="11">
        <f>IF(OR(D392=1,E392=1),1,0)</f>
        <v/>
      </c>
      <c r="G392" s="11">
        <f>IF(F392=1,G391+1,0)</f>
        <v/>
      </c>
      <c r="H392" s="11">
        <f>IF(F392=1,H393+1,0)</f>
        <v/>
      </c>
      <c r="I392" s="11">
        <f>IF(AND(D392=1,E392=1),"もとから休み","")</f>
        <v/>
      </c>
      <c r="J392" s="11">
        <f>IF(F392=1,G392+H392-1,"")</f>
        <v/>
      </c>
      <c r="K392" s="11">
        <f>IF(D392=0,COUNTIF($D$7:D392,0),"")</f>
        <v/>
      </c>
    </row>
    <row r="393">
      <c r="A393" s="10">
        <f>DATE($B$2-1,12,1)+386</f>
        <v/>
      </c>
      <c r="B393" s="11">
        <f>TEXT(A393,"aaa")</f>
        <v/>
      </c>
      <c r="C393" s="12">
        <f>IFERROR(VLOOKUP(A393,'1_祝日'!$A$4:$B$83,2,FALSE),"")</f>
        <v/>
      </c>
      <c r="D393" s="11">
        <f>IF(OR(WEEKDAY(A393,2)&gt;=6,C393&lt;&gt;"",COUNTIF('1_祝日'!$D$4:$D$43,A393)&gt;0,AND($B$3=1,OR(AND(MONTH(A393)=12,DAY(A393)&gt;=29),AND(MONTH(A393)=1,DAY(A393)&lt;=3)))),1,0)</f>
        <v/>
      </c>
      <c r="E393" s="7" t="n"/>
      <c r="F393" s="11">
        <f>IF(OR(D393=1,E393=1),1,0)</f>
        <v/>
      </c>
      <c r="G393" s="11">
        <f>IF(F393=1,G392+1,0)</f>
        <v/>
      </c>
      <c r="H393" s="11">
        <f>IF(F393=1,H394+1,0)</f>
        <v/>
      </c>
      <c r="I393" s="11">
        <f>IF(AND(D393=1,E393=1),"もとから休み","")</f>
        <v/>
      </c>
      <c r="J393" s="11">
        <f>IF(F393=1,G393+H393-1,"")</f>
        <v/>
      </c>
      <c r="K393" s="11">
        <f>IF(D393=0,COUNTIF($D$7:D393,0),"")</f>
        <v/>
      </c>
    </row>
    <row r="394">
      <c r="A394" s="10">
        <f>DATE($B$2-1,12,1)+387</f>
        <v/>
      </c>
      <c r="B394" s="11">
        <f>TEXT(A394,"aaa")</f>
        <v/>
      </c>
      <c r="C394" s="12">
        <f>IFERROR(VLOOKUP(A394,'1_祝日'!$A$4:$B$83,2,FALSE),"")</f>
        <v/>
      </c>
      <c r="D394" s="11">
        <f>IF(OR(WEEKDAY(A394,2)&gt;=6,C394&lt;&gt;"",COUNTIF('1_祝日'!$D$4:$D$43,A394)&gt;0,AND($B$3=1,OR(AND(MONTH(A394)=12,DAY(A394)&gt;=29),AND(MONTH(A394)=1,DAY(A394)&lt;=3)))),1,0)</f>
        <v/>
      </c>
      <c r="E394" s="7" t="n"/>
      <c r="F394" s="11">
        <f>IF(OR(D394=1,E394=1),1,0)</f>
        <v/>
      </c>
      <c r="G394" s="11">
        <f>IF(F394=1,G393+1,0)</f>
        <v/>
      </c>
      <c r="H394" s="11">
        <f>IF(F394=1,H395+1,0)</f>
        <v/>
      </c>
      <c r="I394" s="11">
        <f>IF(AND(D394=1,E394=1),"もとから休み","")</f>
        <v/>
      </c>
      <c r="J394" s="11">
        <f>IF(F394=1,G394+H394-1,"")</f>
        <v/>
      </c>
      <c r="K394" s="11">
        <f>IF(D394=0,COUNTIF($D$7:D394,0),"")</f>
        <v/>
      </c>
    </row>
    <row r="395">
      <c r="A395" s="10">
        <f>DATE($B$2-1,12,1)+388</f>
        <v/>
      </c>
      <c r="B395" s="11">
        <f>TEXT(A395,"aaa")</f>
        <v/>
      </c>
      <c r="C395" s="12">
        <f>IFERROR(VLOOKUP(A395,'1_祝日'!$A$4:$B$83,2,FALSE),"")</f>
        <v/>
      </c>
      <c r="D395" s="11">
        <f>IF(OR(WEEKDAY(A395,2)&gt;=6,C395&lt;&gt;"",COUNTIF('1_祝日'!$D$4:$D$43,A395)&gt;0,AND($B$3=1,OR(AND(MONTH(A395)=12,DAY(A395)&gt;=29),AND(MONTH(A395)=1,DAY(A395)&lt;=3)))),1,0)</f>
        <v/>
      </c>
      <c r="E395" s="7" t="n"/>
      <c r="F395" s="11">
        <f>IF(OR(D395=1,E395=1),1,0)</f>
        <v/>
      </c>
      <c r="G395" s="11">
        <f>IF(F395=1,G394+1,0)</f>
        <v/>
      </c>
      <c r="H395" s="11">
        <f>IF(F395=1,H396+1,0)</f>
        <v/>
      </c>
      <c r="I395" s="11">
        <f>IF(AND(D395=1,E395=1),"もとから休み","")</f>
        <v/>
      </c>
      <c r="J395" s="11">
        <f>IF(F395=1,G395+H395-1,"")</f>
        <v/>
      </c>
      <c r="K395" s="11">
        <f>IF(D395=0,COUNTIF($D$7:D395,0),"")</f>
        <v/>
      </c>
    </row>
    <row r="396">
      <c r="A396" s="10">
        <f>DATE($B$2-1,12,1)+389</f>
        <v/>
      </c>
      <c r="B396" s="11">
        <f>TEXT(A396,"aaa")</f>
        <v/>
      </c>
      <c r="C396" s="12">
        <f>IFERROR(VLOOKUP(A396,'1_祝日'!$A$4:$B$83,2,FALSE),"")</f>
        <v/>
      </c>
      <c r="D396" s="11">
        <f>IF(OR(WEEKDAY(A396,2)&gt;=6,C396&lt;&gt;"",COUNTIF('1_祝日'!$D$4:$D$43,A396)&gt;0,AND($B$3=1,OR(AND(MONTH(A396)=12,DAY(A396)&gt;=29),AND(MONTH(A396)=1,DAY(A396)&lt;=3)))),1,0)</f>
        <v/>
      </c>
      <c r="E396" s="7" t="n"/>
      <c r="F396" s="11">
        <f>IF(OR(D396=1,E396=1),1,0)</f>
        <v/>
      </c>
      <c r="G396" s="11">
        <f>IF(F396=1,G395+1,0)</f>
        <v/>
      </c>
      <c r="H396" s="11">
        <f>IF(F396=1,H397+1,0)</f>
        <v/>
      </c>
      <c r="I396" s="11">
        <f>IF(AND(D396=1,E396=1),"もとから休み","")</f>
        <v/>
      </c>
      <c r="J396" s="11">
        <f>IF(F396=1,G396+H396-1,"")</f>
        <v/>
      </c>
      <c r="K396" s="11">
        <f>IF(D396=0,COUNTIF($D$7:D396,0),"")</f>
        <v/>
      </c>
    </row>
    <row r="397">
      <c r="A397" s="10">
        <f>DATE($B$2-1,12,1)+390</f>
        <v/>
      </c>
      <c r="B397" s="11">
        <f>TEXT(A397,"aaa")</f>
        <v/>
      </c>
      <c r="C397" s="12">
        <f>IFERROR(VLOOKUP(A397,'1_祝日'!$A$4:$B$83,2,FALSE),"")</f>
        <v/>
      </c>
      <c r="D397" s="11">
        <f>IF(OR(WEEKDAY(A397,2)&gt;=6,C397&lt;&gt;"",COUNTIF('1_祝日'!$D$4:$D$43,A397)&gt;0,AND($B$3=1,OR(AND(MONTH(A397)=12,DAY(A397)&gt;=29),AND(MONTH(A397)=1,DAY(A397)&lt;=3)))),1,0)</f>
        <v/>
      </c>
      <c r="E397" s="7" t="n"/>
      <c r="F397" s="11">
        <f>IF(OR(D397=1,E397=1),1,0)</f>
        <v/>
      </c>
      <c r="G397" s="11">
        <f>IF(F397=1,G396+1,0)</f>
        <v/>
      </c>
      <c r="H397" s="11">
        <f>IF(F397=1,H398+1,0)</f>
        <v/>
      </c>
      <c r="I397" s="11">
        <f>IF(AND(D397=1,E397=1),"もとから休み","")</f>
        <v/>
      </c>
      <c r="J397" s="11">
        <f>IF(F397=1,G397+H397-1,"")</f>
        <v/>
      </c>
      <c r="K397" s="11">
        <f>IF(D397=0,COUNTIF($D$7:D397,0),"")</f>
        <v/>
      </c>
    </row>
    <row r="398">
      <c r="A398" s="10">
        <f>DATE($B$2-1,12,1)+391</f>
        <v/>
      </c>
      <c r="B398" s="11">
        <f>TEXT(A398,"aaa")</f>
        <v/>
      </c>
      <c r="C398" s="12">
        <f>IFERROR(VLOOKUP(A398,'1_祝日'!$A$4:$B$83,2,FALSE),"")</f>
        <v/>
      </c>
      <c r="D398" s="11">
        <f>IF(OR(WEEKDAY(A398,2)&gt;=6,C398&lt;&gt;"",COUNTIF('1_祝日'!$D$4:$D$43,A398)&gt;0,AND($B$3=1,OR(AND(MONTH(A398)=12,DAY(A398)&gt;=29),AND(MONTH(A398)=1,DAY(A398)&lt;=3)))),1,0)</f>
        <v/>
      </c>
      <c r="E398" s="7" t="n"/>
      <c r="F398" s="11">
        <f>IF(OR(D398=1,E398=1),1,0)</f>
        <v/>
      </c>
      <c r="G398" s="11">
        <f>IF(F398=1,G397+1,0)</f>
        <v/>
      </c>
      <c r="H398" s="11">
        <f>IF(F398=1,H399+1,0)</f>
        <v/>
      </c>
      <c r="I398" s="11">
        <f>IF(AND(D398=1,E398=1),"もとから休み","")</f>
        <v/>
      </c>
      <c r="J398" s="11">
        <f>IF(F398=1,G398+H398-1,"")</f>
        <v/>
      </c>
      <c r="K398" s="11">
        <f>IF(D398=0,COUNTIF($D$7:D398,0),"")</f>
        <v/>
      </c>
    </row>
    <row r="399">
      <c r="A399" s="10">
        <f>DATE($B$2-1,12,1)+392</f>
        <v/>
      </c>
      <c r="B399" s="11">
        <f>TEXT(A399,"aaa")</f>
        <v/>
      </c>
      <c r="C399" s="12">
        <f>IFERROR(VLOOKUP(A399,'1_祝日'!$A$4:$B$83,2,FALSE),"")</f>
        <v/>
      </c>
      <c r="D399" s="11">
        <f>IF(OR(WEEKDAY(A399,2)&gt;=6,C399&lt;&gt;"",COUNTIF('1_祝日'!$D$4:$D$43,A399)&gt;0,AND($B$3=1,OR(AND(MONTH(A399)=12,DAY(A399)&gt;=29),AND(MONTH(A399)=1,DAY(A399)&lt;=3)))),1,0)</f>
        <v/>
      </c>
      <c r="E399" s="7" t="n"/>
      <c r="F399" s="11">
        <f>IF(OR(D399=1,E399=1),1,0)</f>
        <v/>
      </c>
      <c r="G399" s="11">
        <f>IF(F399=1,G398+1,0)</f>
        <v/>
      </c>
      <c r="H399" s="11">
        <f>IF(F399=1,H400+1,0)</f>
        <v/>
      </c>
      <c r="I399" s="11">
        <f>IF(AND(D399=1,E399=1),"もとから休み","")</f>
        <v/>
      </c>
      <c r="J399" s="11">
        <f>IF(F399=1,G399+H399-1,"")</f>
        <v/>
      </c>
      <c r="K399" s="11">
        <f>IF(D399=0,COUNTIF($D$7:D399,0),"")</f>
        <v/>
      </c>
    </row>
    <row r="400">
      <c r="A400" s="10">
        <f>DATE($B$2-1,12,1)+393</f>
        <v/>
      </c>
      <c r="B400" s="11">
        <f>TEXT(A400,"aaa")</f>
        <v/>
      </c>
      <c r="C400" s="12">
        <f>IFERROR(VLOOKUP(A400,'1_祝日'!$A$4:$B$83,2,FALSE),"")</f>
        <v/>
      </c>
      <c r="D400" s="11">
        <f>IF(OR(WEEKDAY(A400,2)&gt;=6,C400&lt;&gt;"",COUNTIF('1_祝日'!$D$4:$D$43,A400)&gt;0,AND($B$3=1,OR(AND(MONTH(A400)=12,DAY(A400)&gt;=29),AND(MONTH(A400)=1,DAY(A400)&lt;=3)))),1,0)</f>
        <v/>
      </c>
      <c r="E400" s="7" t="n"/>
      <c r="F400" s="11">
        <f>IF(OR(D400=1,E400=1),1,0)</f>
        <v/>
      </c>
      <c r="G400" s="11">
        <f>IF(F400=1,G399+1,0)</f>
        <v/>
      </c>
      <c r="H400" s="11">
        <f>IF(F400=1,H401+1,0)</f>
        <v/>
      </c>
      <c r="I400" s="11">
        <f>IF(AND(D400=1,E400=1),"もとから休み","")</f>
        <v/>
      </c>
      <c r="J400" s="11">
        <f>IF(F400=1,G400+H400-1,"")</f>
        <v/>
      </c>
      <c r="K400" s="11">
        <f>IF(D400=0,COUNTIF($D$7:D400,0),"")</f>
        <v/>
      </c>
    </row>
    <row r="401">
      <c r="A401" s="10">
        <f>DATE($B$2-1,12,1)+394</f>
        <v/>
      </c>
      <c r="B401" s="11">
        <f>TEXT(A401,"aaa")</f>
        <v/>
      </c>
      <c r="C401" s="12">
        <f>IFERROR(VLOOKUP(A401,'1_祝日'!$A$4:$B$83,2,FALSE),"")</f>
        <v/>
      </c>
      <c r="D401" s="11">
        <f>IF(OR(WEEKDAY(A401,2)&gt;=6,C401&lt;&gt;"",COUNTIF('1_祝日'!$D$4:$D$43,A401)&gt;0,AND($B$3=1,OR(AND(MONTH(A401)=12,DAY(A401)&gt;=29),AND(MONTH(A401)=1,DAY(A401)&lt;=3)))),1,0)</f>
        <v/>
      </c>
      <c r="E401" s="7" t="n"/>
      <c r="F401" s="11">
        <f>IF(OR(D401=1,E401=1),1,0)</f>
        <v/>
      </c>
      <c r="G401" s="11">
        <f>IF(F401=1,G400+1,0)</f>
        <v/>
      </c>
      <c r="H401" s="11">
        <f>IF(F401=1,H402+1,0)</f>
        <v/>
      </c>
      <c r="I401" s="11">
        <f>IF(AND(D401=1,E401=1),"もとから休み","")</f>
        <v/>
      </c>
      <c r="J401" s="11">
        <f>IF(F401=1,G401+H401-1,"")</f>
        <v/>
      </c>
      <c r="K401" s="11">
        <f>IF(D401=0,COUNTIF($D$7:D401,0),"")</f>
        <v/>
      </c>
    </row>
    <row r="402">
      <c r="A402" s="10">
        <f>DATE($B$2-1,12,1)+395</f>
        <v/>
      </c>
      <c r="B402" s="11">
        <f>TEXT(A402,"aaa")</f>
        <v/>
      </c>
      <c r="C402" s="12">
        <f>IFERROR(VLOOKUP(A402,'1_祝日'!$A$4:$B$83,2,FALSE),"")</f>
        <v/>
      </c>
      <c r="D402" s="11">
        <f>IF(OR(WEEKDAY(A402,2)&gt;=6,C402&lt;&gt;"",COUNTIF('1_祝日'!$D$4:$D$43,A402)&gt;0,AND($B$3=1,OR(AND(MONTH(A402)=12,DAY(A402)&gt;=29),AND(MONTH(A402)=1,DAY(A402)&lt;=3)))),1,0)</f>
        <v/>
      </c>
      <c r="E402" s="7" t="n"/>
      <c r="F402" s="11">
        <f>IF(OR(D402=1,E402=1),1,0)</f>
        <v/>
      </c>
      <c r="G402" s="11">
        <f>IF(F402=1,G401+1,0)</f>
        <v/>
      </c>
      <c r="H402" s="11">
        <f>IF(F402=1,H403+1,0)</f>
        <v/>
      </c>
      <c r="I402" s="11">
        <f>IF(AND(D402=1,E402=1),"もとから休み","")</f>
        <v/>
      </c>
      <c r="J402" s="11">
        <f>IF(F402=1,G402+H402-1,"")</f>
        <v/>
      </c>
      <c r="K402" s="11">
        <f>IF(D402=0,COUNTIF($D$7:D402,0),"")</f>
        <v/>
      </c>
    </row>
    <row r="403">
      <c r="A403" s="10">
        <f>DATE($B$2-1,12,1)+396</f>
        <v/>
      </c>
      <c r="B403" s="11">
        <f>TEXT(A403,"aaa")</f>
        <v/>
      </c>
      <c r="C403" s="12">
        <f>IFERROR(VLOOKUP(A403,'1_祝日'!$A$4:$B$83,2,FALSE),"")</f>
        <v/>
      </c>
      <c r="D403" s="11">
        <f>IF(OR(WEEKDAY(A403,2)&gt;=6,C403&lt;&gt;"",COUNTIF('1_祝日'!$D$4:$D$43,A403)&gt;0,AND($B$3=1,OR(AND(MONTH(A403)=12,DAY(A403)&gt;=29),AND(MONTH(A403)=1,DAY(A403)&lt;=3)))),1,0)</f>
        <v/>
      </c>
      <c r="E403" s="7" t="n"/>
      <c r="F403" s="11">
        <f>IF(OR(D403=1,E403=1),1,0)</f>
        <v/>
      </c>
      <c r="G403" s="11">
        <f>IF(F403=1,G402+1,0)</f>
        <v/>
      </c>
      <c r="H403" s="11">
        <f>IF(F403=1,H404+1,0)</f>
        <v/>
      </c>
      <c r="I403" s="11">
        <f>IF(AND(D403=1,E403=1),"もとから休み","")</f>
        <v/>
      </c>
      <c r="J403" s="11">
        <f>IF(F403=1,G403+H403-1,"")</f>
        <v/>
      </c>
      <c r="K403" s="11">
        <f>IF(D403=0,COUNTIF($D$7:D403,0),"")</f>
        <v/>
      </c>
    </row>
    <row r="404">
      <c r="A404" s="10">
        <f>DATE($B$2-1,12,1)+397</f>
        <v/>
      </c>
      <c r="B404" s="11">
        <f>TEXT(A404,"aaa")</f>
        <v/>
      </c>
      <c r="C404" s="12">
        <f>IFERROR(VLOOKUP(A404,'1_祝日'!$A$4:$B$83,2,FALSE),"")</f>
        <v/>
      </c>
      <c r="D404" s="11">
        <f>IF(OR(WEEKDAY(A404,2)&gt;=6,C404&lt;&gt;"",COUNTIF('1_祝日'!$D$4:$D$43,A404)&gt;0,AND($B$3=1,OR(AND(MONTH(A404)=12,DAY(A404)&gt;=29),AND(MONTH(A404)=1,DAY(A404)&lt;=3)))),1,0)</f>
        <v/>
      </c>
      <c r="E404" s="7" t="n"/>
      <c r="F404" s="11">
        <f>IF(OR(D404=1,E404=1),1,0)</f>
        <v/>
      </c>
      <c r="G404" s="11">
        <f>IF(F404=1,G403+1,0)</f>
        <v/>
      </c>
      <c r="H404" s="11">
        <f>IF(F404=1,H405+1,0)</f>
        <v/>
      </c>
      <c r="I404" s="11">
        <f>IF(AND(D404=1,E404=1),"もとから休み","")</f>
        <v/>
      </c>
      <c r="J404" s="11">
        <f>IF(F404=1,G404+H404-1,"")</f>
        <v/>
      </c>
      <c r="K404" s="11">
        <f>IF(D404=0,COUNTIF($D$7:D404,0),"")</f>
        <v/>
      </c>
    </row>
    <row r="405">
      <c r="A405" s="10">
        <f>DATE($B$2-1,12,1)+398</f>
        <v/>
      </c>
      <c r="B405" s="11">
        <f>TEXT(A405,"aaa")</f>
        <v/>
      </c>
      <c r="C405" s="12">
        <f>IFERROR(VLOOKUP(A405,'1_祝日'!$A$4:$B$83,2,FALSE),"")</f>
        <v/>
      </c>
      <c r="D405" s="11">
        <f>IF(OR(WEEKDAY(A405,2)&gt;=6,C405&lt;&gt;"",COUNTIF('1_祝日'!$D$4:$D$43,A405)&gt;0,AND($B$3=1,OR(AND(MONTH(A405)=12,DAY(A405)&gt;=29),AND(MONTH(A405)=1,DAY(A405)&lt;=3)))),1,0)</f>
        <v/>
      </c>
      <c r="E405" s="7" t="n"/>
      <c r="F405" s="11">
        <f>IF(OR(D405=1,E405=1),1,0)</f>
        <v/>
      </c>
      <c r="G405" s="11">
        <f>IF(F405=1,G404+1,0)</f>
        <v/>
      </c>
      <c r="H405" s="11">
        <f>IF(F405=1,H406+1,0)</f>
        <v/>
      </c>
      <c r="I405" s="11">
        <f>IF(AND(D405=1,E405=1),"もとから休み","")</f>
        <v/>
      </c>
      <c r="J405" s="11">
        <f>IF(F405=1,G405+H405-1,"")</f>
        <v/>
      </c>
      <c r="K405" s="11">
        <f>IF(D405=0,COUNTIF($D$7:D405,0),"")</f>
        <v/>
      </c>
    </row>
    <row r="406">
      <c r="A406" s="10">
        <f>DATE($B$2-1,12,1)+399</f>
        <v/>
      </c>
      <c r="B406" s="11">
        <f>TEXT(A406,"aaa")</f>
        <v/>
      </c>
      <c r="C406" s="12">
        <f>IFERROR(VLOOKUP(A406,'1_祝日'!$A$4:$B$83,2,FALSE),"")</f>
        <v/>
      </c>
      <c r="D406" s="11">
        <f>IF(OR(WEEKDAY(A406,2)&gt;=6,C406&lt;&gt;"",COUNTIF('1_祝日'!$D$4:$D$43,A406)&gt;0,AND($B$3=1,OR(AND(MONTH(A406)=12,DAY(A406)&gt;=29),AND(MONTH(A406)=1,DAY(A406)&lt;=3)))),1,0)</f>
        <v/>
      </c>
      <c r="E406" s="7" t="n"/>
      <c r="F406" s="11">
        <f>IF(OR(D406=1,E406=1),1,0)</f>
        <v/>
      </c>
      <c r="G406" s="11">
        <f>IF(F406=1,G405+1,0)</f>
        <v/>
      </c>
      <c r="H406" s="11">
        <f>IF(F406=1,H407+1,0)</f>
        <v/>
      </c>
      <c r="I406" s="11">
        <f>IF(AND(D406=1,E406=1),"もとから休み","")</f>
        <v/>
      </c>
      <c r="J406" s="11">
        <f>IF(F406=1,G406+H406-1,"")</f>
        <v/>
      </c>
      <c r="K406" s="11">
        <f>IF(D406=0,COUNTIF($D$7:D406,0),"")</f>
        <v/>
      </c>
    </row>
    <row r="407">
      <c r="A407" s="10">
        <f>DATE($B$2-1,12,1)+400</f>
        <v/>
      </c>
      <c r="B407" s="11">
        <f>TEXT(A407,"aaa")</f>
        <v/>
      </c>
      <c r="C407" s="12">
        <f>IFERROR(VLOOKUP(A407,'1_祝日'!$A$4:$B$83,2,FALSE),"")</f>
        <v/>
      </c>
      <c r="D407" s="11">
        <f>IF(OR(WEEKDAY(A407,2)&gt;=6,C407&lt;&gt;"",COUNTIF('1_祝日'!$D$4:$D$43,A407)&gt;0,AND($B$3=1,OR(AND(MONTH(A407)=12,DAY(A407)&gt;=29),AND(MONTH(A407)=1,DAY(A407)&lt;=3)))),1,0)</f>
        <v/>
      </c>
      <c r="E407" s="7" t="n"/>
      <c r="F407" s="11">
        <f>IF(OR(D407=1,E407=1),1,0)</f>
        <v/>
      </c>
      <c r="G407" s="11">
        <f>IF(F407=1,G406+1,0)</f>
        <v/>
      </c>
      <c r="H407" s="11">
        <f>IF(F407=1,H408+1,0)</f>
        <v/>
      </c>
      <c r="I407" s="11">
        <f>IF(AND(D407=1,E407=1),"もとから休み","")</f>
        <v/>
      </c>
      <c r="J407" s="11">
        <f>IF(F407=1,G407+H407-1,"")</f>
        <v/>
      </c>
      <c r="K407" s="11">
        <f>IF(D407=0,COUNTIF($D$7:D407,0),"")</f>
        <v/>
      </c>
    </row>
    <row r="408">
      <c r="A408" s="10">
        <f>DATE($B$2-1,12,1)+401</f>
        <v/>
      </c>
      <c r="B408" s="11">
        <f>TEXT(A408,"aaa")</f>
        <v/>
      </c>
      <c r="C408" s="12">
        <f>IFERROR(VLOOKUP(A408,'1_祝日'!$A$4:$B$83,2,FALSE),"")</f>
        <v/>
      </c>
      <c r="D408" s="11">
        <f>IF(OR(WEEKDAY(A408,2)&gt;=6,C408&lt;&gt;"",COUNTIF('1_祝日'!$D$4:$D$43,A408)&gt;0,AND($B$3=1,OR(AND(MONTH(A408)=12,DAY(A408)&gt;=29),AND(MONTH(A408)=1,DAY(A408)&lt;=3)))),1,0)</f>
        <v/>
      </c>
      <c r="E408" s="7" t="n"/>
      <c r="F408" s="11">
        <f>IF(OR(D408=1,E408=1),1,0)</f>
        <v/>
      </c>
      <c r="G408" s="11">
        <f>IF(F408=1,G407+1,0)</f>
        <v/>
      </c>
      <c r="H408" s="11">
        <f>IF(F408=1,H409+1,0)</f>
        <v/>
      </c>
      <c r="I408" s="11">
        <f>IF(AND(D408=1,E408=1),"もとから休み","")</f>
        <v/>
      </c>
      <c r="J408" s="11">
        <f>IF(F408=1,G408+H408-1,"")</f>
        <v/>
      </c>
      <c r="K408" s="11">
        <f>IF(D408=0,COUNTIF($D$7:D408,0),"")</f>
        <v/>
      </c>
    </row>
    <row r="409">
      <c r="A409" s="10">
        <f>DATE($B$2-1,12,1)+402</f>
        <v/>
      </c>
      <c r="B409" s="11">
        <f>TEXT(A409,"aaa")</f>
        <v/>
      </c>
      <c r="C409" s="12">
        <f>IFERROR(VLOOKUP(A409,'1_祝日'!$A$4:$B$83,2,FALSE),"")</f>
        <v/>
      </c>
      <c r="D409" s="11">
        <f>IF(OR(WEEKDAY(A409,2)&gt;=6,C409&lt;&gt;"",COUNTIF('1_祝日'!$D$4:$D$43,A409)&gt;0,AND($B$3=1,OR(AND(MONTH(A409)=12,DAY(A409)&gt;=29),AND(MONTH(A409)=1,DAY(A409)&lt;=3)))),1,0)</f>
        <v/>
      </c>
      <c r="E409" s="7" t="n"/>
      <c r="F409" s="11">
        <f>IF(OR(D409=1,E409=1),1,0)</f>
        <v/>
      </c>
      <c r="G409" s="11">
        <f>IF(F409=1,G408+1,0)</f>
        <v/>
      </c>
      <c r="H409" s="11">
        <f>IF(F409=1,H410+1,0)</f>
        <v/>
      </c>
      <c r="I409" s="11">
        <f>IF(AND(D409=1,E409=1),"もとから休み","")</f>
        <v/>
      </c>
      <c r="J409" s="11">
        <f>IF(F409=1,G409+H409-1,"")</f>
        <v/>
      </c>
      <c r="K409" s="11">
        <f>IF(D409=0,COUNTIF($D$7:D409,0),"")</f>
        <v/>
      </c>
    </row>
    <row r="410">
      <c r="A410" s="10">
        <f>DATE($B$2-1,12,1)+403</f>
        <v/>
      </c>
      <c r="B410" s="11">
        <f>TEXT(A410,"aaa")</f>
        <v/>
      </c>
      <c r="C410" s="12">
        <f>IFERROR(VLOOKUP(A410,'1_祝日'!$A$4:$B$83,2,FALSE),"")</f>
        <v/>
      </c>
      <c r="D410" s="11">
        <f>IF(OR(WEEKDAY(A410,2)&gt;=6,C410&lt;&gt;"",COUNTIF('1_祝日'!$D$4:$D$43,A410)&gt;0,AND($B$3=1,OR(AND(MONTH(A410)=12,DAY(A410)&gt;=29),AND(MONTH(A410)=1,DAY(A410)&lt;=3)))),1,0)</f>
        <v/>
      </c>
      <c r="E410" s="7" t="n"/>
      <c r="F410" s="11">
        <f>IF(OR(D410=1,E410=1),1,0)</f>
        <v/>
      </c>
      <c r="G410" s="11">
        <f>IF(F410=1,G409+1,0)</f>
        <v/>
      </c>
      <c r="H410" s="11">
        <f>IF(F410=1,H411+1,0)</f>
        <v/>
      </c>
      <c r="I410" s="11">
        <f>IF(AND(D410=1,E410=1),"もとから休み","")</f>
        <v/>
      </c>
      <c r="J410" s="11">
        <f>IF(F410=1,G410+H410-1,"")</f>
        <v/>
      </c>
      <c r="K410" s="11">
        <f>IF(D410=0,COUNTIF($D$7:D410,0),"")</f>
        <v/>
      </c>
    </row>
    <row r="411">
      <c r="A411" s="10">
        <f>DATE($B$2-1,12,1)+404</f>
        <v/>
      </c>
      <c r="B411" s="11">
        <f>TEXT(A411,"aaa")</f>
        <v/>
      </c>
      <c r="C411" s="12">
        <f>IFERROR(VLOOKUP(A411,'1_祝日'!$A$4:$B$83,2,FALSE),"")</f>
        <v/>
      </c>
      <c r="D411" s="11">
        <f>IF(OR(WEEKDAY(A411,2)&gt;=6,C411&lt;&gt;"",COUNTIF('1_祝日'!$D$4:$D$43,A411)&gt;0,AND($B$3=1,OR(AND(MONTH(A411)=12,DAY(A411)&gt;=29),AND(MONTH(A411)=1,DAY(A411)&lt;=3)))),1,0)</f>
        <v/>
      </c>
      <c r="E411" s="7" t="n"/>
      <c r="F411" s="11">
        <f>IF(OR(D411=1,E411=1),1,0)</f>
        <v/>
      </c>
      <c r="G411" s="11">
        <f>IF(F411=1,G410+1,0)</f>
        <v/>
      </c>
      <c r="H411" s="11">
        <f>IF(F411=1,H412+1,0)</f>
        <v/>
      </c>
      <c r="I411" s="11">
        <f>IF(AND(D411=1,E411=1),"もとから休み","")</f>
        <v/>
      </c>
      <c r="J411" s="11">
        <f>IF(F411=1,G411+H411-1,"")</f>
        <v/>
      </c>
      <c r="K411" s="11">
        <f>IF(D411=0,COUNTIF($D$7:D411,0),"")</f>
        <v/>
      </c>
    </row>
    <row r="412">
      <c r="A412" s="10">
        <f>DATE($B$2-1,12,1)+405</f>
        <v/>
      </c>
      <c r="B412" s="11">
        <f>TEXT(A412,"aaa")</f>
        <v/>
      </c>
      <c r="C412" s="12">
        <f>IFERROR(VLOOKUP(A412,'1_祝日'!$A$4:$B$83,2,FALSE),"")</f>
        <v/>
      </c>
      <c r="D412" s="11">
        <f>IF(OR(WEEKDAY(A412,2)&gt;=6,C412&lt;&gt;"",COUNTIF('1_祝日'!$D$4:$D$43,A412)&gt;0,AND($B$3=1,OR(AND(MONTH(A412)=12,DAY(A412)&gt;=29),AND(MONTH(A412)=1,DAY(A412)&lt;=3)))),1,0)</f>
        <v/>
      </c>
      <c r="E412" s="7" t="n"/>
      <c r="F412" s="11">
        <f>IF(OR(D412=1,E412=1),1,0)</f>
        <v/>
      </c>
      <c r="G412" s="11">
        <f>IF(F412=1,G411+1,0)</f>
        <v/>
      </c>
      <c r="H412" s="11">
        <f>IF(F412=1,H413+1,0)</f>
        <v/>
      </c>
      <c r="I412" s="11">
        <f>IF(AND(D412=1,E412=1),"もとから休み","")</f>
        <v/>
      </c>
      <c r="J412" s="11">
        <f>IF(F412=1,G412+H412-1,"")</f>
        <v/>
      </c>
      <c r="K412" s="11">
        <f>IF(D412=0,COUNTIF($D$7:D412,0),"")</f>
        <v/>
      </c>
    </row>
    <row r="413">
      <c r="A413" s="10">
        <f>DATE($B$2-1,12,1)+406</f>
        <v/>
      </c>
      <c r="B413" s="11">
        <f>TEXT(A413,"aaa")</f>
        <v/>
      </c>
      <c r="C413" s="12">
        <f>IFERROR(VLOOKUP(A413,'1_祝日'!$A$4:$B$83,2,FALSE),"")</f>
        <v/>
      </c>
      <c r="D413" s="11">
        <f>IF(OR(WEEKDAY(A413,2)&gt;=6,C413&lt;&gt;"",COUNTIF('1_祝日'!$D$4:$D$43,A413)&gt;0,AND($B$3=1,OR(AND(MONTH(A413)=12,DAY(A413)&gt;=29),AND(MONTH(A413)=1,DAY(A413)&lt;=3)))),1,0)</f>
        <v/>
      </c>
      <c r="E413" s="7" t="n"/>
      <c r="F413" s="11">
        <f>IF(OR(D413=1,E413=1),1,0)</f>
        <v/>
      </c>
      <c r="G413" s="11">
        <f>IF(F413=1,G412+1,0)</f>
        <v/>
      </c>
      <c r="H413" s="11">
        <f>IF(F413=1,H414+1,0)</f>
        <v/>
      </c>
      <c r="I413" s="11">
        <f>IF(AND(D413=1,E413=1),"もとから休み","")</f>
        <v/>
      </c>
      <c r="J413" s="11">
        <f>IF(F413=1,G413+H413-1,"")</f>
        <v/>
      </c>
      <c r="K413" s="11">
        <f>IF(D413=0,COUNTIF($D$7:D413,0),"")</f>
        <v/>
      </c>
    </row>
    <row r="414">
      <c r="A414" s="10">
        <f>DATE($B$2-1,12,1)+407</f>
        <v/>
      </c>
      <c r="B414" s="11">
        <f>TEXT(A414,"aaa")</f>
        <v/>
      </c>
      <c r="C414" s="12">
        <f>IFERROR(VLOOKUP(A414,'1_祝日'!$A$4:$B$83,2,FALSE),"")</f>
        <v/>
      </c>
      <c r="D414" s="11">
        <f>IF(OR(WEEKDAY(A414,2)&gt;=6,C414&lt;&gt;"",COUNTIF('1_祝日'!$D$4:$D$43,A414)&gt;0,AND($B$3=1,OR(AND(MONTH(A414)=12,DAY(A414)&gt;=29),AND(MONTH(A414)=1,DAY(A414)&lt;=3)))),1,0)</f>
        <v/>
      </c>
      <c r="E414" s="7" t="n"/>
      <c r="F414" s="11">
        <f>IF(OR(D414=1,E414=1),1,0)</f>
        <v/>
      </c>
      <c r="G414" s="11">
        <f>IF(F414=1,G413+1,0)</f>
        <v/>
      </c>
      <c r="H414" s="11">
        <f>IF(F414=1,H415+1,0)</f>
        <v/>
      </c>
      <c r="I414" s="11">
        <f>IF(AND(D414=1,E414=1),"もとから休み","")</f>
        <v/>
      </c>
      <c r="J414" s="11">
        <f>IF(F414=1,G414+H414-1,"")</f>
        <v/>
      </c>
      <c r="K414" s="11">
        <f>IF(D414=0,COUNTIF($D$7:D414,0),"")</f>
        <v/>
      </c>
    </row>
    <row r="415">
      <c r="A415" s="10">
        <f>DATE($B$2-1,12,1)+408</f>
        <v/>
      </c>
      <c r="B415" s="11">
        <f>TEXT(A415,"aaa")</f>
        <v/>
      </c>
      <c r="C415" s="12">
        <f>IFERROR(VLOOKUP(A415,'1_祝日'!$A$4:$B$83,2,FALSE),"")</f>
        <v/>
      </c>
      <c r="D415" s="11">
        <f>IF(OR(WEEKDAY(A415,2)&gt;=6,C415&lt;&gt;"",COUNTIF('1_祝日'!$D$4:$D$43,A415)&gt;0,AND($B$3=1,OR(AND(MONTH(A415)=12,DAY(A415)&gt;=29),AND(MONTH(A415)=1,DAY(A415)&lt;=3)))),1,0)</f>
        <v/>
      </c>
      <c r="E415" s="7" t="n"/>
      <c r="F415" s="11">
        <f>IF(OR(D415=1,E415=1),1,0)</f>
        <v/>
      </c>
      <c r="G415" s="11">
        <f>IF(F415=1,G414+1,0)</f>
        <v/>
      </c>
      <c r="H415" s="11">
        <f>IF(F415=1,H416+1,0)</f>
        <v/>
      </c>
      <c r="I415" s="11">
        <f>IF(AND(D415=1,E415=1),"もとから休み","")</f>
        <v/>
      </c>
      <c r="J415" s="11">
        <f>IF(F415=1,G415+H415-1,"")</f>
        <v/>
      </c>
      <c r="K415" s="11">
        <f>IF(D415=0,COUNTIF($D$7:D415,0),"")</f>
        <v/>
      </c>
    </row>
    <row r="416">
      <c r="A416" s="10">
        <f>DATE($B$2-1,12,1)+409</f>
        <v/>
      </c>
      <c r="B416" s="11">
        <f>TEXT(A416,"aaa")</f>
        <v/>
      </c>
      <c r="C416" s="12">
        <f>IFERROR(VLOOKUP(A416,'1_祝日'!$A$4:$B$83,2,FALSE),"")</f>
        <v/>
      </c>
      <c r="D416" s="11">
        <f>IF(OR(WEEKDAY(A416,2)&gt;=6,C416&lt;&gt;"",COUNTIF('1_祝日'!$D$4:$D$43,A416)&gt;0,AND($B$3=1,OR(AND(MONTH(A416)=12,DAY(A416)&gt;=29),AND(MONTH(A416)=1,DAY(A416)&lt;=3)))),1,0)</f>
        <v/>
      </c>
      <c r="E416" s="7" t="n"/>
      <c r="F416" s="11">
        <f>IF(OR(D416=1,E416=1),1,0)</f>
        <v/>
      </c>
      <c r="G416" s="11">
        <f>IF(F416=1,G415+1,0)</f>
        <v/>
      </c>
      <c r="H416" s="11">
        <f>IF(F416=1,H417+1,0)</f>
        <v/>
      </c>
      <c r="I416" s="11">
        <f>IF(AND(D416=1,E416=1),"もとから休み","")</f>
        <v/>
      </c>
      <c r="J416" s="11">
        <f>IF(F416=1,G416+H416-1,"")</f>
        <v/>
      </c>
      <c r="K416" s="11">
        <f>IF(D416=0,COUNTIF($D$7:D416,0),"")</f>
        <v/>
      </c>
    </row>
    <row r="417">
      <c r="A417" s="10">
        <f>DATE($B$2-1,12,1)+410</f>
        <v/>
      </c>
      <c r="B417" s="11">
        <f>TEXT(A417,"aaa")</f>
        <v/>
      </c>
      <c r="C417" s="12">
        <f>IFERROR(VLOOKUP(A417,'1_祝日'!$A$4:$B$83,2,FALSE),"")</f>
        <v/>
      </c>
      <c r="D417" s="11">
        <f>IF(OR(WEEKDAY(A417,2)&gt;=6,C417&lt;&gt;"",COUNTIF('1_祝日'!$D$4:$D$43,A417)&gt;0,AND($B$3=1,OR(AND(MONTH(A417)=12,DAY(A417)&gt;=29),AND(MONTH(A417)=1,DAY(A417)&lt;=3)))),1,0)</f>
        <v/>
      </c>
      <c r="E417" s="7" t="n"/>
      <c r="F417" s="11">
        <f>IF(OR(D417=1,E417=1),1,0)</f>
        <v/>
      </c>
      <c r="G417" s="11">
        <f>IF(F417=1,G416+1,0)</f>
        <v/>
      </c>
      <c r="H417" s="11">
        <f>IF(F417=1,H418+1,0)</f>
        <v/>
      </c>
      <c r="I417" s="11">
        <f>IF(AND(D417=1,E417=1),"もとから休み","")</f>
        <v/>
      </c>
      <c r="J417" s="11">
        <f>IF(F417=1,G417+H417-1,"")</f>
        <v/>
      </c>
      <c r="K417" s="11">
        <f>IF(D417=0,COUNTIF($D$7:D417,0),"")</f>
        <v/>
      </c>
    </row>
    <row r="418">
      <c r="A418" s="10">
        <f>DATE($B$2-1,12,1)+411</f>
        <v/>
      </c>
      <c r="B418" s="11">
        <f>TEXT(A418,"aaa")</f>
        <v/>
      </c>
      <c r="C418" s="12">
        <f>IFERROR(VLOOKUP(A418,'1_祝日'!$A$4:$B$83,2,FALSE),"")</f>
        <v/>
      </c>
      <c r="D418" s="11">
        <f>IF(OR(WEEKDAY(A418,2)&gt;=6,C418&lt;&gt;"",COUNTIF('1_祝日'!$D$4:$D$43,A418)&gt;0,AND($B$3=1,OR(AND(MONTH(A418)=12,DAY(A418)&gt;=29),AND(MONTH(A418)=1,DAY(A418)&lt;=3)))),1,0)</f>
        <v/>
      </c>
      <c r="E418" s="7" t="n"/>
      <c r="F418" s="11">
        <f>IF(OR(D418=1,E418=1),1,0)</f>
        <v/>
      </c>
      <c r="G418" s="11">
        <f>IF(F418=1,G417+1,0)</f>
        <v/>
      </c>
      <c r="H418" s="11">
        <f>IF(F418=1,H419+1,0)</f>
        <v/>
      </c>
      <c r="I418" s="11">
        <f>IF(AND(D418=1,E418=1),"もとから休み","")</f>
        <v/>
      </c>
      <c r="J418" s="11">
        <f>IF(F418=1,G418+H418-1,"")</f>
        <v/>
      </c>
      <c r="K418" s="11">
        <f>IF(D418=0,COUNTIF($D$7:D418,0),"")</f>
        <v/>
      </c>
    </row>
    <row r="419">
      <c r="A419" s="10">
        <f>DATE($B$2-1,12,1)+412</f>
        <v/>
      </c>
      <c r="B419" s="11">
        <f>TEXT(A419,"aaa")</f>
        <v/>
      </c>
      <c r="C419" s="12">
        <f>IFERROR(VLOOKUP(A419,'1_祝日'!$A$4:$B$83,2,FALSE),"")</f>
        <v/>
      </c>
      <c r="D419" s="11">
        <f>IF(OR(WEEKDAY(A419,2)&gt;=6,C419&lt;&gt;"",COUNTIF('1_祝日'!$D$4:$D$43,A419)&gt;0,AND($B$3=1,OR(AND(MONTH(A419)=12,DAY(A419)&gt;=29),AND(MONTH(A419)=1,DAY(A419)&lt;=3)))),1,0)</f>
        <v/>
      </c>
      <c r="E419" s="7" t="n"/>
      <c r="F419" s="11">
        <f>IF(OR(D419=1,E419=1),1,0)</f>
        <v/>
      </c>
      <c r="G419" s="11">
        <f>IF(F419=1,G418+1,0)</f>
        <v/>
      </c>
      <c r="H419" s="11">
        <f>IF(F419=1,H420+1,0)</f>
        <v/>
      </c>
      <c r="I419" s="11">
        <f>IF(AND(D419=1,E419=1),"もとから休み","")</f>
        <v/>
      </c>
      <c r="J419" s="11">
        <f>IF(F419=1,G419+H419-1,"")</f>
        <v/>
      </c>
      <c r="K419" s="11">
        <f>IF(D419=0,COUNTIF($D$7:D419,0),"")</f>
        <v/>
      </c>
    </row>
    <row r="420">
      <c r="A420" s="10">
        <f>DATE($B$2-1,12,1)+413</f>
        <v/>
      </c>
      <c r="B420" s="11">
        <f>TEXT(A420,"aaa")</f>
        <v/>
      </c>
      <c r="C420" s="12">
        <f>IFERROR(VLOOKUP(A420,'1_祝日'!$A$4:$B$83,2,FALSE),"")</f>
        <v/>
      </c>
      <c r="D420" s="11">
        <f>IF(OR(WEEKDAY(A420,2)&gt;=6,C420&lt;&gt;"",COUNTIF('1_祝日'!$D$4:$D$43,A420)&gt;0,AND($B$3=1,OR(AND(MONTH(A420)=12,DAY(A420)&gt;=29),AND(MONTH(A420)=1,DAY(A420)&lt;=3)))),1,0)</f>
        <v/>
      </c>
      <c r="E420" s="7" t="n"/>
      <c r="F420" s="11">
        <f>IF(OR(D420=1,E420=1),1,0)</f>
        <v/>
      </c>
      <c r="G420" s="11">
        <f>IF(F420=1,G419+1,0)</f>
        <v/>
      </c>
      <c r="H420" s="11">
        <f>IF(F420=1,H421+1,0)</f>
        <v/>
      </c>
      <c r="I420" s="11">
        <f>IF(AND(D420=1,E420=1),"もとから休み","")</f>
        <v/>
      </c>
      <c r="J420" s="11">
        <f>IF(F420=1,G420+H420-1,"")</f>
        <v/>
      </c>
      <c r="K420" s="11">
        <f>IF(D420=0,COUNTIF($D$7:D420,0),"")</f>
        <v/>
      </c>
    </row>
    <row r="421">
      <c r="A421" s="10">
        <f>DATE($B$2-1,12,1)+414</f>
        <v/>
      </c>
      <c r="B421" s="11">
        <f>TEXT(A421,"aaa")</f>
        <v/>
      </c>
      <c r="C421" s="12">
        <f>IFERROR(VLOOKUP(A421,'1_祝日'!$A$4:$B$83,2,FALSE),"")</f>
        <v/>
      </c>
      <c r="D421" s="11">
        <f>IF(OR(WEEKDAY(A421,2)&gt;=6,C421&lt;&gt;"",COUNTIF('1_祝日'!$D$4:$D$43,A421)&gt;0,AND($B$3=1,OR(AND(MONTH(A421)=12,DAY(A421)&gt;=29),AND(MONTH(A421)=1,DAY(A421)&lt;=3)))),1,0)</f>
        <v/>
      </c>
      <c r="E421" s="7" t="n"/>
      <c r="F421" s="11">
        <f>IF(OR(D421=1,E421=1),1,0)</f>
        <v/>
      </c>
      <c r="G421" s="11">
        <f>IF(F421=1,G420+1,0)</f>
        <v/>
      </c>
      <c r="H421" s="11">
        <f>IF(F421=1,H422+1,0)</f>
        <v/>
      </c>
      <c r="I421" s="11">
        <f>IF(AND(D421=1,E421=1),"もとから休み","")</f>
        <v/>
      </c>
      <c r="J421" s="11">
        <f>IF(F421=1,G421+H421-1,"")</f>
        <v/>
      </c>
      <c r="K421" s="11">
        <f>IF(D421=0,COUNTIF($D$7:D421,0),"")</f>
        <v/>
      </c>
    </row>
    <row r="422">
      <c r="A422" s="10">
        <f>DATE($B$2-1,12,1)+415</f>
        <v/>
      </c>
      <c r="B422" s="11">
        <f>TEXT(A422,"aaa")</f>
        <v/>
      </c>
      <c r="C422" s="12">
        <f>IFERROR(VLOOKUP(A422,'1_祝日'!$A$4:$B$83,2,FALSE),"")</f>
        <v/>
      </c>
      <c r="D422" s="11">
        <f>IF(OR(WEEKDAY(A422,2)&gt;=6,C422&lt;&gt;"",COUNTIF('1_祝日'!$D$4:$D$43,A422)&gt;0,AND($B$3=1,OR(AND(MONTH(A422)=12,DAY(A422)&gt;=29),AND(MONTH(A422)=1,DAY(A422)&lt;=3)))),1,0)</f>
        <v/>
      </c>
      <c r="E422" s="7" t="n"/>
      <c r="F422" s="11">
        <f>IF(OR(D422=1,E422=1),1,0)</f>
        <v/>
      </c>
      <c r="G422" s="11">
        <f>IF(F422=1,G421+1,0)</f>
        <v/>
      </c>
      <c r="H422" s="11">
        <f>IF(F422=1,H423+1,0)</f>
        <v/>
      </c>
      <c r="I422" s="11">
        <f>IF(AND(D422=1,E422=1),"もとから休み","")</f>
        <v/>
      </c>
      <c r="J422" s="11">
        <f>IF(F422=1,G422+H422-1,"")</f>
        <v/>
      </c>
      <c r="K422" s="11">
        <f>IF(D422=0,COUNTIF($D$7:D422,0),"")</f>
        <v/>
      </c>
    </row>
    <row r="423">
      <c r="A423" s="10">
        <f>DATE($B$2-1,12,1)+416</f>
        <v/>
      </c>
      <c r="B423" s="11">
        <f>TEXT(A423,"aaa")</f>
        <v/>
      </c>
      <c r="C423" s="12">
        <f>IFERROR(VLOOKUP(A423,'1_祝日'!$A$4:$B$83,2,FALSE),"")</f>
        <v/>
      </c>
      <c r="D423" s="11">
        <f>IF(OR(WEEKDAY(A423,2)&gt;=6,C423&lt;&gt;"",COUNTIF('1_祝日'!$D$4:$D$43,A423)&gt;0,AND($B$3=1,OR(AND(MONTH(A423)=12,DAY(A423)&gt;=29),AND(MONTH(A423)=1,DAY(A423)&lt;=3)))),1,0)</f>
        <v/>
      </c>
      <c r="E423" s="7" t="n"/>
      <c r="F423" s="11">
        <f>IF(OR(D423=1,E423=1),1,0)</f>
        <v/>
      </c>
      <c r="G423" s="11">
        <f>IF(F423=1,G422+1,0)</f>
        <v/>
      </c>
      <c r="H423" s="11">
        <f>IF(F423=1,H424+1,0)</f>
        <v/>
      </c>
      <c r="I423" s="11">
        <f>IF(AND(D423=1,E423=1),"もとから休み","")</f>
        <v/>
      </c>
      <c r="J423" s="11">
        <f>IF(F423=1,G423+H423-1,"")</f>
        <v/>
      </c>
      <c r="K423" s="11">
        <f>IF(D423=0,COUNTIF($D$7:D423,0),"")</f>
        <v/>
      </c>
    </row>
    <row r="424">
      <c r="A424" s="10">
        <f>DATE($B$2-1,12,1)+417</f>
        <v/>
      </c>
      <c r="B424" s="11">
        <f>TEXT(A424,"aaa")</f>
        <v/>
      </c>
      <c r="C424" s="12">
        <f>IFERROR(VLOOKUP(A424,'1_祝日'!$A$4:$B$83,2,FALSE),"")</f>
        <v/>
      </c>
      <c r="D424" s="11">
        <f>IF(OR(WEEKDAY(A424,2)&gt;=6,C424&lt;&gt;"",COUNTIF('1_祝日'!$D$4:$D$43,A424)&gt;0,AND($B$3=1,OR(AND(MONTH(A424)=12,DAY(A424)&gt;=29),AND(MONTH(A424)=1,DAY(A424)&lt;=3)))),1,0)</f>
        <v/>
      </c>
      <c r="E424" s="7" t="n"/>
      <c r="F424" s="11">
        <f>IF(OR(D424=1,E424=1),1,0)</f>
        <v/>
      </c>
      <c r="G424" s="11">
        <f>IF(F424=1,G423+1,0)</f>
        <v/>
      </c>
      <c r="H424" s="11">
        <f>IF(F424=1,H425+1,0)</f>
        <v/>
      </c>
      <c r="I424" s="11">
        <f>IF(AND(D424=1,E424=1),"もとから休み","")</f>
        <v/>
      </c>
      <c r="J424" s="11">
        <f>IF(F424=1,G424+H424-1,"")</f>
        <v/>
      </c>
      <c r="K424" s="11">
        <f>IF(D424=0,COUNTIF($D$7:D424,0),"")</f>
        <v/>
      </c>
    </row>
    <row r="425">
      <c r="A425" s="10">
        <f>DATE($B$2-1,12,1)+418</f>
        <v/>
      </c>
      <c r="B425" s="11">
        <f>TEXT(A425,"aaa")</f>
        <v/>
      </c>
      <c r="C425" s="12">
        <f>IFERROR(VLOOKUP(A425,'1_祝日'!$A$4:$B$83,2,FALSE),"")</f>
        <v/>
      </c>
      <c r="D425" s="11">
        <f>IF(OR(WEEKDAY(A425,2)&gt;=6,C425&lt;&gt;"",COUNTIF('1_祝日'!$D$4:$D$43,A425)&gt;0,AND($B$3=1,OR(AND(MONTH(A425)=12,DAY(A425)&gt;=29),AND(MONTH(A425)=1,DAY(A425)&lt;=3)))),1,0)</f>
        <v/>
      </c>
      <c r="E425" s="7" t="n"/>
      <c r="F425" s="11">
        <f>IF(OR(D425=1,E425=1),1,0)</f>
        <v/>
      </c>
      <c r="G425" s="11">
        <f>IF(F425=1,G424+1,0)</f>
        <v/>
      </c>
      <c r="H425" s="11">
        <f>IF(F425=1,H426+1,0)</f>
        <v/>
      </c>
      <c r="I425" s="11">
        <f>IF(AND(D425=1,E425=1),"もとから休み","")</f>
        <v/>
      </c>
      <c r="J425" s="11">
        <f>IF(F425=1,G425+H425-1,"")</f>
        <v/>
      </c>
      <c r="K425" s="11">
        <f>IF(D425=0,COUNTIF($D$7:D425,0),"")</f>
        <v/>
      </c>
    </row>
    <row r="426">
      <c r="A426" s="10">
        <f>DATE($B$2-1,12,1)+419</f>
        <v/>
      </c>
      <c r="B426" s="11">
        <f>TEXT(A426,"aaa")</f>
        <v/>
      </c>
      <c r="C426" s="12">
        <f>IFERROR(VLOOKUP(A426,'1_祝日'!$A$4:$B$83,2,FALSE),"")</f>
        <v/>
      </c>
      <c r="D426" s="11">
        <f>IF(OR(WEEKDAY(A426,2)&gt;=6,C426&lt;&gt;"",COUNTIF('1_祝日'!$D$4:$D$43,A426)&gt;0,AND($B$3=1,OR(AND(MONTH(A426)=12,DAY(A426)&gt;=29),AND(MONTH(A426)=1,DAY(A426)&lt;=3)))),1,0)</f>
        <v/>
      </c>
      <c r="E426" s="7" t="n"/>
      <c r="F426" s="11">
        <f>IF(OR(D426=1,E426=1),1,0)</f>
        <v/>
      </c>
      <c r="G426" s="11">
        <f>IF(F426=1,G425+1,0)</f>
        <v/>
      </c>
      <c r="H426" s="11">
        <f>IF(F426=1,H427+1,0)</f>
        <v/>
      </c>
      <c r="I426" s="11">
        <f>IF(AND(D426=1,E426=1),"もとから休み","")</f>
        <v/>
      </c>
      <c r="J426" s="11">
        <f>IF(F426=1,G426+H426-1,"")</f>
        <v/>
      </c>
      <c r="K426" s="11">
        <f>IF(D426=0,COUNTIF($D$7:D426,0),"")</f>
        <v/>
      </c>
    </row>
    <row r="427">
      <c r="A427" s="10">
        <f>DATE($B$2-1,12,1)+420</f>
        <v/>
      </c>
      <c r="B427" s="11">
        <f>TEXT(A427,"aaa")</f>
        <v/>
      </c>
      <c r="C427" s="12">
        <f>IFERROR(VLOOKUP(A427,'1_祝日'!$A$4:$B$83,2,FALSE),"")</f>
        <v/>
      </c>
      <c r="D427" s="11">
        <f>IF(OR(WEEKDAY(A427,2)&gt;=6,C427&lt;&gt;"",COUNTIF('1_祝日'!$D$4:$D$43,A427)&gt;0,AND($B$3=1,OR(AND(MONTH(A427)=12,DAY(A427)&gt;=29),AND(MONTH(A427)=1,DAY(A427)&lt;=3)))),1,0)</f>
        <v/>
      </c>
      <c r="E427" s="7" t="n"/>
      <c r="F427" s="11">
        <f>IF(OR(D427=1,E427=1),1,0)</f>
        <v/>
      </c>
      <c r="G427" s="11">
        <f>IF(F427=1,G426+1,0)</f>
        <v/>
      </c>
      <c r="H427" s="11">
        <f>IF(F427=1,H428+1,0)</f>
        <v/>
      </c>
      <c r="I427" s="11">
        <f>IF(AND(D427=1,E427=1),"もとから休み","")</f>
        <v/>
      </c>
      <c r="J427" s="11">
        <f>IF(F427=1,G427+H427-1,"")</f>
        <v/>
      </c>
      <c r="K427" s="11">
        <f>IF(D427=0,COUNTIF($D$7:D427,0),"")</f>
        <v/>
      </c>
    </row>
    <row r="428">
      <c r="A428" s="10">
        <f>DATE($B$2-1,12,1)+421</f>
        <v/>
      </c>
      <c r="B428" s="11">
        <f>TEXT(A428,"aaa")</f>
        <v/>
      </c>
      <c r="C428" s="12">
        <f>IFERROR(VLOOKUP(A428,'1_祝日'!$A$4:$B$83,2,FALSE),"")</f>
        <v/>
      </c>
      <c r="D428" s="11">
        <f>IF(OR(WEEKDAY(A428,2)&gt;=6,C428&lt;&gt;"",COUNTIF('1_祝日'!$D$4:$D$43,A428)&gt;0,AND($B$3=1,OR(AND(MONTH(A428)=12,DAY(A428)&gt;=29),AND(MONTH(A428)=1,DAY(A428)&lt;=3)))),1,0)</f>
        <v/>
      </c>
      <c r="E428" s="7" t="n"/>
      <c r="F428" s="11">
        <f>IF(OR(D428=1,E428=1),1,0)</f>
        <v/>
      </c>
      <c r="G428" s="11">
        <f>IF(F428=1,G427+1,0)</f>
        <v/>
      </c>
      <c r="H428" s="11">
        <f>IF(F428=1,H429+1,0)</f>
        <v/>
      </c>
      <c r="I428" s="11">
        <f>IF(AND(D428=1,E428=1),"もとから休み","")</f>
        <v/>
      </c>
      <c r="J428" s="11">
        <f>IF(F428=1,G428+H428-1,"")</f>
        <v/>
      </c>
      <c r="K428" s="11">
        <f>IF(D428=0,COUNTIF($D$7:D428,0),"")</f>
        <v/>
      </c>
    </row>
    <row r="429">
      <c r="A429" s="10">
        <f>DATE($B$2-1,12,1)+422</f>
        <v/>
      </c>
      <c r="B429" s="11">
        <f>TEXT(A429,"aaa")</f>
        <v/>
      </c>
      <c r="C429" s="12">
        <f>IFERROR(VLOOKUP(A429,'1_祝日'!$A$4:$B$83,2,FALSE),"")</f>
        <v/>
      </c>
      <c r="D429" s="11">
        <f>IF(OR(WEEKDAY(A429,2)&gt;=6,C429&lt;&gt;"",COUNTIF('1_祝日'!$D$4:$D$43,A429)&gt;0,AND($B$3=1,OR(AND(MONTH(A429)=12,DAY(A429)&gt;=29),AND(MONTH(A429)=1,DAY(A429)&lt;=3)))),1,0)</f>
        <v/>
      </c>
      <c r="E429" s="7" t="n"/>
      <c r="F429" s="11">
        <f>IF(OR(D429=1,E429=1),1,0)</f>
        <v/>
      </c>
      <c r="G429" s="11">
        <f>IF(F429=1,G428+1,0)</f>
        <v/>
      </c>
      <c r="H429" s="11">
        <f>IF(F429=1,H430+1,0)</f>
        <v/>
      </c>
      <c r="I429" s="11">
        <f>IF(AND(D429=1,E429=1),"もとから休み","")</f>
        <v/>
      </c>
      <c r="J429" s="11">
        <f>IF(F429=1,G429+H429-1,"")</f>
        <v/>
      </c>
      <c r="K429" s="11">
        <f>IF(D429=0,COUNTIF($D$7:D429,0),"")</f>
        <v/>
      </c>
    </row>
    <row r="430">
      <c r="A430" s="10">
        <f>DATE($B$2-1,12,1)+423</f>
        <v/>
      </c>
      <c r="B430" s="11">
        <f>TEXT(A430,"aaa")</f>
        <v/>
      </c>
      <c r="C430" s="12">
        <f>IFERROR(VLOOKUP(A430,'1_祝日'!$A$4:$B$83,2,FALSE),"")</f>
        <v/>
      </c>
      <c r="D430" s="11">
        <f>IF(OR(WEEKDAY(A430,2)&gt;=6,C430&lt;&gt;"",COUNTIF('1_祝日'!$D$4:$D$43,A430)&gt;0,AND($B$3=1,OR(AND(MONTH(A430)=12,DAY(A430)&gt;=29),AND(MONTH(A430)=1,DAY(A430)&lt;=3)))),1,0)</f>
        <v/>
      </c>
      <c r="E430" s="7" t="n"/>
      <c r="F430" s="11">
        <f>IF(OR(D430=1,E430=1),1,0)</f>
        <v/>
      </c>
      <c r="G430" s="11">
        <f>IF(F430=1,G429+1,0)</f>
        <v/>
      </c>
      <c r="H430" s="11">
        <f>IF(F430=1,H431+1,0)</f>
        <v/>
      </c>
      <c r="I430" s="11">
        <f>IF(AND(D430=1,E430=1),"もとから休み","")</f>
        <v/>
      </c>
      <c r="J430" s="11">
        <f>IF(F430=1,G430+H430-1,"")</f>
        <v/>
      </c>
      <c r="K430" s="11">
        <f>IF(D430=0,COUNTIF($D$7:D430,0),"")</f>
        <v/>
      </c>
    </row>
    <row r="431">
      <c r="A431" s="10">
        <f>DATE($B$2-1,12,1)+424</f>
        <v/>
      </c>
      <c r="B431" s="11">
        <f>TEXT(A431,"aaa")</f>
        <v/>
      </c>
      <c r="C431" s="12">
        <f>IFERROR(VLOOKUP(A431,'1_祝日'!$A$4:$B$83,2,FALSE),"")</f>
        <v/>
      </c>
      <c r="D431" s="11">
        <f>IF(OR(WEEKDAY(A431,2)&gt;=6,C431&lt;&gt;"",COUNTIF('1_祝日'!$D$4:$D$43,A431)&gt;0,AND($B$3=1,OR(AND(MONTH(A431)=12,DAY(A431)&gt;=29),AND(MONTH(A431)=1,DAY(A431)&lt;=3)))),1,0)</f>
        <v/>
      </c>
      <c r="E431" s="7" t="n"/>
      <c r="F431" s="11">
        <f>IF(OR(D431=1,E431=1),1,0)</f>
        <v/>
      </c>
      <c r="G431" s="11">
        <f>IF(F431=1,G430+1,0)</f>
        <v/>
      </c>
      <c r="H431" s="11">
        <f>IF(F431=1,H432+1,0)</f>
        <v/>
      </c>
      <c r="I431" s="11">
        <f>IF(AND(D431=1,E431=1),"もとから休み","")</f>
        <v/>
      </c>
      <c r="J431" s="11">
        <f>IF(F431=1,G431+H431-1,"")</f>
        <v/>
      </c>
      <c r="K431" s="11">
        <f>IF(D431=0,COUNTIF($D$7:D431,0),"")</f>
        <v/>
      </c>
    </row>
    <row r="432">
      <c r="A432" s="10">
        <f>DATE($B$2-1,12,1)+425</f>
        <v/>
      </c>
      <c r="B432" s="11">
        <f>TEXT(A432,"aaa")</f>
        <v/>
      </c>
      <c r="C432" s="12">
        <f>IFERROR(VLOOKUP(A432,'1_祝日'!$A$4:$B$83,2,FALSE),"")</f>
        <v/>
      </c>
      <c r="D432" s="11">
        <f>IF(OR(WEEKDAY(A432,2)&gt;=6,C432&lt;&gt;"",COUNTIF('1_祝日'!$D$4:$D$43,A432)&gt;0,AND($B$3=1,OR(AND(MONTH(A432)=12,DAY(A432)&gt;=29),AND(MONTH(A432)=1,DAY(A432)&lt;=3)))),1,0)</f>
        <v/>
      </c>
      <c r="E432" s="7" t="n"/>
      <c r="F432" s="11">
        <f>IF(OR(D432=1,E432=1),1,0)</f>
        <v/>
      </c>
      <c r="G432" s="11">
        <f>IF(F432=1,G431+1,0)</f>
        <v/>
      </c>
      <c r="H432" s="11">
        <f>IF(F432=1,H433+1,0)</f>
        <v/>
      </c>
      <c r="I432" s="11">
        <f>IF(AND(D432=1,E432=1),"もとから休み","")</f>
        <v/>
      </c>
      <c r="J432" s="11">
        <f>IF(F432=1,G432+H432-1,"")</f>
        <v/>
      </c>
      <c r="K432" s="11">
        <f>IF(D432=0,COUNTIF($D$7:D432,0),"")</f>
        <v/>
      </c>
    </row>
    <row r="433">
      <c r="A433" s="10">
        <f>DATE($B$2-1,12,1)+426</f>
        <v/>
      </c>
      <c r="B433" s="11">
        <f>TEXT(A433,"aaa")</f>
        <v/>
      </c>
      <c r="C433" s="12">
        <f>IFERROR(VLOOKUP(A433,'1_祝日'!$A$4:$B$83,2,FALSE),"")</f>
        <v/>
      </c>
      <c r="D433" s="11">
        <f>IF(OR(WEEKDAY(A433,2)&gt;=6,C433&lt;&gt;"",COUNTIF('1_祝日'!$D$4:$D$43,A433)&gt;0,AND($B$3=1,OR(AND(MONTH(A433)=12,DAY(A433)&gt;=29),AND(MONTH(A433)=1,DAY(A433)&lt;=3)))),1,0)</f>
        <v/>
      </c>
      <c r="E433" s="7" t="n"/>
      <c r="F433" s="11">
        <f>IF(OR(D433=1,E433=1),1,0)</f>
        <v/>
      </c>
      <c r="G433" s="11">
        <f>IF(F433=1,G432+1,0)</f>
        <v/>
      </c>
      <c r="H433" s="11">
        <f>F433</f>
        <v/>
      </c>
      <c r="I433" s="11">
        <f>IF(AND(D433=1,E433=1),"もとから休み","")</f>
        <v/>
      </c>
      <c r="J433" s="11">
        <f>IF(F433=1,G433+H433-1,"")</f>
        <v/>
      </c>
      <c r="K433" s="11">
        <f>IF(D433=0,COUNTIF($D$7:D433,0),"")</f>
        <v/>
      </c>
    </row>
  </sheetData>
  <conditionalFormatting sqref="I7:I433">
    <cfRule type="expression" priority="1" dxfId="0">
      <formula>$I7&lt;&gt;""</formula>
    </cfRule>
  </conditionalFormatting>
  <conditionalFormatting sqref="A7:D433">
    <cfRule type="expression" priority="2" dxfId="1">
      <formula>AND($E7=1,$D7=0)</formula>
    </cfRule>
  </conditionalFormatting>
  <conditionalFormatting sqref="J7:J433">
    <cfRule type="expression" priority="3" dxfId="2">
      <formula>AND($J7&lt;&gt;"",$J7&gt;=5)</formula>
    </cfRule>
  </conditionalFormatting>
  <conditionalFormatting sqref="A7:K433">
    <cfRule type="expression" priority="4" dxfId="3">
      <formula>$D7=1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3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7" customWidth="1" min="22" max="22"/>
    <col width="17" customWidth="1" min="23" max="23"/>
  </cols>
  <sheetData>
    <row r="1">
      <c r="A1" s="1" t="inlineStr">
        <is>
          <t>有給をk日使ったときの最長の連休。出勤日を並べて、続けてk日休んだ場合を全部数える</t>
        </is>
      </c>
    </row>
    <row r="2">
      <c r="A2" t="inlineStr">
        <is>
          <t>数える年</t>
        </is>
      </c>
      <c r="B2" s="13">
        <f>'2_暦'!B2</f>
        <v/>
      </c>
    </row>
    <row r="3">
      <c r="C3" s="14" t="n">
        <v>0</v>
      </c>
      <c r="D3" s="14" t="n">
        <v>1</v>
      </c>
      <c r="E3" s="14" t="n">
        <v>2</v>
      </c>
      <c r="F3" s="14" t="n">
        <v>3</v>
      </c>
      <c r="G3" s="14" t="n">
        <v>4</v>
      </c>
      <c r="H3" s="14" t="n">
        <v>5</v>
      </c>
      <c r="I3" s="14" t="n">
        <v>6</v>
      </c>
      <c r="J3" s="14" t="n">
        <v>7</v>
      </c>
      <c r="K3" s="14" t="n">
        <v>8</v>
      </c>
      <c r="L3" s="14" t="n">
        <v>9</v>
      </c>
      <c r="M3" s="14" t="n">
        <v>10</v>
      </c>
    </row>
    <row r="4">
      <c r="A4" s="2" t="inlineStr">
        <is>
          <t>番号</t>
        </is>
      </c>
      <c r="B4" s="2" t="inlineStr">
        <is>
          <t>出勤日</t>
        </is>
      </c>
      <c r="C4" s="2" t="inlineStr">
        <is>
          <t>k=0</t>
        </is>
      </c>
      <c r="D4" s="2" t="inlineStr">
        <is>
          <t>k=1</t>
        </is>
      </c>
      <c r="E4" s="2" t="inlineStr">
        <is>
          <t>k=2</t>
        </is>
      </c>
      <c r="F4" s="2" t="inlineStr">
        <is>
          <t>k=3</t>
        </is>
      </c>
      <c r="G4" s="2" t="inlineStr">
        <is>
          <t>k=4</t>
        </is>
      </c>
      <c r="H4" s="2" t="inlineStr">
        <is>
          <t>k=5</t>
        </is>
      </c>
      <c r="I4" s="2" t="inlineStr">
        <is>
          <t>k=6</t>
        </is>
      </c>
      <c r="J4" s="2" t="inlineStr">
        <is>
          <t>k=7</t>
        </is>
      </c>
      <c r="K4" s="2" t="inlineStr">
        <is>
          <t>k=8</t>
        </is>
      </c>
      <c r="L4" s="2" t="inlineStr">
        <is>
          <t>k=9</t>
        </is>
      </c>
      <c r="M4" s="2" t="inlineStr">
        <is>
          <t>k=10</t>
        </is>
      </c>
      <c r="P4" s="2" t="inlineStr">
        <is>
          <t>有給の日数</t>
        </is>
      </c>
      <c r="Q4" s="2" t="inlineStr">
        <is>
          <t>最長の連休</t>
        </is>
      </c>
      <c r="R4" s="2" t="inlineStr">
        <is>
          <t>休み始め</t>
        </is>
      </c>
      <c r="S4" s="2" t="inlineStr">
        <is>
          <t>休み終わり</t>
        </is>
      </c>
      <c r="T4" s="2" t="inlineStr">
        <is>
          <t>有給の初日</t>
        </is>
      </c>
      <c r="U4" s="2" t="inlineStr">
        <is>
          <t>有給の最終日</t>
        </is>
      </c>
      <c r="V4" s="2" t="inlineStr">
        <is>
          <t>前より延びた日数</t>
        </is>
      </c>
      <c r="W4" s="2" t="inlineStr">
        <is>
          <t>同じ長さの取り方</t>
        </is>
      </c>
    </row>
    <row r="5">
      <c r="A5" s="11" t="n">
        <v>1</v>
      </c>
      <c r="B5" s="10">
        <f>IFERROR(INDEX('2_暦'!$A$7:$A$433,MATCH(A5,'2_暦'!$K$7:$K$433,0)),"")</f>
        <v/>
      </c>
      <c r="C5" s="11">
        <f>IF(OR($A5=1,$B5=""),"",IF(OR(YEAR($B5-1)=$B$2,YEAR(INDEX($B$5:$B$344,$A5-1)+1)=$B$2),$B5-INDEX($B$5:$B$344,$A5-1)-1,""))</f>
        <v/>
      </c>
      <c r="D5" s="11">
        <f>IF(OR($A5=1,$B5="",$A5+D$3&gt;340),"",IF(INDEX($B$5:$B$344,$A5+D$3)="","",IF(AND(YEAR($B5)=$B$2,YEAR(INDEX($B$5:$B$344,$A5+D$3-1))=$B$2),INDEX($B$5:$B$344,$A5+D$3)-INDEX($B$5:$B$344,$A5-1)-1,"")))</f>
        <v/>
      </c>
      <c r="E5" s="11">
        <f>IF(OR($A5=1,$B5="",$A5+E$3&gt;340),"",IF(INDEX($B$5:$B$344,$A5+E$3)="","",IF(AND(YEAR($B5)=$B$2,YEAR(INDEX($B$5:$B$344,$A5+E$3-1))=$B$2),INDEX($B$5:$B$344,$A5+E$3)-INDEX($B$5:$B$344,$A5-1)-1,"")))</f>
        <v/>
      </c>
      <c r="F5" s="11">
        <f>IF(OR($A5=1,$B5="",$A5+F$3&gt;340),"",IF(INDEX($B$5:$B$344,$A5+F$3)="","",IF(AND(YEAR($B5)=$B$2,YEAR(INDEX($B$5:$B$344,$A5+F$3-1))=$B$2),INDEX($B$5:$B$344,$A5+F$3)-INDEX($B$5:$B$344,$A5-1)-1,"")))</f>
        <v/>
      </c>
      <c r="G5" s="11">
        <f>IF(OR($A5=1,$B5="",$A5+G$3&gt;340),"",IF(INDEX($B$5:$B$344,$A5+G$3)="","",IF(AND(YEAR($B5)=$B$2,YEAR(INDEX($B$5:$B$344,$A5+G$3-1))=$B$2),INDEX($B$5:$B$344,$A5+G$3)-INDEX($B$5:$B$344,$A5-1)-1,"")))</f>
        <v/>
      </c>
      <c r="H5" s="11">
        <f>IF(OR($A5=1,$B5="",$A5+H$3&gt;340),"",IF(INDEX($B$5:$B$344,$A5+H$3)="","",IF(AND(YEAR($B5)=$B$2,YEAR(INDEX($B$5:$B$344,$A5+H$3-1))=$B$2),INDEX($B$5:$B$344,$A5+H$3)-INDEX($B$5:$B$344,$A5-1)-1,"")))</f>
        <v/>
      </c>
      <c r="I5" s="11">
        <f>IF(OR($A5=1,$B5="",$A5+I$3&gt;340),"",IF(INDEX($B$5:$B$344,$A5+I$3)="","",IF(AND(YEAR($B5)=$B$2,YEAR(INDEX($B$5:$B$344,$A5+I$3-1))=$B$2),INDEX($B$5:$B$344,$A5+I$3)-INDEX($B$5:$B$344,$A5-1)-1,"")))</f>
        <v/>
      </c>
      <c r="J5" s="11">
        <f>IF(OR($A5=1,$B5="",$A5+J$3&gt;340),"",IF(INDEX($B$5:$B$344,$A5+J$3)="","",IF(AND(YEAR($B5)=$B$2,YEAR(INDEX($B$5:$B$344,$A5+J$3-1))=$B$2),INDEX($B$5:$B$344,$A5+J$3)-INDEX($B$5:$B$344,$A5-1)-1,"")))</f>
        <v/>
      </c>
      <c r="K5" s="11">
        <f>IF(OR($A5=1,$B5="",$A5+K$3&gt;340),"",IF(INDEX($B$5:$B$344,$A5+K$3)="","",IF(AND(YEAR($B5)=$B$2,YEAR(INDEX($B$5:$B$344,$A5+K$3-1))=$B$2),INDEX($B$5:$B$344,$A5+K$3)-INDEX($B$5:$B$344,$A5-1)-1,"")))</f>
        <v/>
      </c>
      <c r="L5" s="11">
        <f>IF(OR($A5=1,$B5="",$A5+L$3&gt;340),"",IF(INDEX($B$5:$B$344,$A5+L$3)="","",IF(AND(YEAR($B5)=$B$2,YEAR(INDEX($B$5:$B$344,$A5+L$3-1))=$B$2),INDEX($B$5:$B$344,$A5+L$3)-INDEX($B$5:$B$344,$A5-1)-1,"")))</f>
        <v/>
      </c>
      <c r="M5" s="11">
        <f>IF(OR($A5=1,$B5="",$A5+M$3&gt;340),"",IF(INDEX($B$5:$B$344,$A5+M$3)="","",IF(AND(YEAR($B5)=$B$2,YEAR(INDEX($B$5:$B$344,$A5+M$3-1))=$B$2),INDEX($B$5:$B$344,$A5+M$3)-INDEX($B$5:$B$344,$A5-1)-1,"")))</f>
        <v/>
      </c>
      <c r="P5" s="8" t="n">
        <v>0</v>
      </c>
      <c r="Q5" s="9">
        <f>MAX($C$5:$C$344)</f>
        <v/>
      </c>
      <c r="R5" s="15">
        <f>INDEX($B$5:$B$344,MATCH($Q5,$C$5:$C$344,0)-1)+1</f>
        <v/>
      </c>
      <c r="S5" s="15">
        <f>INDEX($B$5:$B$344,MATCH($Q5,$C$5:$C$344,0))-1</f>
        <v/>
      </c>
      <c r="T5" s="15" t="inlineStr">
        <is>
          <t>なし</t>
        </is>
      </c>
      <c r="U5" s="15" t="inlineStr">
        <is>
          <t>なし</t>
        </is>
      </c>
      <c r="V5" s="8" t="inlineStr"/>
      <c r="W5" s="8">
        <f>COUNTIF($C$5:$C$344,$Q5)</f>
        <v/>
      </c>
    </row>
    <row r="6">
      <c r="A6" s="11" t="n">
        <v>2</v>
      </c>
      <c r="B6" s="10">
        <f>IFERROR(INDEX('2_暦'!$A$7:$A$433,MATCH(A6,'2_暦'!$K$7:$K$433,0)),"")</f>
        <v/>
      </c>
      <c r="C6" s="11">
        <f>IF(OR($A6=1,$B6=""),"",IF(OR(YEAR($B6-1)=$B$2,YEAR(INDEX($B$5:$B$344,$A6-1)+1)=$B$2),$B6-INDEX($B$5:$B$344,$A6-1)-1,""))</f>
        <v/>
      </c>
      <c r="D6" s="11">
        <f>IF(OR($A6=1,$B6="",$A6+D$3&gt;340),"",IF(INDEX($B$5:$B$344,$A6+D$3)="","",IF(AND(YEAR($B6)=$B$2,YEAR(INDEX($B$5:$B$344,$A6+D$3-1))=$B$2),INDEX($B$5:$B$344,$A6+D$3)-INDEX($B$5:$B$344,$A6-1)-1,"")))</f>
        <v/>
      </c>
      <c r="E6" s="11">
        <f>IF(OR($A6=1,$B6="",$A6+E$3&gt;340),"",IF(INDEX($B$5:$B$344,$A6+E$3)="","",IF(AND(YEAR($B6)=$B$2,YEAR(INDEX($B$5:$B$344,$A6+E$3-1))=$B$2),INDEX($B$5:$B$344,$A6+E$3)-INDEX($B$5:$B$344,$A6-1)-1,"")))</f>
        <v/>
      </c>
      <c r="F6" s="11">
        <f>IF(OR($A6=1,$B6="",$A6+F$3&gt;340),"",IF(INDEX($B$5:$B$344,$A6+F$3)="","",IF(AND(YEAR($B6)=$B$2,YEAR(INDEX($B$5:$B$344,$A6+F$3-1))=$B$2),INDEX($B$5:$B$344,$A6+F$3)-INDEX($B$5:$B$344,$A6-1)-1,"")))</f>
        <v/>
      </c>
      <c r="G6" s="11">
        <f>IF(OR($A6=1,$B6="",$A6+G$3&gt;340),"",IF(INDEX($B$5:$B$344,$A6+G$3)="","",IF(AND(YEAR($B6)=$B$2,YEAR(INDEX($B$5:$B$344,$A6+G$3-1))=$B$2),INDEX($B$5:$B$344,$A6+G$3)-INDEX($B$5:$B$344,$A6-1)-1,"")))</f>
        <v/>
      </c>
      <c r="H6" s="11">
        <f>IF(OR($A6=1,$B6="",$A6+H$3&gt;340),"",IF(INDEX($B$5:$B$344,$A6+H$3)="","",IF(AND(YEAR($B6)=$B$2,YEAR(INDEX($B$5:$B$344,$A6+H$3-1))=$B$2),INDEX($B$5:$B$344,$A6+H$3)-INDEX($B$5:$B$344,$A6-1)-1,"")))</f>
        <v/>
      </c>
      <c r="I6" s="11">
        <f>IF(OR($A6=1,$B6="",$A6+I$3&gt;340),"",IF(INDEX($B$5:$B$344,$A6+I$3)="","",IF(AND(YEAR($B6)=$B$2,YEAR(INDEX($B$5:$B$344,$A6+I$3-1))=$B$2),INDEX($B$5:$B$344,$A6+I$3)-INDEX($B$5:$B$344,$A6-1)-1,"")))</f>
        <v/>
      </c>
      <c r="J6" s="11">
        <f>IF(OR($A6=1,$B6="",$A6+J$3&gt;340),"",IF(INDEX($B$5:$B$344,$A6+J$3)="","",IF(AND(YEAR($B6)=$B$2,YEAR(INDEX($B$5:$B$344,$A6+J$3-1))=$B$2),INDEX($B$5:$B$344,$A6+J$3)-INDEX($B$5:$B$344,$A6-1)-1,"")))</f>
        <v/>
      </c>
      <c r="K6" s="11">
        <f>IF(OR($A6=1,$B6="",$A6+K$3&gt;340),"",IF(INDEX($B$5:$B$344,$A6+K$3)="","",IF(AND(YEAR($B6)=$B$2,YEAR(INDEX($B$5:$B$344,$A6+K$3-1))=$B$2),INDEX($B$5:$B$344,$A6+K$3)-INDEX($B$5:$B$344,$A6-1)-1,"")))</f>
        <v/>
      </c>
      <c r="L6" s="11">
        <f>IF(OR($A6=1,$B6="",$A6+L$3&gt;340),"",IF(INDEX($B$5:$B$344,$A6+L$3)="","",IF(AND(YEAR($B6)=$B$2,YEAR(INDEX($B$5:$B$344,$A6+L$3-1))=$B$2),INDEX($B$5:$B$344,$A6+L$3)-INDEX($B$5:$B$344,$A6-1)-1,"")))</f>
        <v/>
      </c>
      <c r="M6" s="11">
        <f>IF(OR($A6=1,$B6="",$A6+M$3&gt;340),"",IF(INDEX($B$5:$B$344,$A6+M$3)="","",IF(AND(YEAR($B6)=$B$2,YEAR(INDEX($B$5:$B$344,$A6+M$3-1))=$B$2),INDEX($B$5:$B$344,$A6+M$3)-INDEX($B$5:$B$344,$A6-1)-1,"")))</f>
        <v/>
      </c>
      <c r="P6" s="8" t="n">
        <v>1</v>
      </c>
      <c r="Q6" s="9">
        <f>MAX($D$5:$D$344)</f>
        <v/>
      </c>
      <c r="R6" s="15">
        <f>INDEX($B$5:$B$344,MATCH($Q6,$D$5:$D$344,0)-1)+1</f>
        <v/>
      </c>
      <c r="S6" s="15">
        <f>INDEX($B$5:$B$344,MATCH($Q6,$D$5:$D$344,0)+1)-1</f>
        <v/>
      </c>
      <c r="T6" s="15">
        <f>INDEX($B$5:$B$344,MATCH($Q6,$D$5:$D$344,0))</f>
        <v/>
      </c>
      <c r="U6" s="15">
        <f>INDEX($B$5:$B$344,MATCH($Q6,$D$5:$D$344,0)+0)</f>
        <v/>
      </c>
      <c r="V6" s="8">
        <f>Q6-Q5</f>
        <v/>
      </c>
      <c r="W6" s="8">
        <f>COUNTIF($D$5:$D$344,$Q6)</f>
        <v/>
      </c>
    </row>
    <row r="7">
      <c r="A7" s="11" t="n">
        <v>3</v>
      </c>
      <c r="B7" s="10">
        <f>IFERROR(INDEX('2_暦'!$A$7:$A$433,MATCH(A7,'2_暦'!$K$7:$K$433,0)),"")</f>
        <v/>
      </c>
      <c r="C7" s="11">
        <f>IF(OR($A7=1,$B7=""),"",IF(OR(YEAR($B7-1)=$B$2,YEAR(INDEX($B$5:$B$344,$A7-1)+1)=$B$2),$B7-INDEX($B$5:$B$344,$A7-1)-1,""))</f>
        <v/>
      </c>
      <c r="D7" s="11">
        <f>IF(OR($A7=1,$B7="",$A7+D$3&gt;340),"",IF(INDEX($B$5:$B$344,$A7+D$3)="","",IF(AND(YEAR($B7)=$B$2,YEAR(INDEX($B$5:$B$344,$A7+D$3-1))=$B$2),INDEX($B$5:$B$344,$A7+D$3)-INDEX($B$5:$B$344,$A7-1)-1,"")))</f>
        <v/>
      </c>
      <c r="E7" s="11">
        <f>IF(OR($A7=1,$B7="",$A7+E$3&gt;340),"",IF(INDEX($B$5:$B$344,$A7+E$3)="","",IF(AND(YEAR($B7)=$B$2,YEAR(INDEX($B$5:$B$344,$A7+E$3-1))=$B$2),INDEX($B$5:$B$344,$A7+E$3)-INDEX($B$5:$B$344,$A7-1)-1,"")))</f>
        <v/>
      </c>
      <c r="F7" s="11">
        <f>IF(OR($A7=1,$B7="",$A7+F$3&gt;340),"",IF(INDEX($B$5:$B$344,$A7+F$3)="","",IF(AND(YEAR($B7)=$B$2,YEAR(INDEX($B$5:$B$344,$A7+F$3-1))=$B$2),INDEX($B$5:$B$344,$A7+F$3)-INDEX($B$5:$B$344,$A7-1)-1,"")))</f>
        <v/>
      </c>
      <c r="G7" s="11">
        <f>IF(OR($A7=1,$B7="",$A7+G$3&gt;340),"",IF(INDEX($B$5:$B$344,$A7+G$3)="","",IF(AND(YEAR($B7)=$B$2,YEAR(INDEX($B$5:$B$344,$A7+G$3-1))=$B$2),INDEX($B$5:$B$344,$A7+G$3)-INDEX($B$5:$B$344,$A7-1)-1,"")))</f>
        <v/>
      </c>
      <c r="H7" s="11">
        <f>IF(OR($A7=1,$B7="",$A7+H$3&gt;340),"",IF(INDEX($B$5:$B$344,$A7+H$3)="","",IF(AND(YEAR($B7)=$B$2,YEAR(INDEX($B$5:$B$344,$A7+H$3-1))=$B$2),INDEX($B$5:$B$344,$A7+H$3)-INDEX($B$5:$B$344,$A7-1)-1,"")))</f>
        <v/>
      </c>
      <c r="I7" s="11">
        <f>IF(OR($A7=1,$B7="",$A7+I$3&gt;340),"",IF(INDEX($B$5:$B$344,$A7+I$3)="","",IF(AND(YEAR($B7)=$B$2,YEAR(INDEX($B$5:$B$344,$A7+I$3-1))=$B$2),INDEX($B$5:$B$344,$A7+I$3)-INDEX($B$5:$B$344,$A7-1)-1,"")))</f>
        <v/>
      </c>
      <c r="J7" s="11">
        <f>IF(OR($A7=1,$B7="",$A7+J$3&gt;340),"",IF(INDEX($B$5:$B$344,$A7+J$3)="","",IF(AND(YEAR($B7)=$B$2,YEAR(INDEX($B$5:$B$344,$A7+J$3-1))=$B$2),INDEX($B$5:$B$344,$A7+J$3)-INDEX($B$5:$B$344,$A7-1)-1,"")))</f>
        <v/>
      </c>
      <c r="K7" s="11">
        <f>IF(OR($A7=1,$B7="",$A7+K$3&gt;340),"",IF(INDEX($B$5:$B$344,$A7+K$3)="","",IF(AND(YEAR($B7)=$B$2,YEAR(INDEX($B$5:$B$344,$A7+K$3-1))=$B$2),INDEX($B$5:$B$344,$A7+K$3)-INDEX($B$5:$B$344,$A7-1)-1,"")))</f>
        <v/>
      </c>
      <c r="L7" s="11">
        <f>IF(OR($A7=1,$B7="",$A7+L$3&gt;340),"",IF(INDEX($B$5:$B$344,$A7+L$3)="","",IF(AND(YEAR($B7)=$B$2,YEAR(INDEX($B$5:$B$344,$A7+L$3-1))=$B$2),INDEX($B$5:$B$344,$A7+L$3)-INDEX($B$5:$B$344,$A7-1)-1,"")))</f>
        <v/>
      </c>
      <c r="M7" s="11">
        <f>IF(OR($A7=1,$B7="",$A7+M$3&gt;340),"",IF(INDEX($B$5:$B$344,$A7+M$3)="","",IF(AND(YEAR($B7)=$B$2,YEAR(INDEX($B$5:$B$344,$A7+M$3-1))=$B$2),INDEX($B$5:$B$344,$A7+M$3)-INDEX($B$5:$B$344,$A7-1)-1,"")))</f>
        <v/>
      </c>
      <c r="P7" s="8" t="n">
        <v>2</v>
      </c>
      <c r="Q7" s="9">
        <f>MAX($E$5:$E$344)</f>
        <v/>
      </c>
      <c r="R7" s="15">
        <f>INDEX($B$5:$B$344,MATCH($Q7,$E$5:$E$344,0)-1)+1</f>
        <v/>
      </c>
      <c r="S7" s="15">
        <f>INDEX($B$5:$B$344,MATCH($Q7,$E$5:$E$344,0)+2)-1</f>
        <v/>
      </c>
      <c r="T7" s="15">
        <f>INDEX($B$5:$B$344,MATCH($Q7,$E$5:$E$344,0))</f>
        <v/>
      </c>
      <c r="U7" s="15">
        <f>INDEX($B$5:$B$344,MATCH($Q7,$E$5:$E$344,0)+1)</f>
        <v/>
      </c>
      <c r="V7" s="8">
        <f>Q7-Q6</f>
        <v/>
      </c>
      <c r="W7" s="8">
        <f>COUNTIF($E$5:$E$344,$Q7)</f>
        <v/>
      </c>
    </row>
    <row r="8">
      <c r="A8" s="11" t="n">
        <v>4</v>
      </c>
      <c r="B8" s="10">
        <f>IFERROR(INDEX('2_暦'!$A$7:$A$433,MATCH(A8,'2_暦'!$K$7:$K$433,0)),"")</f>
        <v/>
      </c>
      <c r="C8" s="11">
        <f>IF(OR($A8=1,$B8=""),"",IF(OR(YEAR($B8-1)=$B$2,YEAR(INDEX($B$5:$B$344,$A8-1)+1)=$B$2),$B8-INDEX($B$5:$B$344,$A8-1)-1,""))</f>
        <v/>
      </c>
      <c r="D8" s="11">
        <f>IF(OR($A8=1,$B8="",$A8+D$3&gt;340),"",IF(INDEX($B$5:$B$344,$A8+D$3)="","",IF(AND(YEAR($B8)=$B$2,YEAR(INDEX($B$5:$B$344,$A8+D$3-1))=$B$2),INDEX($B$5:$B$344,$A8+D$3)-INDEX($B$5:$B$344,$A8-1)-1,"")))</f>
        <v/>
      </c>
      <c r="E8" s="11">
        <f>IF(OR($A8=1,$B8="",$A8+E$3&gt;340),"",IF(INDEX($B$5:$B$344,$A8+E$3)="","",IF(AND(YEAR($B8)=$B$2,YEAR(INDEX($B$5:$B$344,$A8+E$3-1))=$B$2),INDEX($B$5:$B$344,$A8+E$3)-INDEX($B$5:$B$344,$A8-1)-1,"")))</f>
        <v/>
      </c>
      <c r="F8" s="11">
        <f>IF(OR($A8=1,$B8="",$A8+F$3&gt;340),"",IF(INDEX($B$5:$B$344,$A8+F$3)="","",IF(AND(YEAR($B8)=$B$2,YEAR(INDEX($B$5:$B$344,$A8+F$3-1))=$B$2),INDEX($B$5:$B$344,$A8+F$3)-INDEX($B$5:$B$344,$A8-1)-1,"")))</f>
        <v/>
      </c>
      <c r="G8" s="11">
        <f>IF(OR($A8=1,$B8="",$A8+G$3&gt;340),"",IF(INDEX($B$5:$B$344,$A8+G$3)="","",IF(AND(YEAR($B8)=$B$2,YEAR(INDEX($B$5:$B$344,$A8+G$3-1))=$B$2),INDEX($B$5:$B$344,$A8+G$3)-INDEX($B$5:$B$344,$A8-1)-1,"")))</f>
        <v/>
      </c>
      <c r="H8" s="11">
        <f>IF(OR($A8=1,$B8="",$A8+H$3&gt;340),"",IF(INDEX($B$5:$B$344,$A8+H$3)="","",IF(AND(YEAR($B8)=$B$2,YEAR(INDEX($B$5:$B$344,$A8+H$3-1))=$B$2),INDEX($B$5:$B$344,$A8+H$3)-INDEX($B$5:$B$344,$A8-1)-1,"")))</f>
        <v/>
      </c>
      <c r="I8" s="11">
        <f>IF(OR($A8=1,$B8="",$A8+I$3&gt;340),"",IF(INDEX($B$5:$B$344,$A8+I$3)="","",IF(AND(YEAR($B8)=$B$2,YEAR(INDEX($B$5:$B$344,$A8+I$3-1))=$B$2),INDEX($B$5:$B$344,$A8+I$3)-INDEX($B$5:$B$344,$A8-1)-1,"")))</f>
        <v/>
      </c>
      <c r="J8" s="11">
        <f>IF(OR($A8=1,$B8="",$A8+J$3&gt;340),"",IF(INDEX($B$5:$B$344,$A8+J$3)="","",IF(AND(YEAR($B8)=$B$2,YEAR(INDEX($B$5:$B$344,$A8+J$3-1))=$B$2),INDEX($B$5:$B$344,$A8+J$3)-INDEX($B$5:$B$344,$A8-1)-1,"")))</f>
        <v/>
      </c>
      <c r="K8" s="11">
        <f>IF(OR($A8=1,$B8="",$A8+K$3&gt;340),"",IF(INDEX($B$5:$B$344,$A8+K$3)="","",IF(AND(YEAR($B8)=$B$2,YEAR(INDEX($B$5:$B$344,$A8+K$3-1))=$B$2),INDEX($B$5:$B$344,$A8+K$3)-INDEX($B$5:$B$344,$A8-1)-1,"")))</f>
        <v/>
      </c>
      <c r="L8" s="11">
        <f>IF(OR($A8=1,$B8="",$A8+L$3&gt;340),"",IF(INDEX($B$5:$B$344,$A8+L$3)="","",IF(AND(YEAR($B8)=$B$2,YEAR(INDEX($B$5:$B$344,$A8+L$3-1))=$B$2),INDEX($B$5:$B$344,$A8+L$3)-INDEX($B$5:$B$344,$A8-1)-1,"")))</f>
        <v/>
      </c>
      <c r="M8" s="11">
        <f>IF(OR($A8=1,$B8="",$A8+M$3&gt;340),"",IF(INDEX($B$5:$B$344,$A8+M$3)="","",IF(AND(YEAR($B8)=$B$2,YEAR(INDEX($B$5:$B$344,$A8+M$3-1))=$B$2),INDEX($B$5:$B$344,$A8+M$3)-INDEX($B$5:$B$344,$A8-1)-1,"")))</f>
        <v/>
      </c>
      <c r="P8" s="8" t="n">
        <v>3</v>
      </c>
      <c r="Q8" s="9">
        <f>MAX($F$5:$F$344)</f>
        <v/>
      </c>
      <c r="R8" s="15">
        <f>INDEX($B$5:$B$344,MATCH($Q8,$F$5:$F$344,0)-1)+1</f>
        <v/>
      </c>
      <c r="S8" s="15">
        <f>INDEX($B$5:$B$344,MATCH($Q8,$F$5:$F$344,0)+3)-1</f>
        <v/>
      </c>
      <c r="T8" s="15">
        <f>INDEX($B$5:$B$344,MATCH($Q8,$F$5:$F$344,0))</f>
        <v/>
      </c>
      <c r="U8" s="15">
        <f>INDEX($B$5:$B$344,MATCH($Q8,$F$5:$F$344,0)+2)</f>
        <v/>
      </c>
      <c r="V8" s="8">
        <f>Q8-Q7</f>
        <v/>
      </c>
      <c r="W8" s="8">
        <f>COUNTIF($F$5:$F$344,$Q8)</f>
        <v/>
      </c>
    </row>
    <row r="9">
      <c r="A9" s="11" t="n">
        <v>5</v>
      </c>
      <c r="B9" s="10">
        <f>IFERROR(INDEX('2_暦'!$A$7:$A$433,MATCH(A9,'2_暦'!$K$7:$K$433,0)),"")</f>
        <v/>
      </c>
      <c r="C9" s="11">
        <f>IF(OR($A9=1,$B9=""),"",IF(OR(YEAR($B9-1)=$B$2,YEAR(INDEX($B$5:$B$344,$A9-1)+1)=$B$2),$B9-INDEX($B$5:$B$344,$A9-1)-1,""))</f>
        <v/>
      </c>
      <c r="D9" s="11">
        <f>IF(OR($A9=1,$B9="",$A9+D$3&gt;340),"",IF(INDEX($B$5:$B$344,$A9+D$3)="","",IF(AND(YEAR($B9)=$B$2,YEAR(INDEX($B$5:$B$344,$A9+D$3-1))=$B$2),INDEX($B$5:$B$344,$A9+D$3)-INDEX($B$5:$B$344,$A9-1)-1,"")))</f>
        <v/>
      </c>
      <c r="E9" s="11">
        <f>IF(OR($A9=1,$B9="",$A9+E$3&gt;340),"",IF(INDEX($B$5:$B$344,$A9+E$3)="","",IF(AND(YEAR($B9)=$B$2,YEAR(INDEX($B$5:$B$344,$A9+E$3-1))=$B$2),INDEX($B$5:$B$344,$A9+E$3)-INDEX($B$5:$B$344,$A9-1)-1,"")))</f>
        <v/>
      </c>
      <c r="F9" s="11">
        <f>IF(OR($A9=1,$B9="",$A9+F$3&gt;340),"",IF(INDEX($B$5:$B$344,$A9+F$3)="","",IF(AND(YEAR($B9)=$B$2,YEAR(INDEX($B$5:$B$344,$A9+F$3-1))=$B$2),INDEX($B$5:$B$344,$A9+F$3)-INDEX($B$5:$B$344,$A9-1)-1,"")))</f>
        <v/>
      </c>
      <c r="G9" s="11">
        <f>IF(OR($A9=1,$B9="",$A9+G$3&gt;340),"",IF(INDEX($B$5:$B$344,$A9+G$3)="","",IF(AND(YEAR($B9)=$B$2,YEAR(INDEX($B$5:$B$344,$A9+G$3-1))=$B$2),INDEX($B$5:$B$344,$A9+G$3)-INDEX($B$5:$B$344,$A9-1)-1,"")))</f>
        <v/>
      </c>
      <c r="H9" s="11">
        <f>IF(OR($A9=1,$B9="",$A9+H$3&gt;340),"",IF(INDEX($B$5:$B$344,$A9+H$3)="","",IF(AND(YEAR($B9)=$B$2,YEAR(INDEX($B$5:$B$344,$A9+H$3-1))=$B$2),INDEX($B$5:$B$344,$A9+H$3)-INDEX($B$5:$B$344,$A9-1)-1,"")))</f>
        <v/>
      </c>
      <c r="I9" s="11">
        <f>IF(OR($A9=1,$B9="",$A9+I$3&gt;340),"",IF(INDEX($B$5:$B$344,$A9+I$3)="","",IF(AND(YEAR($B9)=$B$2,YEAR(INDEX($B$5:$B$344,$A9+I$3-1))=$B$2),INDEX($B$5:$B$344,$A9+I$3)-INDEX($B$5:$B$344,$A9-1)-1,"")))</f>
        <v/>
      </c>
      <c r="J9" s="11">
        <f>IF(OR($A9=1,$B9="",$A9+J$3&gt;340),"",IF(INDEX($B$5:$B$344,$A9+J$3)="","",IF(AND(YEAR($B9)=$B$2,YEAR(INDEX($B$5:$B$344,$A9+J$3-1))=$B$2),INDEX($B$5:$B$344,$A9+J$3)-INDEX($B$5:$B$344,$A9-1)-1,"")))</f>
        <v/>
      </c>
      <c r="K9" s="11">
        <f>IF(OR($A9=1,$B9="",$A9+K$3&gt;340),"",IF(INDEX($B$5:$B$344,$A9+K$3)="","",IF(AND(YEAR($B9)=$B$2,YEAR(INDEX($B$5:$B$344,$A9+K$3-1))=$B$2),INDEX($B$5:$B$344,$A9+K$3)-INDEX($B$5:$B$344,$A9-1)-1,"")))</f>
        <v/>
      </c>
      <c r="L9" s="11">
        <f>IF(OR($A9=1,$B9="",$A9+L$3&gt;340),"",IF(INDEX($B$5:$B$344,$A9+L$3)="","",IF(AND(YEAR($B9)=$B$2,YEAR(INDEX($B$5:$B$344,$A9+L$3-1))=$B$2),INDEX($B$5:$B$344,$A9+L$3)-INDEX($B$5:$B$344,$A9-1)-1,"")))</f>
        <v/>
      </c>
      <c r="M9" s="11">
        <f>IF(OR($A9=1,$B9="",$A9+M$3&gt;340),"",IF(INDEX($B$5:$B$344,$A9+M$3)="","",IF(AND(YEAR($B9)=$B$2,YEAR(INDEX($B$5:$B$344,$A9+M$3-1))=$B$2),INDEX($B$5:$B$344,$A9+M$3)-INDEX($B$5:$B$344,$A9-1)-1,"")))</f>
        <v/>
      </c>
      <c r="P9" s="8" t="n">
        <v>4</v>
      </c>
      <c r="Q9" s="9">
        <f>MAX($G$5:$G$344)</f>
        <v/>
      </c>
      <c r="R9" s="15">
        <f>INDEX($B$5:$B$344,MATCH($Q9,$G$5:$G$344,0)-1)+1</f>
        <v/>
      </c>
      <c r="S9" s="15">
        <f>INDEX($B$5:$B$344,MATCH($Q9,$G$5:$G$344,0)+4)-1</f>
        <v/>
      </c>
      <c r="T9" s="15">
        <f>INDEX($B$5:$B$344,MATCH($Q9,$G$5:$G$344,0))</f>
        <v/>
      </c>
      <c r="U9" s="15">
        <f>INDEX($B$5:$B$344,MATCH($Q9,$G$5:$G$344,0)+3)</f>
        <v/>
      </c>
      <c r="V9" s="8">
        <f>Q9-Q8</f>
        <v/>
      </c>
      <c r="W9" s="8">
        <f>COUNTIF($G$5:$G$344,$Q9)</f>
        <v/>
      </c>
    </row>
    <row r="10">
      <c r="A10" s="11" t="n">
        <v>6</v>
      </c>
      <c r="B10" s="10">
        <f>IFERROR(INDEX('2_暦'!$A$7:$A$433,MATCH(A10,'2_暦'!$K$7:$K$433,0)),"")</f>
        <v/>
      </c>
      <c r="C10" s="11">
        <f>IF(OR($A10=1,$B10=""),"",IF(OR(YEAR($B10-1)=$B$2,YEAR(INDEX($B$5:$B$344,$A10-1)+1)=$B$2),$B10-INDEX($B$5:$B$344,$A10-1)-1,""))</f>
        <v/>
      </c>
      <c r="D10" s="11">
        <f>IF(OR($A10=1,$B10="",$A10+D$3&gt;340),"",IF(INDEX($B$5:$B$344,$A10+D$3)="","",IF(AND(YEAR($B10)=$B$2,YEAR(INDEX($B$5:$B$344,$A10+D$3-1))=$B$2),INDEX($B$5:$B$344,$A10+D$3)-INDEX($B$5:$B$344,$A10-1)-1,"")))</f>
        <v/>
      </c>
      <c r="E10" s="11">
        <f>IF(OR($A10=1,$B10="",$A10+E$3&gt;340),"",IF(INDEX($B$5:$B$344,$A10+E$3)="","",IF(AND(YEAR($B10)=$B$2,YEAR(INDEX($B$5:$B$344,$A10+E$3-1))=$B$2),INDEX($B$5:$B$344,$A10+E$3)-INDEX($B$5:$B$344,$A10-1)-1,"")))</f>
        <v/>
      </c>
      <c r="F10" s="11">
        <f>IF(OR($A10=1,$B10="",$A10+F$3&gt;340),"",IF(INDEX($B$5:$B$344,$A10+F$3)="","",IF(AND(YEAR($B10)=$B$2,YEAR(INDEX($B$5:$B$344,$A10+F$3-1))=$B$2),INDEX($B$5:$B$344,$A10+F$3)-INDEX($B$5:$B$344,$A10-1)-1,"")))</f>
        <v/>
      </c>
      <c r="G10" s="11">
        <f>IF(OR($A10=1,$B10="",$A10+G$3&gt;340),"",IF(INDEX($B$5:$B$344,$A10+G$3)="","",IF(AND(YEAR($B10)=$B$2,YEAR(INDEX($B$5:$B$344,$A10+G$3-1))=$B$2),INDEX($B$5:$B$344,$A10+G$3)-INDEX($B$5:$B$344,$A10-1)-1,"")))</f>
        <v/>
      </c>
      <c r="H10" s="11">
        <f>IF(OR($A10=1,$B10="",$A10+H$3&gt;340),"",IF(INDEX($B$5:$B$344,$A10+H$3)="","",IF(AND(YEAR($B10)=$B$2,YEAR(INDEX($B$5:$B$344,$A10+H$3-1))=$B$2),INDEX($B$5:$B$344,$A10+H$3)-INDEX($B$5:$B$344,$A10-1)-1,"")))</f>
        <v/>
      </c>
      <c r="I10" s="11">
        <f>IF(OR($A10=1,$B10="",$A10+I$3&gt;340),"",IF(INDEX($B$5:$B$344,$A10+I$3)="","",IF(AND(YEAR($B10)=$B$2,YEAR(INDEX($B$5:$B$344,$A10+I$3-1))=$B$2),INDEX($B$5:$B$344,$A10+I$3)-INDEX($B$5:$B$344,$A10-1)-1,"")))</f>
        <v/>
      </c>
      <c r="J10" s="11">
        <f>IF(OR($A10=1,$B10="",$A10+J$3&gt;340),"",IF(INDEX($B$5:$B$344,$A10+J$3)="","",IF(AND(YEAR($B10)=$B$2,YEAR(INDEX($B$5:$B$344,$A10+J$3-1))=$B$2),INDEX($B$5:$B$344,$A10+J$3)-INDEX($B$5:$B$344,$A10-1)-1,"")))</f>
        <v/>
      </c>
      <c r="K10" s="11">
        <f>IF(OR($A10=1,$B10="",$A10+K$3&gt;340),"",IF(INDEX($B$5:$B$344,$A10+K$3)="","",IF(AND(YEAR($B10)=$B$2,YEAR(INDEX($B$5:$B$344,$A10+K$3-1))=$B$2),INDEX($B$5:$B$344,$A10+K$3)-INDEX($B$5:$B$344,$A10-1)-1,"")))</f>
        <v/>
      </c>
      <c r="L10" s="11">
        <f>IF(OR($A10=1,$B10="",$A10+L$3&gt;340),"",IF(INDEX($B$5:$B$344,$A10+L$3)="","",IF(AND(YEAR($B10)=$B$2,YEAR(INDEX($B$5:$B$344,$A10+L$3-1))=$B$2),INDEX($B$5:$B$344,$A10+L$3)-INDEX($B$5:$B$344,$A10-1)-1,"")))</f>
        <v/>
      </c>
      <c r="M10" s="11">
        <f>IF(OR($A10=1,$B10="",$A10+M$3&gt;340),"",IF(INDEX($B$5:$B$344,$A10+M$3)="","",IF(AND(YEAR($B10)=$B$2,YEAR(INDEX($B$5:$B$344,$A10+M$3-1))=$B$2),INDEX($B$5:$B$344,$A10+M$3)-INDEX($B$5:$B$344,$A10-1)-1,"")))</f>
        <v/>
      </c>
      <c r="P10" s="8" t="n">
        <v>5</v>
      </c>
      <c r="Q10" s="9">
        <f>MAX($H$5:$H$344)</f>
        <v/>
      </c>
      <c r="R10" s="15">
        <f>INDEX($B$5:$B$344,MATCH($Q10,$H$5:$H$344,0)-1)+1</f>
        <v/>
      </c>
      <c r="S10" s="15">
        <f>INDEX($B$5:$B$344,MATCH($Q10,$H$5:$H$344,0)+5)-1</f>
        <v/>
      </c>
      <c r="T10" s="15">
        <f>INDEX($B$5:$B$344,MATCH($Q10,$H$5:$H$344,0))</f>
        <v/>
      </c>
      <c r="U10" s="15">
        <f>INDEX($B$5:$B$344,MATCH($Q10,$H$5:$H$344,0)+4)</f>
        <v/>
      </c>
      <c r="V10" s="8">
        <f>Q10-Q9</f>
        <v/>
      </c>
      <c r="W10" s="8">
        <f>COUNTIF($H$5:$H$344,$Q10)</f>
        <v/>
      </c>
    </row>
    <row r="11">
      <c r="A11" s="11" t="n">
        <v>7</v>
      </c>
      <c r="B11" s="10">
        <f>IFERROR(INDEX('2_暦'!$A$7:$A$433,MATCH(A11,'2_暦'!$K$7:$K$433,0)),"")</f>
        <v/>
      </c>
      <c r="C11" s="11">
        <f>IF(OR($A11=1,$B11=""),"",IF(OR(YEAR($B11-1)=$B$2,YEAR(INDEX($B$5:$B$344,$A11-1)+1)=$B$2),$B11-INDEX($B$5:$B$344,$A11-1)-1,""))</f>
        <v/>
      </c>
      <c r="D11" s="11">
        <f>IF(OR($A11=1,$B11="",$A11+D$3&gt;340),"",IF(INDEX($B$5:$B$344,$A11+D$3)="","",IF(AND(YEAR($B11)=$B$2,YEAR(INDEX($B$5:$B$344,$A11+D$3-1))=$B$2),INDEX($B$5:$B$344,$A11+D$3)-INDEX($B$5:$B$344,$A11-1)-1,"")))</f>
        <v/>
      </c>
      <c r="E11" s="11">
        <f>IF(OR($A11=1,$B11="",$A11+E$3&gt;340),"",IF(INDEX($B$5:$B$344,$A11+E$3)="","",IF(AND(YEAR($B11)=$B$2,YEAR(INDEX($B$5:$B$344,$A11+E$3-1))=$B$2),INDEX($B$5:$B$344,$A11+E$3)-INDEX($B$5:$B$344,$A11-1)-1,"")))</f>
        <v/>
      </c>
      <c r="F11" s="11">
        <f>IF(OR($A11=1,$B11="",$A11+F$3&gt;340),"",IF(INDEX($B$5:$B$344,$A11+F$3)="","",IF(AND(YEAR($B11)=$B$2,YEAR(INDEX($B$5:$B$344,$A11+F$3-1))=$B$2),INDEX($B$5:$B$344,$A11+F$3)-INDEX($B$5:$B$344,$A11-1)-1,"")))</f>
        <v/>
      </c>
      <c r="G11" s="11">
        <f>IF(OR($A11=1,$B11="",$A11+G$3&gt;340),"",IF(INDEX($B$5:$B$344,$A11+G$3)="","",IF(AND(YEAR($B11)=$B$2,YEAR(INDEX($B$5:$B$344,$A11+G$3-1))=$B$2),INDEX($B$5:$B$344,$A11+G$3)-INDEX($B$5:$B$344,$A11-1)-1,"")))</f>
        <v/>
      </c>
      <c r="H11" s="11">
        <f>IF(OR($A11=1,$B11="",$A11+H$3&gt;340),"",IF(INDEX($B$5:$B$344,$A11+H$3)="","",IF(AND(YEAR($B11)=$B$2,YEAR(INDEX($B$5:$B$344,$A11+H$3-1))=$B$2),INDEX($B$5:$B$344,$A11+H$3)-INDEX($B$5:$B$344,$A11-1)-1,"")))</f>
        <v/>
      </c>
      <c r="I11" s="11">
        <f>IF(OR($A11=1,$B11="",$A11+I$3&gt;340),"",IF(INDEX($B$5:$B$344,$A11+I$3)="","",IF(AND(YEAR($B11)=$B$2,YEAR(INDEX($B$5:$B$344,$A11+I$3-1))=$B$2),INDEX($B$5:$B$344,$A11+I$3)-INDEX($B$5:$B$344,$A11-1)-1,"")))</f>
        <v/>
      </c>
      <c r="J11" s="11">
        <f>IF(OR($A11=1,$B11="",$A11+J$3&gt;340),"",IF(INDEX($B$5:$B$344,$A11+J$3)="","",IF(AND(YEAR($B11)=$B$2,YEAR(INDEX($B$5:$B$344,$A11+J$3-1))=$B$2),INDEX($B$5:$B$344,$A11+J$3)-INDEX($B$5:$B$344,$A11-1)-1,"")))</f>
        <v/>
      </c>
      <c r="K11" s="11">
        <f>IF(OR($A11=1,$B11="",$A11+K$3&gt;340),"",IF(INDEX($B$5:$B$344,$A11+K$3)="","",IF(AND(YEAR($B11)=$B$2,YEAR(INDEX($B$5:$B$344,$A11+K$3-1))=$B$2),INDEX($B$5:$B$344,$A11+K$3)-INDEX($B$5:$B$344,$A11-1)-1,"")))</f>
        <v/>
      </c>
      <c r="L11" s="11">
        <f>IF(OR($A11=1,$B11="",$A11+L$3&gt;340),"",IF(INDEX($B$5:$B$344,$A11+L$3)="","",IF(AND(YEAR($B11)=$B$2,YEAR(INDEX($B$5:$B$344,$A11+L$3-1))=$B$2),INDEX($B$5:$B$344,$A11+L$3)-INDEX($B$5:$B$344,$A11-1)-1,"")))</f>
        <v/>
      </c>
      <c r="M11" s="11">
        <f>IF(OR($A11=1,$B11="",$A11+M$3&gt;340),"",IF(INDEX($B$5:$B$344,$A11+M$3)="","",IF(AND(YEAR($B11)=$B$2,YEAR(INDEX($B$5:$B$344,$A11+M$3-1))=$B$2),INDEX($B$5:$B$344,$A11+M$3)-INDEX($B$5:$B$344,$A11-1)-1,"")))</f>
        <v/>
      </c>
      <c r="P11" s="8" t="n">
        <v>6</v>
      </c>
      <c r="Q11" s="9">
        <f>MAX($I$5:$I$344)</f>
        <v/>
      </c>
      <c r="R11" s="15">
        <f>INDEX($B$5:$B$344,MATCH($Q11,$I$5:$I$344,0)-1)+1</f>
        <v/>
      </c>
      <c r="S11" s="15">
        <f>INDEX($B$5:$B$344,MATCH($Q11,$I$5:$I$344,0)+6)-1</f>
        <v/>
      </c>
      <c r="T11" s="15">
        <f>INDEX($B$5:$B$344,MATCH($Q11,$I$5:$I$344,0))</f>
        <v/>
      </c>
      <c r="U11" s="15">
        <f>INDEX($B$5:$B$344,MATCH($Q11,$I$5:$I$344,0)+5)</f>
        <v/>
      </c>
      <c r="V11" s="8">
        <f>Q11-Q10</f>
        <v/>
      </c>
      <c r="W11" s="8">
        <f>COUNTIF($I$5:$I$344,$Q11)</f>
        <v/>
      </c>
    </row>
    <row r="12">
      <c r="A12" s="11" t="n">
        <v>8</v>
      </c>
      <c r="B12" s="10">
        <f>IFERROR(INDEX('2_暦'!$A$7:$A$433,MATCH(A12,'2_暦'!$K$7:$K$433,0)),"")</f>
        <v/>
      </c>
      <c r="C12" s="11">
        <f>IF(OR($A12=1,$B12=""),"",IF(OR(YEAR($B12-1)=$B$2,YEAR(INDEX($B$5:$B$344,$A12-1)+1)=$B$2),$B12-INDEX($B$5:$B$344,$A12-1)-1,""))</f>
        <v/>
      </c>
      <c r="D12" s="11">
        <f>IF(OR($A12=1,$B12="",$A12+D$3&gt;340),"",IF(INDEX($B$5:$B$344,$A12+D$3)="","",IF(AND(YEAR($B12)=$B$2,YEAR(INDEX($B$5:$B$344,$A12+D$3-1))=$B$2),INDEX($B$5:$B$344,$A12+D$3)-INDEX($B$5:$B$344,$A12-1)-1,"")))</f>
        <v/>
      </c>
      <c r="E12" s="11">
        <f>IF(OR($A12=1,$B12="",$A12+E$3&gt;340),"",IF(INDEX($B$5:$B$344,$A12+E$3)="","",IF(AND(YEAR($B12)=$B$2,YEAR(INDEX($B$5:$B$344,$A12+E$3-1))=$B$2),INDEX($B$5:$B$344,$A12+E$3)-INDEX($B$5:$B$344,$A12-1)-1,"")))</f>
        <v/>
      </c>
      <c r="F12" s="11">
        <f>IF(OR($A12=1,$B12="",$A12+F$3&gt;340),"",IF(INDEX($B$5:$B$344,$A12+F$3)="","",IF(AND(YEAR($B12)=$B$2,YEAR(INDEX($B$5:$B$344,$A12+F$3-1))=$B$2),INDEX($B$5:$B$344,$A12+F$3)-INDEX($B$5:$B$344,$A12-1)-1,"")))</f>
        <v/>
      </c>
      <c r="G12" s="11">
        <f>IF(OR($A12=1,$B12="",$A12+G$3&gt;340),"",IF(INDEX($B$5:$B$344,$A12+G$3)="","",IF(AND(YEAR($B12)=$B$2,YEAR(INDEX($B$5:$B$344,$A12+G$3-1))=$B$2),INDEX($B$5:$B$344,$A12+G$3)-INDEX($B$5:$B$344,$A12-1)-1,"")))</f>
        <v/>
      </c>
      <c r="H12" s="11">
        <f>IF(OR($A12=1,$B12="",$A12+H$3&gt;340),"",IF(INDEX($B$5:$B$344,$A12+H$3)="","",IF(AND(YEAR($B12)=$B$2,YEAR(INDEX($B$5:$B$344,$A12+H$3-1))=$B$2),INDEX($B$5:$B$344,$A12+H$3)-INDEX($B$5:$B$344,$A12-1)-1,"")))</f>
        <v/>
      </c>
      <c r="I12" s="11">
        <f>IF(OR($A12=1,$B12="",$A12+I$3&gt;340),"",IF(INDEX($B$5:$B$344,$A12+I$3)="","",IF(AND(YEAR($B12)=$B$2,YEAR(INDEX($B$5:$B$344,$A12+I$3-1))=$B$2),INDEX($B$5:$B$344,$A12+I$3)-INDEX($B$5:$B$344,$A12-1)-1,"")))</f>
        <v/>
      </c>
      <c r="J12" s="11">
        <f>IF(OR($A12=1,$B12="",$A12+J$3&gt;340),"",IF(INDEX($B$5:$B$344,$A12+J$3)="","",IF(AND(YEAR($B12)=$B$2,YEAR(INDEX($B$5:$B$344,$A12+J$3-1))=$B$2),INDEX($B$5:$B$344,$A12+J$3)-INDEX($B$5:$B$344,$A12-1)-1,"")))</f>
        <v/>
      </c>
      <c r="K12" s="11">
        <f>IF(OR($A12=1,$B12="",$A12+K$3&gt;340),"",IF(INDEX($B$5:$B$344,$A12+K$3)="","",IF(AND(YEAR($B12)=$B$2,YEAR(INDEX($B$5:$B$344,$A12+K$3-1))=$B$2),INDEX($B$5:$B$344,$A12+K$3)-INDEX($B$5:$B$344,$A12-1)-1,"")))</f>
        <v/>
      </c>
      <c r="L12" s="11">
        <f>IF(OR($A12=1,$B12="",$A12+L$3&gt;340),"",IF(INDEX($B$5:$B$344,$A12+L$3)="","",IF(AND(YEAR($B12)=$B$2,YEAR(INDEX($B$5:$B$344,$A12+L$3-1))=$B$2),INDEX($B$5:$B$344,$A12+L$3)-INDEX($B$5:$B$344,$A12-1)-1,"")))</f>
        <v/>
      </c>
      <c r="M12" s="11">
        <f>IF(OR($A12=1,$B12="",$A12+M$3&gt;340),"",IF(INDEX($B$5:$B$344,$A12+M$3)="","",IF(AND(YEAR($B12)=$B$2,YEAR(INDEX($B$5:$B$344,$A12+M$3-1))=$B$2),INDEX($B$5:$B$344,$A12+M$3)-INDEX($B$5:$B$344,$A12-1)-1,"")))</f>
        <v/>
      </c>
      <c r="P12" s="8" t="n">
        <v>7</v>
      </c>
      <c r="Q12" s="9">
        <f>MAX($J$5:$J$344)</f>
        <v/>
      </c>
      <c r="R12" s="15">
        <f>INDEX($B$5:$B$344,MATCH($Q12,$J$5:$J$344,0)-1)+1</f>
        <v/>
      </c>
      <c r="S12" s="15">
        <f>INDEX($B$5:$B$344,MATCH($Q12,$J$5:$J$344,0)+7)-1</f>
        <v/>
      </c>
      <c r="T12" s="15">
        <f>INDEX($B$5:$B$344,MATCH($Q12,$J$5:$J$344,0))</f>
        <v/>
      </c>
      <c r="U12" s="15">
        <f>INDEX($B$5:$B$344,MATCH($Q12,$J$5:$J$344,0)+6)</f>
        <v/>
      </c>
      <c r="V12" s="8">
        <f>Q12-Q11</f>
        <v/>
      </c>
      <c r="W12" s="8">
        <f>COUNTIF($J$5:$J$344,$Q12)</f>
        <v/>
      </c>
    </row>
    <row r="13">
      <c r="A13" s="11" t="n">
        <v>9</v>
      </c>
      <c r="B13" s="10">
        <f>IFERROR(INDEX('2_暦'!$A$7:$A$433,MATCH(A13,'2_暦'!$K$7:$K$433,0)),"")</f>
        <v/>
      </c>
      <c r="C13" s="11">
        <f>IF(OR($A13=1,$B13=""),"",IF(OR(YEAR($B13-1)=$B$2,YEAR(INDEX($B$5:$B$344,$A13-1)+1)=$B$2),$B13-INDEX($B$5:$B$344,$A13-1)-1,""))</f>
        <v/>
      </c>
      <c r="D13" s="11">
        <f>IF(OR($A13=1,$B13="",$A13+D$3&gt;340),"",IF(INDEX($B$5:$B$344,$A13+D$3)="","",IF(AND(YEAR($B13)=$B$2,YEAR(INDEX($B$5:$B$344,$A13+D$3-1))=$B$2),INDEX($B$5:$B$344,$A13+D$3)-INDEX($B$5:$B$344,$A13-1)-1,"")))</f>
        <v/>
      </c>
      <c r="E13" s="11">
        <f>IF(OR($A13=1,$B13="",$A13+E$3&gt;340),"",IF(INDEX($B$5:$B$344,$A13+E$3)="","",IF(AND(YEAR($B13)=$B$2,YEAR(INDEX($B$5:$B$344,$A13+E$3-1))=$B$2),INDEX($B$5:$B$344,$A13+E$3)-INDEX($B$5:$B$344,$A13-1)-1,"")))</f>
        <v/>
      </c>
      <c r="F13" s="11">
        <f>IF(OR($A13=1,$B13="",$A13+F$3&gt;340),"",IF(INDEX($B$5:$B$344,$A13+F$3)="","",IF(AND(YEAR($B13)=$B$2,YEAR(INDEX($B$5:$B$344,$A13+F$3-1))=$B$2),INDEX($B$5:$B$344,$A13+F$3)-INDEX($B$5:$B$344,$A13-1)-1,"")))</f>
        <v/>
      </c>
      <c r="G13" s="11">
        <f>IF(OR($A13=1,$B13="",$A13+G$3&gt;340),"",IF(INDEX($B$5:$B$344,$A13+G$3)="","",IF(AND(YEAR($B13)=$B$2,YEAR(INDEX($B$5:$B$344,$A13+G$3-1))=$B$2),INDEX($B$5:$B$344,$A13+G$3)-INDEX($B$5:$B$344,$A13-1)-1,"")))</f>
        <v/>
      </c>
      <c r="H13" s="11">
        <f>IF(OR($A13=1,$B13="",$A13+H$3&gt;340),"",IF(INDEX($B$5:$B$344,$A13+H$3)="","",IF(AND(YEAR($B13)=$B$2,YEAR(INDEX($B$5:$B$344,$A13+H$3-1))=$B$2),INDEX($B$5:$B$344,$A13+H$3)-INDEX($B$5:$B$344,$A13-1)-1,"")))</f>
        <v/>
      </c>
      <c r="I13" s="11">
        <f>IF(OR($A13=1,$B13="",$A13+I$3&gt;340),"",IF(INDEX($B$5:$B$344,$A13+I$3)="","",IF(AND(YEAR($B13)=$B$2,YEAR(INDEX($B$5:$B$344,$A13+I$3-1))=$B$2),INDEX($B$5:$B$344,$A13+I$3)-INDEX($B$5:$B$344,$A13-1)-1,"")))</f>
        <v/>
      </c>
      <c r="J13" s="11">
        <f>IF(OR($A13=1,$B13="",$A13+J$3&gt;340),"",IF(INDEX($B$5:$B$344,$A13+J$3)="","",IF(AND(YEAR($B13)=$B$2,YEAR(INDEX($B$5:$B$344,$A13+J$3-1))=$B$2),INDEX($B$5:$B$344,$A13+J$3)-INDEX($B$5:$B$344,$A13-1)-1,"")))</f>
        <v/>
      </c>
      <c r="K13" s="11">
        <f>IF(OR($A13=1,$B13="",$A13+K$3&gt;340),"",IF(INDEX($B$5:$B$344,$A13+K$3)="","",IF(AND(YEAR($B13)=$B$2,YEAR(INDEX($B$5:$B$344,$A13+K$3-1))=$B$2),INDEX($B$5:$B$344,$A13+K$3)-INDEX($B$5:$B$344,$A13-1)-1,"")))</f>
        <v/>
      </c>
      <c r="L13" s="11">
        <f>IF(OR($A13=1,$B13="",$A13+L$3&gt;340),"",IF(INDEX($B$5:$B$344,$A13+L$3)="","",IF(AND(YEAR($B13)=$B$2,YEAR(INDEX($B$5:$B$344,$A13+L$3-1))=$B$2),INDEX($B$5:$B$344,$A13+L$3)-INDEX($B$5:$B$344,$A13-1)-1,"")))</f>
        <v/>
      </c>
      <c r="M13" s="11">
        <f>IF(OR($A13=1,$B13="",$A13+M$3&gt;340),"",IF(INDEX($B$5:$B$344,$A13+M$3)="","",IF(AND(YEAR($B13)=$B$2,YEAR(INDEX($B$5:$B$344,$A13+M$3-1))=$B$2),INDEX($B$5:$B$344,$A13+M$3)-INDEX($B$5:$B$344,$A13-1)-1,"")))</f>
        <v/>
      </c>
      <c r="P13" s="8" t="n">
        <v>8</v>
      </c>
      <c r="Q13" s="9">
        <f>MAX($K$5:$K$344)</f>
        <v/>
      </c>
      <c r="R13" s="15">
        <f>INDEX($B$5:$B$344,MATCH($Q13,$K$5:$K$344,0)-1)+1</f>
        <v/>
      </c>
      <c r="S13" s="15">
        <f>INDEX($B$5:$B$344,MATCH($Q13,$K$5:$K$344,0)+8)-1</f>
        <v/>
      </c>
      <c r="T13" s="15">
        <f>INDEX($B$5:$B$344,MATCH($Q13,$K$5:$K$344,0))</f>
        <v/>
      </c>
      <c r="U13" s="15">
        <f>INDEX($B$5:$B$344,MATCH($Q13,$K$5:$K$344,0)+7)</f>
        <v/>
      </c>
      <c r="V13" s="8">
        <f>Q13-Q12</f>
        <v/>
      </c>
      <c r="W13" s="8">
        <f>COUNTIF($K$5:$K$344,$Q13)</f>
        <v/>
      </c>
    </row>
    <row r="14">
      <c r="A14" s="11" t="n">
        <v>10</v>
      </c>
      <c r="B14" s="10">
        <f>IFERROR(INDEX('2_暦'!$A$7:$A$433,MATCH(A14,'2_暦'!$K$7:$K$433,0)),"")</f>
        <v/>
      </c>
      <c r="C14" s="11">
        <f>IF(OR($A14=1,$B14=""),"",IF(OR(YEAR($B14-1)=$B$2,YEAR(INDEX($B$5:$B$344,$A14-1)+1)=$B$2),$B14-INDEX($B$5:$B$344,$A14-1)-1,""))</f>
        <v/>
      </c>
      <c r="D14" s="11">
        <f>IF(OR($A14=1,$B14="",$A14+D$3&gt;340),"",IF(INDEX($B$5:$B$344,$A14+D$3)="","",IF(AND(YEAR($B14)=$B$2,YEAR(INDEX($B$5:$B$344,$A14+D$3-1))=$B$2),INDEX($B$5:$B$344,$A14+D$3)-INDEX($B$5:$B$344,$A14-1)-1,"")))</f>
        <v/>
      </c>
      <c r="E14" s="11">
        <f>IF(OR($A14=1,$B14="",$A14+E$3&gt;340),"",IF(INDEX($B$5:$B$344,$A14+E$3)="","",IF(AND(YEAR($B14)=$B$2,YEAR(INDEX($B$5:$B$344,$A14+E$3-1))=$B$2),INDEX($B$5:$B$344,$A14+E$3)-INDEX($B$5:$B$344,$A14-1)-1,"")))</f>
        <v/>
      </c>
      <c r="F14" s="11">
        <f>IF(OR($A14=1,$B14="",$A14+F$3&gt;340),"",IF(INDEX($B$5:$B$344,$A14+F$3)="","",IF(AND(YEAR($B14)=$B$2,YEAR(INDEX($B$5:$B$344,$A14+F$3-1))=$B$2),INDEX($B$5:$B$344,$A14+F$3)-INDEX($B$5:$B$344,$A14-1)-1,"")))</f>
        <v/>
      </c>
      <c r="G14" s="11">
        <f>IF(OR($A14=1,$B14="",$A14+G$3&gt;340),"",IF(INDEX($B$5:$B$344,$A14+G$3)="","",IF(AND(YEAR($B14)=$B$2,YEAR(INDEX($B$5:$B$344,$A14+G$3-1))=$B$2),INDEX($B$5:$B$344,$A14+G$3)-INDEX($B$5:$B$344,$A14-1)-1,"")))</f>
        <v/>
      </c>
      <c r="H14" s="11">
        <f>IF(OR($A14=1,$B14="",$A14+H$3&gt;340),"",IF(INDEX($B$5:$B$344,$A14+H$3)="","",IF(AND(YEAR($B14)=$B$2,YEAR(INDEX($B$5:$B$344,$A14+H$3-1))=$B$2),INDEX($B$5:$B$344,$A14+H$3)-INDEX($B$5:$B$344,$A14-1)-1,"")))</f>
        <v/>
      </c>
      <c r="I14" s="11">
        <f>IF(OR($A14=1,$B14="",$A14+I$3&gt;340),"",IF(INDEX($B$5:$B$344,$A14+I$3)="","",IF(AND(YEAR($B14)=$B$2,YEAR(INDEX($B$5:$B$344,$A14+I$3-1))=$B$2),INDEX($B$5:$B$344,$A14+I$3)-INDEX($B$5:$B$344,$A14-1)-1,"")))</f>
        <v/>
      </c>
      <c r="J14" s="11">
        <f>IF(OR($A14=1,$B14="",$A14+J$3&gt;340),"",IF(INDEX($B$5:$B$344,$A14+J$3)="","",IF(AND(YEAR($B14)=$B$2,YEAR(INDEX($B$5:$B$344,$A14+J$3-1))=$B$2),INDEX($B$5:$B$344,$A14+J$3)-INDEX($B$5:$B$344,$A14-1)-1,"")))</f>
        <v/>
      </c>
      <c r="K14" s="11">
        <f>IF(OR($A14=1,$B14="",$A14+K$3&gt;340),"",IF(INDEX($B$5:$B$344,$A14+K$3)="","",IF(AND(YEAR($B14)=$B$2,YEAR(INDEX($B$5:$B$344,$A14+K$3-1))=$B$2),INDEX($B$5:$B$344,$A14+K$3)-INDEX($B$5:$B$344,$A14-1)-1,"")))</f>
        <v/>
      </c>
      <c r="L14" s="11">
        <f>IF(OR($A14=1,$B14="",$A14+L$3&gt;340),"",IF(INDEX($B$5:$B$344,$A14+L$3)="","",IF(AND(YEAR($B14)=$B$2,YEAR(INDEX($B$5:$B$344,$A14+L$3-1))=$B$2),INDEX($B$5:$B$344,$A14+L$3)-INDEX($B$5:$B$344,$A14-1)-1,"")))</f>
        <v/>
      </c>
      <c r="M14" s="11">
        <f>IF(OR($A14=1,$B14="",$A14+M$3&gt;340),"",IF(INDEX($B$5:$B$344,$A14+M$3)="","",IF(AND(YEAR($B14)=$B$2,YEAR(INDEX($B$5:$B$344,$A14+M$3-1))=$B$2),INDEX($B$5:$B$344,$A14+M$3)-INDEX($B$5:$B$344,$A14-1)-1,"")))</f>
        <v/>
      </c>
      <c r="P14" s="8" t="n">
        <v>9</v>
      </c>
      <c r="Q14" s="9">
        <f>MAX($L$5:$L$344)</f>
        <v/>
      </c>
      <c r="R14" s="15">
        <f>INDEX($B$5:$B$344,MATCH($Q14,$L$5:$L$344,0)-1)+1</f>
        <v/>
      </c>
      <c r="S14" s="15">
        <f>INDEX($B$5:$B$344,MATCH($Q14,$L$5:$L$344,0)+9)-1</f>
        <v/>
      </c>
      <c r="T14" s="15">
        <f>INDEX($B$5:$B$344,MATCH($Q14,$L$5:$L$344,0))</f>
        <v/>
      </c>
      <c r="U14" s="15">
        <f>INDEX($B$5:$B$344,MATCH($Q14,$L$5:$L$344,0)+8)</f>
        <v/>
      </c>
      <c r="V14" s="8">
        <f>Q14-Q13</f>
        <v/>
      </c>
      <c r="W14" s="8">
        <f>COUNTIF($L$5:$L$344,$Q14)</f>
        <v/>
      </c>
    </row>
    <row r="15">
      <c r="A15" s="11" t="n">
        <v>11</v>
      </c>
      <c r="B15" s="10">
        <f>IFERROR(INDEX('2_暦'!$A$7:$A$433,MATCH(A15,'2_暦'!$K$7:$K$433,0)),"")</f>
        <v/>
      </c>
      <c r="C15" s="11">
        <f>IF(OR($A15=1,$B15=""),"",IF(OR(YEAR($B15-1)=$B$2,YEAR(INDEX($B$5:$B$344,$A15-1)+1)=$B$2),$B15-INDEX($B$5:$B$344,$A15-1)-1,""))</f>
        <v/>
      </c>
      <c r="D15" s="11">
        <f>IF(OR($A15=1,$B15="",$A15+D$3&gt;340),"",IF(INDEX($B$5:$B$344,$A15+D$3)="","",IF(AND(YEAR($B15)=$B$2,YEAR(INDEX($B$5:$B$344,$A15+D$3-1))=$B$2),INDEX($B$5:$B$344,$A15+D$3)-INDEX($B$5:$B$344,$A15-1)-1,"")))</f>
        <v/>
      </c>
      <c r="E15" s="11">
        <f>IF(OR($A15=1,$B15="",$A15+E$3&gt;340),"",IF(INDEX($B$5:$B$344,$A15+E$3)="","",IF(AND(YEAR($B15)=$B$2,YEAR(INDEX($B$5:$B$344,$A15+E$3-1))=$B$2),INDEX($B$5:$B$344,$A15+E$3)-INDEX($B$5:$B$344,$A15-1)-1,"")))</f>
        <v/>
      </c>
      <c r="F15" s="11">
        <f>IF(OR($A15=1,$B15="",$A15+F$3&gt;340),"",IF(INDEX($B$5:$B$344,$A15+F$3)="","",IF(AND(YEAR($B15)=$B$2,YEAR(INDEX($B$5:$B$344,$A15+F$3-1))=$B$2),INDEX($B$5:$B$344,$A15+F$3)-INDEX($B$5:$B$344,$A15-1)-1,"")))</f>
        <v/>
      </c>
      <c r="G15" s="11">
        <f>IF(OR($A15=1,$B15="",$A15+G$3&gt;340),"",IF(INDEX($B$5:$B$344,$A15+G$3)="","",IF(AND(YEAR($B15)=$B$2,YEAR(INDEX($B$5:$B$344,$A15+G$3-1))=$B$2),INDEX($B$5:$B$344,$A15+G$3)-INDEX($B$5:$B$344,$A15-1)-1,"")))</f>
        <v/>
      </c>
      <c r="H15" s="11">
        <f>IF(OR($A15=1,$B15="",$A15+H$3&gt;340),"",IF(INDEX($B$5:$B$344,$A15+H$3)="","",IF(AND(YEAR($B15)=$B$2,YEAR(INDEX($B$5:$B$344,$A15+H$3-1))=$B$2),INDEX($B$5:$B$344,$A15+H$3)-INDEX($B$5:$B$344,$A15-1)-1,"")))</f>
        <v/>
      </c>
      <c r="I15" s="11">
        <f>IF(OR($A15=1,$B15="",$A15+I$3&gt;340),"",IF(INDEX($B$5:$B$344,$A15+I$3)="","",IF(AND(YEAR($B15)=$B$2,YEAR(INDEX($B$5:$B$344,$A15+I$3-1))=$B$2),INDEX($B$5:$B$344,$A15+I$3)-INDEX($B$5:$B$344,$A15-1)-1,"")))</f>
        <v/>
      </c>
      <c r="J15" s="11">
        <f>IF(OR($A15=1,$B15="",$A15+J$3&gt;340),"",IF(INDEX($B$5:$B$344,$A15+J$3)="","",IF(AND(YEAR($B15)=$B$2,YEAR(INDEX($B$5:$B$344,$A15+J$3-1))=$B$2),INDEX($B$5:$B$344,$A15+J$3)-INDEX($B$5:$B$344,$A15-1)-1,"")))</f>
        <v/>
      </c>
      <c r="K15" s="11">
        <f>IF(OR($A15=1,$B15="",$A15+K$3&gt;340),"",IF(INDEX($B$5:$B$344,$A15+K$3)="","",IF(AND(YEAR($B15)=$B$2,YEAR(INDEX($B$5:$B$344,$A15+K$3-1))=$B$2),INDEX($B$5:$B$344,$A15+K$3)-INDEX($B$5:$B$344,$A15-1)-1,"")))</f>
        <v/>
      </c>
      <c r="L15" s="11">
        <f>IF(OR($A15=1,$B15="",$A15+L$3&gt;340),"",IF(INDEX($B$5:$B$344,$A15+L$3)="","",IF(AND(YEAR($B15)=$B$2,YEAR(INDEX($B$5:$B$344,$A15+L$3-1))=$B$2),INDEX($B$5:$B$344,$A15+L$3)-INDEX($B$5:$B$344,$A15-1)-1,"")))</f>
        <v/>
      </c>
      <c r="M15" s="11">
        <f>IF(OR($A15=1,$B15="",$A15+M$3&gt;340),"",IF(INDEX($B$5:$B$344,$A15+M$3)="","",IF(AND(YEAR($B15)=$B$2,YEAR(INDEX($B$5:$B$344,$A15+M$3-1))=$B$2),INDEX($B$5:$B$344,$A15+M$3)-INDEX($B$5:$B$344,$A15-1)-1,"")))</f>
        <v/>
      </c>
      <c r="P15" s="8" t="n">
        <v>10</v>
      </c>
      <c r="Q15" s="9">
        <f>MAX($M$5:$M$344)</f>
        <v/>
      </c>
      <c r="R15" s="15">
        <f>INDEX($B$5:$B$344,MATCH($Q15,$M$5:$M$344,0)-1)+1</f>
        <v/>
      </c>
      <c r="S15" s="15">
        <f>INDEX($B$5:$B$344,MATCH($Q15,$M$5:$M$344,0)+10)-1</f>
        <v/>
      </c>
      <c r="T15" s="15">
        <f>INDEX($B$5:$B$344,MATCH($Q15,$M$5:$M$344,0))</f>
        <v/>
      </c>
      <c r="U15" s="15">
        <f>INDEX($B$5:$B$344,MATCH($Q15,$M$5:$M$344,0)+9)</f>
        <v/>
      </c>
      <c r="V15" s="8">
        <f>Q15-Q14</f>
        <v/>
      </c>
      <c r="W15" s="8">
        <f>COUNTIF($M$5:$M$344,$Q15)</f>
        <v/>
      </c>
    </row>
    <row r="16">
      <c r="A16" s="11" t="n">
        <v>12</v>
      </c>
      <c r="B16" s="10">
        <f>IFERROR(INDEX('2_暦'!$A$7:$A$433,MATCH(A16,'2_暦'!$K$7:$K$433,0)),"")</f>
        <v/>
      </c>
      <c r="C16" s="11">
        <f>IF(OR($A16=1,$B16=""),"",IF(OR(YEAR($B16-1)=$B$2,YEAR(INDEX($B$5:$B$344,$A16-1)+1)=$B$2),$B16-INDEX($B$5:$B$344,$A16-1)-1,""))</f>
        <v/>
      </c>
      <c r="D16" s="11">
        <f>IF(OR($A16=1,$B16="",$A16+D$3&gt;340),"",IF(INDEX($B$5:$B$344,$A16+D$3)="","",IF(AND(YEAR($B16)=$B$2,YEAR(INDEX($B$5:$B$344,$A16+D$3-1))=$B$2),INDEX($B$5:$B$344,$A16+D$3)-INDEX($B$5:$B$344,$A16-1)-1,"")))</f>
        <v/>
      </c>
      <c r="E16" s="11">
        <f>IF(OR($A16=1,$B16="",$A16+E$3&gt;340),"",IF(INDEX($B$5:$B$344,$A16+E$3)="","",IF(AND(YEAR($B16)=$B$2,YEAR(INDEX($B$5:$B$344,$A16+E$3-1))=$B$2),INDEX($B$5:$B$344,$A16+E$3)-INDEX($B$5:$B$344,$A16-1)-1,"")))</f>
        <v/>
      </c>
      <c r="F16" s="11">
        <f>IF(OR($A16=1,$B16="",$A16+F$3&gt;340),"",IF(INDEX($B$5:$B$344,$A16+F$3)="","",IF(AND(YEAR($B16)=$B$2,YEAR(INDEX($B$5:$B$344,$A16+F$3-1))=$B$2),INDEX($B$5:$B$344,$A16+F$3)-INDEX($B$5:$B$344,$A16-1)-1,"")))</f>
        <v/>
      </c>
      <c r="G16" s="11">
        <f>IF(OR($A16=1,$B16="",$A16+G$3&gt;340),"",IF(INDEX($B$5:$B$344,$A16+G$3)="","",IF(AND(YEAR($B16)=$B$2,YEAR(INDEX($B$5:$B$344,$A16+G$3-1))=$B$2),INDEX($B$5:$B$344,$A16+G$3)-INDEX($B$5:$B$344,$A16-1)-1,"")))</f>
        <v/>
      </c>
      <c r="H16" s="11">
        <f>IF(OR($A16=1,$B16="",$A16+H$3&gt;340),"",IF(INDEX($B$5:$B$344,$A16+H$3)="","",IF(AND(YEAR($B16)=$B$2,YEAR(INDEX($B$5:$B$344,$A16+H$3-1))=$B$2),INDEX($B$5:$B$344,$A16+H$3)-INDEX($B$5:$B$344,$A16-1)-1,"")))</f>
        <v/>
      </c>
      <c r="I16" s="11">
        <f>IF(OR($A16=1,$B16="",$A16+I$3&gt;340),"",IF(INDEX($B$5:$B$344,$A16+I$3)="","",IF(AND(YEAR($B16)=$B$2,YEAR(INDEX($B$5:$B$344,$A16+I$3-1))=$B$2),INDEX($B$5:$B$344,$A16+I$3)-INDEX($B$5:$B$344,$A16-1)-1,"")))</f>
        <v/>
      </c>
      <c r="J16" s="11">
        <f>IF(OR($A16=1,$B16="",$A16+J$3&gt;340),"",IF(INDEX($B$5:$B$344,$A16+J$3)="","",IF(AND(YEAR($B16)=$B$2,YEAR(INDEX($B$5:$B$344,$A16+J$3-1))=$B$2),INDEX($B$5:$B$344,$A16+J$3)-INDEX($B$5:$B$344,$A16-1)-1,"")))</f>
        <v/>
      </c>
      <c r="K16" s="11">
        <f>IF(OR($A16=1,$B16="",$A16+K$3&gt;340),"",IF(INDEX($B$5:$B$344,$A16+K$3)="","",IF(AND(YEAR($B16)=$B$2,YEAR(INDEX($B$5:$B$344,$A16+K$3-1))=$B$2),INDEX($B$5:$B$344,$A16+K$3)-INDEX($B$5:$B$344,$A16-1)-1,"")))</f>
        <v/>
      </c>
      <c r="L16" s="11">
        <f>IF(OR($A16=1,$B16="",$A16+L$3&gt;340),"",IF(INDEX($B$5:$B$344,$A16+L$3)="","",IF(AND(YEAR($B16)=$B$2,YEAR(INDEX($B$5:$B$344,$A16+L$3-1))=$B$2),INDEX($B$5:$B$344,$A16+L$3)-INDEX($B$5:$B$344,$A16-1)-1,"")))</f>
        <v/>
      </c>
      <c r="M16" s="11">
        <f>IF(OR($A16=1,$B16="",$A16+M$3&gt;340),"",IF(INDEX($B$5:$B$344,$A16+M$3)="","",IF(AND(YEAR($B16)=$B$2,YEAR(INDEX($B$5:$B$344,$A16+M$3-1))=$B$2),INDEX($B$5:$B$344,$A16+M$3)-INDEX($B$5:$B$344,$A16-1)-1,"")))</f>
        <v/>
      </c>
    </row>
    <row r="17">
      <c r="A17" s="11" t="n">
        <v>13</v>
      </c>
      <c r="B17" s="10">
        <f>IFERROR(INDEX('2_暦'!$A$7:$A$433,MATCH(A17,'2_暦'!$K$7:$K$433,0)),"")</f>
        <v/>
      </c>
      <c r="C17" s="11">
        <f>IF(OR($A17=1,$B17=""),"",IF(OR(YEAR($B17-1)=$B$2,YEAR(INDEX($B$5:$B$344,$A17-1)+1)=$B$2),$B17-INDEX($B$5:$B$344,$A17-1)-1,""))</f>
        <v/>
      </c>
      <c r="D17" s="11">
        <f>IF(OR($A17=1,$B17="",$A17+D$3&gt;340),"",IF(INDEX($B$5:$B$344,$A17+D$3)="","",IF(AND(YEAR($B17)=$B$2,YEAR(INDEX($B$5:$B$344,$A17+D$3-1))=$B$2),INDEX($B$5:$B$344,$A17+D$3)-INDEX($B$5:$B$344,$A17-1)-1,"")))</f>
        <v/>
      </c>
      <c r="E17" s="11">
        <f>IF(OR($A17=1,$B17="",$A17+E$3&gt;340),"",IF(INDEX($B$5:$B$344,$A17+E$3)="","",IF(AND(YEAR($B17)=$B$2,YEAR(INDEX($B$5:$B$344,$A17+E$3-1))=$B$2),INDEX($B$5:$B$344,$A17+E$3)-INDEX($B$5:$B$344,$A17-1)-1,"")))</f>
        <v/>
      </c>
      <c r="F17" s="11">
        <f>IF(OR($A17=1,$B17="",$A17+F$3&gt;340),"",IF(INDEX($B$5:$B$344,$A17+F$3)="","",IF(AND(YEAR($B17)=$B$2,YEAR(INDEX($B$5:$B$344,$A17+F$3-1))=$B$2),INDEX($B$5:$B$344,$A17+F$3)-INDEX($B$5:$B$344,$A17-1)-1,"")))</f>
        <v/>
      </c>
      <c r="G17" s="11">
        <f>IF(OR($A17=1,$B17="",$A17+G$3&gt;340),"",IF(INDEX($B$5:$B$344,$A17+G$3)="","",IF(AND(YEAR($B17)=$B$2,YEAR(INDEX($B$5:$B$344,$A17+G$3-1))=$B$2),INDEX($B$5:$B$344,$A17+G$3)-INDEX($B$5:$B$344,$A17-1)-1,"")))</f>
        <v/>
      </c>
      <c r="H17" s="11">
        <f>IF(OR($A17=1,$B17="",$A17+H$3&gt;340),"",IF(INDEX($B$5:$B$344,$A17+H$3)="","",IF(AND(YEAR($B17)=$B$2,YEAR(INDEX($B$5:$B$344,$A17+H$3-1))=$B$2),INDEX($B$5:$B$344,$A17+H$3)-INDEX($B$5:$B$344,$A17-1)-1,"")))</f>
        <v/>
      </c>
      <c r="I17" s="11">
        <f>IF(OR($A17=1,$B17="",$A17+I$3&gt;340),"",IF(INDEX($B$5:$B$344,$A17+I$3)="","",IF(AND(YEAR($B17)=$B$2,YEAR(INDEX($B$5:$B$344,$A17+I$3-1))=$B$2),INDEX($B$5:$B$344,$A17+I$3)-INDEX($B$5:$B$344,$A17-1)-1,"")))</f>
        <v/>
      </c>
      <c r="J17" s="11">
        <f>IF(OR($A17=1,$B17="",$A17+J$3&gt;340),"",IF(INDEX($B$5:$B$344,$A17+J$3)="","",IF(AND(YEAR($B17)=$B$2,YEAR(INDEX($B$5:$B$344,$A17+J$3-1))=$B$2),INDEX($B$5:$B$344,$A17+J$3)-INDEX($B$5:$B$344,$A17-1)-1,"")))</f>
        <v/>
      </c>
      <c r="K17" s="11">
        <f>IF(OR($A17=1,$B17="",$A17+K$3&gt;340),"",IF(INDEX($B$5:$B$344,$A17+K$3)="","",IF(AND(YEAR($B17)=$B$2,YEAR(INDEX($B$5:$B$344,$A17+K$3-1))=$B$2),INDEX($B$5:$B$344,$A17+K$3)-INDEX($B$5:$B$344,$A17-1)-1,"")))</f>
        <v/>
      </c>
      <c r="L17" s="11">
        <f>IF(OR($A17=1,$B17="",$A17+L$3&gt;340),"",IF(INDEX($B$5:$B$344,$A17+L$3)="","",IF(AND(YEAR($B17)=$B$2,YEAR(INDEX($B$5:$B$344,$A17+L$3-1))=$B$2),INDEX($B$5:$B$344,$A17+L$3)-INDEX($B$5:$B$344,$A17-1)-1,"")))</f>
        <v/>
      </c>
      <c r="M17" s="11">
        <f>IF(OR($A17=1,$B17="",$A17+M$3&gt;340),"",IF(INDEX($B$5:$B$344,$A17+M$3)="","",IF(AND(YEAR($B17)=$B$2,YEAR(INDEX($B$5:$B$344,$A17+M$3-1))=$B$2),INDEX($B$5:$B$344,$A17+M$3)-INDEX($B$5:$B$344,$A17-1)-1,"")))</f>
        <v/>
      </c>
      <c r="P17" t="inlineStr">
        <is>
          <t>有給1日で4連休以上になる日の数</t>
        </is>
      </c>
      <c r="T17" s="8">
        <f>COUNTIF($D$5:$D$344,"&gt;=4")</f>
        <v/>
      </c>
    </row>
    <row r="18">
      <c r="A18" s="11" t="n">
        <v>14</v>
      </c>
      <c r="B18" s="10">
        <f>IFERROR(INDEX('2_暦'!$A$7:$A$433,MATCH(A18,'2_暦'!$K$7:$K$433,0)),"")</f>
        <v/>
      </c>
      <c r="C18" s="11">
        <f>IF(OR($A18=1,$B18=""),"",IF(OR(YEAR($B18-1)=$B$2,YEAR(INDEX($B$5:$B$344,$A18-1)+1)=$B$2),$B18-INDEX($B$5:$B$344,$A18-1)-1,""))</f>
        <v/>
      </c>
      <c r="D18" s="11">
        <f>IF(OR($A18=1,$B18="",$A18+D$3&gt;340),"",IF(INDEX($B$5:$B$344,$A18+D$3)="","",IF(AND(YEAR($B18)=$B$2,YEAR(INDEX($B$5:$B$344,$A18+D$3-1))=$B$2),INDEX($B$5:$B$344,$A18+D$3)-INDEX($B$5:$B$344,$A18-1)-1,"")))</f>
        <v/>
      </c>
      <c r="E18" s="11">
        <f>IF(OR($A18=1,$B18="",$A18+E$3&gt;340),"",IF(INDEX($B$5:$B$344,$A18+E$3)="","",IF(AND(YEAR($B18)=$B$2,YEAR(INDEX($B$5:$B$344,$A18+E$3-1))=$B$2),INDEX($B$5:$B$344,$A18+E$3)-INDEX($B$5:$B$344,$A18-1)-1,"")))</f>
        <v/>
      </c>
      <c r="F18" s="11">
        <f>IF(OR($A18=1,$B18="",$A18+F$3&gt;340),"",IF(INDEX($B$5:$B$344,$A18+F$3)="","",IF(AND(YEAR($B18)=$B$2,YEAR(INDEX($B$5:$B$344,$A18+F$3-1))=$B$2),INDEX($B$5:$B$344,$A18+F$3)-INDEX($B$5:$B$344,$A18-1)-1,"")))</f>
        <v/>
      </c>
      <c r="G18" s="11">
        <f>IF(OR($A18=1,$B18="",$A18+G$3&gt;340),"",IF(INDEX($B$5:$B$344,$A18+G$3)="","",IF(AND(YEAR($B18)=$B$2,YEAR(INDEX($B$5:$B$344,$A18+G$3-1))=$B$2),INDEX($B$5:$B$344,$A18+G$3)-INDEX($B$5:$B$344,$A18-1)-1,"")))</f>
        <v/>
      </c>
      <c r="H18" s="11">
        <f>IF(OR($A18=1,$B18="",$A18+H$3&gt;340),"",IF(INDEX($B$5:$B$344,$A18+H$3)="","",IF(AND(YEAR($B18)=$B$2,YEAR(INDEX($B$5:$B$344,$A18+H$3-1))=$B$2),INDEX($B$5:$B$344,$A18+H$3)-INDEX($B$5:$B$344,$A18-1)-1,"")))</f>
        <v/>
      </c>
      <c r="I18" s="11">
        <f>IF(OR($A18=1,$B18="",$A18+I$3&gt;340),"",IF(INDEX($B$5:$B$344,$A18+I$3)="","",IF(AND(YEAR($B18)=$B$2,YEAR(INDEX($B$5:$B$344,$A18+I$3-1))=$B$2),INDEX($B$5:$B$344,$A18+I$3)-INDEX($B$5:$B$344,$A18-1)-1,"")))</f>
        <v/>
      </c>
      <c r="J18" s="11">
        <f>IF(OR($A18=1,$B18="",$A18+J$3&gt;340),"",IF(INDEX($B$5:$B$344,$A18+J$3)="","",IF(AND(YEAR($B18)=$B$2,YEAR(INDEX($B$5:$B$344,$A18+J$3-1))=$B$2),INDEX($B$5:$B$344,$A18+J$3)-INDEX($B$5:$B$344,$A18-1)-1,"")))</f>
        <v/>
      </c>
      <c r="K18" s="11">
        <f>IF(OR($A18=1,$B18="",$A18+K$3&gt;340),"",IF(INDEX($B$5:$B$344,$A18+K$3)="","",IF(AND(YEAR($B18)=$B$2,YEAR(INDEX($B$5:$B$344,$A18+K$3-1))=$B$2),INDEX($B$5:$B$344,$A18+K$3)-INDEX($B$5:$B$344,$A18-1)-1,"")))</f>
        <v/>
      </c>
      <c r="L18" s="11">
        <f>IF(OR($A18=1,$B18="",$A18+L$3&gt;340),"",IF(INDEX($B$5:$B$344,$A18+L$3)="","",IF(AND(YEAR($B18)=$B$2,YEAR(INDEX($B$5:$B$344,$A18+L$3-1))=$B$2),INDEX($B$5:$B$344,$A18+L$3)-INDEX($B$5:$B$344,$A18-1)-1,"")))</f>
        <v/>
      </c>
      <c r="M18" s="11">
        <f>IF(OR($A18=1,$B18="",$A18+M$3&gt;340),"",IF(INDEX($B$5:$B$344,$A18+M$3)="","",IF(AND(YEAR($B18)=$B$2,YEAR(INDEX($B$5:$B$344,$A18+M$3-1))=$B$2),INDEX($B$5:$B$344,$A18+M$3)-INDEX($B$5:$B$344,$A18-1)-1,"")))</f>
        <v/>
      </c>
      <c r="P18" t="inlineStr">
        <is>
          <t>有給2日で5連休以上になる取り方の数</t>
        </is>
      </c>
      <c r="T18" s="8">
        <f>COUNTIF($E$5:$E$344,"&gt;=5")</f>
        <v/>
      </c>
    </row>
    <row r="19">
      <c r="A19" s="11" t="n">
        <v>15</v>
      </c>
      <c r="B19" s="10">
        <f>IFERROR(INDEX('2_暦'!$A$7:$A$433,MATCH(A19,'2_暦'!$K$7:$K$433,0)),"")</f>
        <v/>
      </c>
      <c r="C19" s="11">
        <f>IF(OR($A19=1,$B19=""),"",IF(OR(YEAR($B19-1)=$B$2,YEAR(INDEX($B$5:$B$344,$A19-1)+1)=$B$2),$B19-INDEX($B$5:$B$344,$A19-1)-1,""))</f>
        <v/>
      </c>
      <c r="D19" s="11">
        <f>IF(OR($A19=1,$B19="",$A19+D$3&gt;340),"",IF(INDEX($B$5:$B$344,$A19+D$3)="","",IF(AND(YEAR($B19)=$B$2,YEAR(INDEX($B$5:$B$344,$A19+D$3-1))=$B$2),INDEX($B$5:$B$344,$A19+D$3)-INDEX($B$5:$B$344,$A19-1)-1,"")))</f>
        <v/>
      </c>
      <c r="E19" s="11">
        <f>IF(OR($A19=1,$B19="",$A19+E$3&gt;340),"",IF(INDEX($B$5:$B$344,$A19+E$3)="","",IF(AND(YEAR($B19)=$B$2,YEAR(INDEX($B$5:$B$344,$A19+E$3-1))=$B$2),INDEX($B$5:$B$344,$A19+E$3)-INDEX($B$5:$B$344,$A19-1)-1,"")))</f>
        <v/>
      </c>
      <c r="F19" s="11">
        <f>IF(OR($A19=1,$B19="",$A19+F$3&gt;340),"",IF(INDEX($B$5:$B$344,$A19+F$3)="","",IF(AND(YEAR($B19)=$B$2,YEAR(INDEX($B$5:$B$344,$A19+F$3-1))=$B$2),INDEX($B$5:$B$344,$A19+F$3)-INDEX($B$5:$B$344,$A19-1)-1,"")))</f>
        <v/>
      </c>
      <c r="G19" s="11">
        <f>IF(OR($A19=1,$B19="",$A19+G$3&gt;340),"",IF(INDEX($B$5:$B$344,$A19+G$3)="","",IF(AND(YEAR($B19)=$B$2,YEAR(INDEX($B$5:$B$344,$A19+G$3-1))=$B$2),INDEX($B$5:$B$344,$A19+G$3)-INDEX($B$5:$B$344,$A19-1)-1,"")))</f>
        <v/>
      </c>
      <c r="H19" s="11">
        <f>IF(OR($A19=1,$B19="",$A19+H$3&gt;340),"",IF(INDEX($B$5:$B$344,$A19+H$3)="","",IF(AND(YEAR($B19)=$B$2,YEAR(INDEX($B$5:$B$344,$A19+H$3-1))=$B$2),INDEX($B$5:$B$344,$A19+H$3)-INDEX($B$5:$B$344,$A19-1)-1,"")))</f>
        <v/>
      </c>
      <c r="I19" s="11">
        <f>IF(OR($A19=1,$B19="",$A19+I$3&gt;340),"",IF(INDEX($B$5:$B$344,$A19+I$3)="","",IF(AND(YEAR($B19)=$B$2,YEAR(INDEX($B$5:$B$344,$A19+I$3-1))=$B$2),INDEX($B$5:$B$344,$A19+I$3)-INDEX($B$5:$B$344,$A19-1)-1,"")))</f>
        <v/>
      </c>
      <c r="J19" s="11">
        <f>IF(OR($A19=1,$B19="",$A19+J$3&gt;340),"",IF(INDEX($B$5:$B$344,$A19+J$3)="","",IF(AND(YEAR($B19)=$B$2,YEAR(INDEX($B$5:$B$344,$A19+J$3-1))=$B$2),INDEX($B$5:$B$344,$A19+J$3)-INDEX($B$5:$B$344,$A19-1)-1,"")))</f>
        <v/>
      </c>
      <c r="K19" s="11">
        <f>IF(OR($A19=1,$B19="",$A19+K$3&gt;340),"",IF(INDEX($B$5:$B$344,$A19+K$3)="","",IF(AND(YEAR($B19)=$B$2,YEAR(INDEX($B$5:$B$344,$A19+K$3-1))=$B$2),INDEX($B$5:$B$344,$A19+K$3)-INDEX($B$5:$B$344,$A19-1)-1,"")))</f>
        <v/>
      </c>
      <c r="L19" s="11">
        <f>IF(OR($A19=1,$B19="",$A19+L$3&gt;340),"",IF(INDEX($B$5:$B$344,$A19+L$3)="","",IF(AND(YEAR($B19)=$B$2,YEAR(INDEX($B$5:$B$344,$A19+L$3-1))=$B$2),INDEX($B$5:$B$344,$A19+L$3)-INDEX($B$5:$B$344,$A19-1)-1,"")))</f>
        <v/>
      </c>
      <c r="M19" s="11">
        <f>IF(OR($A19=1,$B19="",$A19+M$3&gt;340),"",IF(INDEX($B$5:$B$344,$A19+M$3)="","",IF(AND(YEAR($B19)=$B$2,YEAR(INDEX($B$5:$B$344,$A19+M$3-1))=$B$2),INDEX($B$5:$B$344,$A19+M$3)-INDEX($B$5:$B$344,$A19-1)-1,"")))</f>
        <v/>
      </c>
      <c r="P19" t="inlineStr">
        <is>
          <t>有給なしの3連休以上の回数</t>
        </is>
      </c>
      <c r="T19" s="8">
        <f>COUNTIF($C$5:$C$344,"&gt;=3")</f>
        <v/>
      </c>
    </row>
    <row r="20">
      <c r="A20" s="11" t="n">
        <v>16</v>
      </c>
      <c r="B20" s="10">
        <f>IFERROR(INDEX('2_暦'!$A$7:$A$433,MATCH(A20,'2_暦'!$K$7:$K$433,0)),"")</f>
        <v/>
      </c>
      <c r="C20" s="11">
        <f>IF(OR($A20=1,$B20=""),"",IF(OR(YEAR($B20-1)=$B$2,YEAR(INDEX($B$5:$B$344,$A20-1)+1)=$B$2),$B20-INDEX($B$5:$B$344,$A20-1)-1,""))</f>
        <v/>
      </c>
      <c r="D20" s="11">
        <f>IF(OR($A20=1,$B20="",$A20+D$3&gt;340),"",IF(INDEX($B$5:$B$344,$A20+D$3)="","",IF(AND(YEAR($B20)=$B$2,YEAR(INDEX($B$5:$B$344,$A20+D$3-1))=$B$2),INDEX($B$5:$B$344,$A20+D$3)-INDEX($B$5:$B$344,$A20-1)-1,"")))</f>
        <v/>
      </c>
      <c r="E20" s="11">
        <f>IF(OR($A20=1,$B20="",$A20+E$3&gt;340),"",IF(INDEX($B$5:$B$344,$A20+E$3)="","",IF(AND(YEAR($B20)=$B$2,YEAR(INDEX($B$5:$B$344,$A20+E$3-1))=$B$2),INDEX($B$5:$B$344,$A20+E$3)-INDEX($B$5:$B$344,$A20-1)-1,"")))</f>
        <v/>
      </c>
      <c r="F20" s="11">
        <f>IF(OR($A20=1,$B20="",$A20+F$3&gt;340),"",IF(INDEX($B$5:$B$344,$A20+F$3)="","",IF(AND(YEAR($B20)=$B$2,YEAR(INDEX($B$5:$B$344,$A20+F$3-1))=$B$2),INDEX($B$5:$B$344,$A20+F$3)-INDEX($B$5:$B$344,$A20-1)-1,"")))</f>
        <v/>
      </c>
      <c r="G20" s="11">
        <f>IF(OR($A20=1,$B20="",$A20+G$3&gt;340),"",IF(INDEX($B$5:$B$344,$A20+G$3)="","",IF(AND(YEAR($B20)=$B$2,YEAR(INDEX($B$5:$B$344,$A20+G$3-1))=$B$2),INDEX($B$5:$B$344,$A20+G$3)-INDEX($B$5:$B$344,$A20-1)-1,"")))</f>
        <v/>
      </c>
      <c r="H20" s="11">
        <f>IF(OR($A20=1,$B20="",$A20+H$3&gt;340),"",IF(INDEX($B$5:$B$344,$A20+H$3)="","",IF(AND(YEAR($B20)=$B$2,YEAR(INDEX($B$5:$B$344,$A20+H$3-1))=$B$2),INDEX($B$5:$B$344,$A20+H$3)-INDEX($B$5:$B$344,$A20-1)-1,"")))</f>
        <v/>
      </c>
      <c r="I20" s="11">
        <f>IF(OR($A20=1,$B20="",$A20+I$3&gt;340),"",IF(INDEX($B$5:$B$344,$A20+I$3)="","",IF(AND(YEAR($B20)=$B$2,YEAR(INDEX($B$5:$B$344,$A20+I$3-1))=$B$2),INDEX($B$5:$B$344,$A20+I$3)-INDEX($B$5:$B$344,$A20-1)-1,"")))</f>
        <v/>
      </c>
      <c r="J20" s="11">
        <f>IF(OR($A20=1,$B20="",$A20+J$3&gt;340),"",IF(INDEX($B$5:$B$344,$A20+J$3)="","",IF(AND(YEAR($B20)=$B$2,YEAR(INDEX($B$5:$B$344,$A20+J$3-1))=$B$2),INDEX($B$5:$B$344,$A20+J$3)-INDEX($B$5:$B$344,$A20-1)-1,"")))</f>
        <v/>
      </c>
      <c r="K20" s="11">
        <f>IF(OR($A20=1,$B20="",$A20+K$3&gt;340),"",IF(INDEX($B$5:$B$344,$A20+K$3)="","",IF(AND(YEAR($B20)=$B$2,YEAR(INDEX($B$5:$B$344,$A20+K$3-1))=$B$2),INDEX($B$5:$B$344,$A20+K$3)-INDEX($B$5:$B$344,$A20-1)-1,"")))</f>
        <v/>
      </c>
      <c r="L20" s="11">
        <f>IF(OR($A20=1,$B20="",$A20+L$3&gt;340),"",IF(INDEX($B$5:$B$344,$A20+L$3)="","",IF(AND(YEAR($B20)=$B$2,YEAR(INDEX($B$5:$B$344,$A20+L$3-1))=$B$2),INDEX($B$5:$B$344,$A20+L$3)-INDEX($B$5:$B$344,$A20-1)-1,"")))</f>
        <v/>
      </c>
      <c r="M20" s="11">
        <f>IF(OR($A20=1,$B20="",$A20+M$3&gt;340),"",IF(INDEX($B$5:$B$344,$A20+M$3)="","",IF(AND(YEAR($B20)=$B$2,YEAR(INDEX($B$5:$B$344,$A20+M$3-1))=$B$2),INDEX($B$5:$B$344,$A20+M$3)-INDEX($B$5:$B$344,$A20-1)-1,"")))</f>
        <v/>
      </c>
    </row>
    <row r="21">
      <c r="A21" s="11" t="n">
        <v>17</v>
      </c>
      <c r="B21" s="10">
        <f>IFERROR(INDEX('2_暦'!$A$7:$A$433,MATCH(A21,'2_暦'!$K$7:$K$433,0)),"")</f>
        <v/>
      </c>
      <c r="C21" s="11">
        <f>IF(OR($A21=1,$B21=""),"",IF(OR(YEAR($B21-1)=$B$2,YEAR(INDEX($B$5:$B$344,$A21-1)+1)=$B$2),$B21-INDEX($B$5:$B$344,$A21-1)-1,""))</f>
        <v/>
      </c>
      <c r="D21" s="11">
        <f>IF(OR($A21=1,$B21="",$A21+D$3&gt;340),"",IF(INDEX($B$5:$B$344,$A21+D$3)="","",IF(AND(YEAR($B21)=$B$2,YEAR(INDEX($B$5:$B$344,$A21+D$3-1))=$B$2),INDEX($B$5:$B$344,$A21+D$3)-INDEX($B$5:$B$344,$A21-1)-1,"")))</f>
        <v/>
      </c>
      <c r="E21" s="11">
        <f>IF(OR($A21=1,$B21="",$A21+E$3&gt;340),"",IF(INDEX($B$5:$B$344,$A21+E$3)="","",IF(AND(YEAR($B21)=$B$2,YEAR(INDEX($B$5:$B$344,$A21+E$3-1))=$B$2),INDEX($B$5:$B$344,$A21+E$3)-INDEX($B$5:$B$344,$A21-1)-1,"")))</f>
        <v/>
      </c>
      <c r="F21" s="11">
        <f>IF(OR($A21=1,$B21="",$A21+F$3&gt;340),"",IF(INDEX($B$5:$B$344,$A21+F$3)="","",IF(AND(YEAR($B21)=$B$2,YEAR(INDEX($B$5:$B$344,$A21+F$3-1))=$B$2),INDEX($B$5:$B$344,$A21+F$3)-INDEX($B$5:$B$344,$A21-1)-1,"")))</f>
        <v/>
      </c>
      <c r="G21" s="11">
        <f>IF(OR($A21=1,$B21="",$A21+G$3&gt;340),"",IF(INDEX($B$5:$B$344,$A21+G$3)="","",IF(AND(YEAR($B21)=$B$2,YEAR(INDEX($B$5:$B$344,$A21+G$3-1))=$B$2),INDEX($B$5:$B$344,$A21+G$3)-INDEX($B$5:$B$344,$A21-1)-1,"")))</f>
        <v/>
      </c>
      <c r="H21" s="11">
        <f>IF(OR($A21=1,$B21="",$A21+H$3&gt;340),"",IF(INDEX($B$5:$B$344,$A21+H$3)="","",IF(AND(YEAR($B21)=$B$2,YEAR(INDEX($B$5:$B$344,$A21+H$3-1))=$B$2),INDEX($B$5:$B$344,$A21+H$3)-INDEX($B$5:$B$344,$A21-1)-1,"")))</f>
        <v/>
      </c>
      <c r="I21" s="11">
        <f>IF(OR($A21=1,$B21="",$A21+I$3&gt;340),"",IF(INDEX($B$5:$B$344,$A21+I$3)="","",IF(AND(YEAR($B21)=$B$2,YEAR(INDEX($B$5:$B$344,$A21+I$3-1))=$B$2),INDEX($B$5:$B$344,$A21+I$3)-INDEX($B$5:$B$344,$A21-1)-1,"")))</f>
        <v/>
      </c>
      <c r="J21" s="11">
        <f>IF(OR($A21=1,$B21="",$A21+J$3&gt;340),"",IF(INDEX($B$5:$B$344,$A21+J$3)="","",IF(AND(YEAR($B21)=$B$2,YEAR(INDEX($B$5:$B$344,$A21+J$3-1))=$B$2),INDEX($B$5:$B$344,$A21+J$3)-INDEX($B$5:$B$344,$A21-1)-1,"")))</f>
        <v/>
      </c>
      <c r="K21" s="11">
        <f>IF(OR($A21=1,$B21="",$A21+K$3&gt;340),"",IF(INDEX($B$5:$B$344,$A21+K$3)="","",IF(AND(YEAR($B21)=$B$2,YEAR(INDEX($B$5:$B$344,$A21+K$3-1))=$B$2),INDEX($B$5:$B$344,$A21+K$3)-INDEX($B$5:$B$344,$A21-1)-1,"")))</f>
        <v/>
      </c>
      <c r="L21" s="11">
        <f>IF(OR($A21=1,$B21="",$A21+L$3&gt;340),"",IF(INDEX($B$5:$B$344,$A21+L$3)="","",IF(AND(YEAR($B21)=$B$2,YEAR(INDEX($B$5:$B$344,$A21+L$3-1))=$B$2),INDEX($B$5:$B$344,$A21+L$3)-INDEX($B$5:$B$344,$A21-1)-1,"")))</f>
        <v/>
      </c>
      <c r="M21" s="11">
        <f>IF(OR($A21=1,$B21="",$A21+M$3&gt;340),"",IF(INDEX($B$5:$B$344,$A21+M$3)="","",IF(AND(YEAR($B21)=$B$2,YEAR(INDEX($B$5:$B$344,$A21+M$3-1))=$B$2),INDEX($B$5:$B$344,$A21+M$3)-INDEX($B$5:$B$344,$A21-1)-1,"")))</f>
        <v/>
      </c>
    </row>
    <row r="22">
      <c r="A22" s="11" t="n">
        <v>18</v>
      </c>
      <c r="B22" s="10">
        <f>IFERROR(INDEX('2_暦'!$A$7:$A$433,MATCH(A22,'2_暦'!$K$7:$K$433,0)),"")</f>
        <v/>
      </c>
      <c r="C22" s="11">
        <f>IF(OR($A22=1,$B22=""),"",IF(OR(YEAR($B22-1)=$B$2,YEAR(INDEX($B$5:$B$344,$A22-1)+1)=$B$2),$B22-INDEX($B$5:$B$344,$A22-1)-1,""))</f>
        <v/>
      </c>
      <c r="D22" s="11">
        <f>IF(OR($A22=1,$B22="",$A22+D$3&gt;340),"",IF(INDEX($B$5:$B$344,$A22+D$3)="","",IF(AND(YEAR($B22)=$B$2,YEAR(INDEX($B$5:$B$344,$A22+D$3-1))=$B$2),INDEX($B$5:$B$344,$A22+D$3)-INDEX($B$5:$B$344,$A22-1)-1,"")))</f>
        <v/>
      </c>
      <c r="E22" s="11">
        <f>IF(OR($A22=1,$B22="",$A22+E$3&gt;340),"",IF(INDEX($B$5:$B$344,$A22+E$3)="","",IF(AND(YEAR($B22)=$B$2,YEAR(INDEX($B$5:$B$344,$A22+E$3-1))=$B$2),INDEX($B$5:$B$344,$A22+E$3)-INDEX($B$5:$B$344,$A22-1)-1,"")))</f>
        <v/>
      </c>
      <c r="F22" s="11">
        <f>IF(OR($A22=1,$B22="",$A22+F$3&gt;340),"",IF(INDEX($B$5:$B$344,$A22+F$3)="","",IF(AND(YEAR($B22)=$B$2,YEAR(INDEX($B$5:$B$344,$A22+F$3-1))=$B$2),INDEX($B$5:$B$344,$A22+F$3)-INDEX($B$5:$B$344,$A22-1)-1,"")))</f>
        <v/>
      </c>
      <c r="G22" s="11">
        <f>IF(OR($A22=1,$B22="",$A22+G$3&gt;340),"",IF(INDEX($B$5:$B$344,$A22+G$3)="","",IF(AND(YEAR($B22)=$B$2,YEAR(INDEX($B$5:$B$344,$A22+G$3-1))=$B$2),INDEX($B$5:$B$344,$A22+G$3)-INDEX($B$5:$B$344,$A22-1)-1,"")))</f>
        <v/>
      </c>
      <c r="H22" s="11">
        <f>IF(OR($A22=1,$B22="",$A22+H$3&gt;340),"",IF(INDEX($B$5:$B$344,$A22+H$3)="","",IF(AND(YEAR($B22)=$B$2,YEAR(INDEX($B$5:$B$344,$A22+H$3-1))=$B$2),INDEX($B$5:$B$344,$A22+H$3)-INDEX($B$5:$B$344,$A22-1)-1,"")))</f>
        <v/>
      </c>
      <c r="I22" s="11">
        <f>IF(OR($A22=1,$B22="",$A22+I$3&gt;340),"",IF(INDEX($B$5:$B$344,$A22+I$3)="","",IF(AND(YEAR($B22)=$B$2,YEAR(INDEX($B$5:$B$344,$A22+I$3-1))=$B$2),INDEX($B$5:$B$344,$A22+I$3)-INDEX($B$5:$B$344,$A22-1)-1,"")))</f>
        <v/>
      </c>
      <c r="J22" s="11">
        <f>IF(OR($A22=1,$B22="",$A22+J$3&gt;340),"",IF(INDEX($B$5:$B$344,$A22+J$3)="","",IF(AND(YEAR($B22)=$B$2,YEAR(INDEX($B$5:$B$344,$A22+J$3-1))=$B$2),INDEX($B$5:$B$344,$A22+J$3)-INDEX($B$5:$B$344,$A22-1)-1,"")))</f>
        <v/>
      </c>
      <c r="K22" s="11">
        <f>IF(OR($A22=1,$B22="",$A22+K$3&gt;340),"",IF(INDEX($B$5:$B$344,$A22+K$3)="","",IF(AND(YEAR($B22)=$B$2,YEAR(INDEX($B$5:$B$344,$A22+K$3-1))=$B$2),INDEX($B$5:$B$344,$A22+K$3)-INDEX($B$5:$B$344,$A22-1)-1,"")))</f>
        <v/>
      </c>
      <c r="L22" s="11">
        <f>IF(OR($A22=1,$B22="",$A22+L$3&gt;340),"",IF(INDEX($B$5:$B$344,$A22+L$3)="","",IF(AND(YEAR($B22)=$B$2,YEAR(INDEX($B$5:$B$344,$A22+L$3-1))=$B$2),INDEX($B$5:$B$344,$A22+L$3)-INDEX($B$5:$B$344,$A22-1)-1,"")))</f>
        <v/>
      </c>
      <c r="M22" s="11">
        <f>IF(OR($A22=1,$B22="",$A22+M$3&gt;340),"",IF(INDEX($B$5:$B$344,$A22+M$3)="","",IF(AND(YEAR($B22)=$B$2,YEAR(INDEX($B$5:$B$344,$A22+M$3-1))=$B$2),INDEX($B$5:$B$344,$A22+M$3)-INDEX($B$5:$B$344,$A22-1)-1,"")))</f>
        <v/>
      </c>
    </row>
    <row r="23">
      <c r="A23" s="11" t="n">
        <v>19</v>
      </c>
      <c r="B23" s="10">
        <f>IFERROR(INDEX('2_暦'!$A$7:$A$433,MATCH(A23,'2_暦'!$K$7:$K$433,0)),"")</f>
        <v/>
      </c>
      <c r="C23" s="11">
        <f>IF(OR($A23=1,$B23=""),"",IF(OR(YEAR($B23-1)=$B$2,YEAR(INDEX($B$5:$B$344,$A23-1)+1)=$B$2),$B23-INDEX($B$5:$B$344,$A23-1)-1,""))</f>
        <v/>
      </c>
      <c r="D23" s="11">
        <f>IF(OR($A23=1,$B23="",$A23+D$3&gt;340),"",IF(INDEX($B$5:$B$344,$A23+D$3)="","",IF(AND(YEAR($B23)=$B$2,YEAR(INDEX($B$5:$B$344,$A23+D$3-1))=$B$2),INDEX($B$5:$B$344,$A23+D$3)-INDEX($B$5:$B$344,$A23-1)-1,"")))</f>
        <v/>
      </c>
      <c r="E23" s="11">
        <f>IF(OR($A23=1,$B23="",$A23+E$3&gt;340),"",IF(INDEX($B$5:$B$344,$A23+E$3)="","",IF(AND(YEAR($B23)=$B$2,YEAR(INDEX($B$5:$B$344,$A23+E$3-1))=$B$2),INDEX($B$5:$B$344,$A23+E$3)-INDEX($B$5:$B$344,$A23-1)-1,"")))</f>
        <v/>
      </c>
      <c r="F23" s="11">
        <f>IF(OR($A23=1,$B23="",$A23+F$3&gt;340),"",IF(INDEX($B$5:$B$344,$A23+F$3)="","",IF(AND(YEAR($B23)=$B$2,YEAR(INDEX($B$5:$B$344,$A23+F$3-1))=$B$2),INDEX($B$5:$B$344,$A23+F$3)-INDEX($B$5:$B$344,$A23-1)-1,"")))</f>
        <v/>
      </c>
      <c r="G23" s="11">
        <f>IF(OR($A23=1,$B23="",$A23+G$3&gt;340),"",IF(INDEX($B$5:$B$344,$A23+G$3)="","",IF(AND(YEAR($B23)=$B$2,YEAR(INDEX($B$5:$B$344,$A23+G$3-1))=$B$2),INDEX($B$5:$B$344,$A23+G$3)-INDEX($B$5:$B$344,$A23-1)-1,"")))</f>
        <v/>
      </c>
      <c r="H23" s="11">
        <f>IF(OR($A23=1,$B23="",$A23+H$3&gt;340),"",IF(INDEX($B$5:$B$344,$A23+H$3)="","",IF(AND(YEAR($B23)=$B$2,YEAR(INDEX($B$5:$B$344,$A23+H$3-1))=$B$2),INDEX($B$5:$B$344,$A23+H$3)-INDEX($B$5:$B$344,$A23-1)-1,"")))</f>
        <v/>
      </c>
      <c r="I23" s="11">
        <f>IF(OR($A23=1,$B23="",$A23+I$3&gt;340),"",IF(INDEX($B$5:$B$344,$A23+I$3)="","",IF(AND(YEAR($B23)=$B$2,YEAR(INDEX($B$5:$B$344,$A23+I$3-1))=$B$2),INDEX($B$5:$B$344,$A23+I$3)-INDEX($B$5:$B$344,$A23-1)-1,"")))</f>
        <v/>
      </c>
      <c r="J23" s="11">
        <f>IF(OR($A23=1,$B23="",$A23+J$3&gt;340),"",IF(INDEX($B$5:$B$344,$A23+J$3)="","",IF(AND(YEAR($B23)=$B$2,YEAR(INDEX($B$5:$B$344,$A23+J$3-1))=$B$2),INDEX($B$5:$B$344,$A23+J$3)-INDEX($B$5:$B$344,$A23-1)-1,"")))</f>
        <v/>
      </c>
      <c r="K23" s="11">
        <f>IF(OR($A23=1,$B23="",$A23+K$3&gt;340),"",IF(INDEX($B$5:$B$344,$A23+K$3)="","",IF(AND(YEAR($B23)=$B$2,YEAR(INDEX($B$5:$B$344,$A23+K$3-1))=$B$2),INDEX($B$5:$B$344,$A23+K$3)-INDEX($B$5:$B$344,$A23-1)-1,"")))</f>
        <v/>
      </c>
      <c r="L23" s="11">
        <f>IF(OR($A23=1,$B23="",$A23+L$3&gt;340),"",IF(INDEX($B$5:$B$344,$A23+L$3)="","",IF(AND(YEAR($B23)=$B$2,YEAR(INDEX($B$5:$B$344,$A23+L$3-1))=$B$2),INDEX($B$5:$B$344,$A23+L$3)-INDEX($B$5:$B$344,$A23-1)-1,"")))</f>
        <v/>
      </c>
      <c r="M23" s="11">
        <f>IF(OR($A23=1,$B23="",$A23+M$3&gt;340),"",IF(INDEX($B$5:$B$344,$A23+M$3)="","",IF(AND(YEAR($B23)=$B$2,YEAR(INDEX($B$5:$B$344,$A23+M$3-1))=$B$2),INDEX($B$5:$B$344,$A23+M$3)-INDEX($B$5:$B$344,$A23-1)-1,"")))</f>
        <v/>
      </c>
    </row>
    <row r="24">
      <c r="A24" s="11" t="n">
        <v>20</v>
      </c>
      <c r="B24" s="10">
        <f>IFERROR(INDEX('2_暦'!$A$7:$A$433,MATCH(A24,'2_暦'!$K$7:$K$433,0)),"")</f>
        <v/>
      </c>
      <c r="C24" s="11">
        <f>IF(OR($A24=1,$B24=""),"",IF(OR(YEAR($B24-1)=$B$2,YEAR(INDEX($B$5:$B$344,$A24-1)+1)=$B$2),$B24-INDEX($B$5:$B$344,$A24-1)-1,""))</f>
        <v/>
      </c>
      <c r="D24" s="11">
        <f>IF(OR($A24=1,$B24="",$A24+D$3&gt;340),"",IF(INDEX($B$5:$B$344,$A24+D$3)="","",IF(AND(YEAR($B24)=$B$2,YEAR(INDEX($B$5:$B$344,$A24+D$3-1))=$B$2),INDEX($B$5:$B$344,$A24+D$3)-INDEX($B$5:$B$344,$A24-1)-1,"")))</f>
        <v/>
      </c>
      <c r="E24" s="11">
        <f>IF(OR($A24=1,$B24="",$A24+E$3&gt;340),"",IF(INDEX($B$5:$B$344,$A24+E$3)="","",IF(AND(YEAR($B24)=$B$2,YEAR(INDEX($B$5:$B$344,$A24+E$3-1))=$B$2),INDEX($B$5:$B$344,$A24+E$3)-INDEX($B$5:$B$344,$A24-1)-1,"")))</f>
        <v/>
      </c>
      <c r="F24" s="11">
        <f>IF(OR($A24=1,$B24="",$A24+F$3&gt;340),"",IF(INDEX($B$5:$B$344,$A24+F$3)="","",IF(AND(YEAR($B24)=$B$2,YEAR(INDEX($B$5:$B$344,$A24+F$3-1))=$B$2),INDEX($B$5:$B$344,$A24+F$3)-INDEX($B$5:$B$344,$A24-1)-1,"")))</f>
        <v/>
      </c>
      <c r="G24" s="11">
        <f>IF(OR($A24=1,$B24="",$A24+G$3&gt;340),"",IF(INDEX($B$5:$B$344,$A24+G$3)="","",IF(AND(YEAR($B24)=$B$2,YEAR(INDEX($B$5:$B$344,$A24+G$3-1))=$B$2),INDEX($B$5:$B$344,$A24+G$3)-INDEX($B$5:$B$344,$A24-1)-1,"")))</f>
        <v/>
      </c>
      <c r="H24" s="11">
        <f>IF(OR($A24=1,$B24="",$A24+H$3&gt;340),"",IF(INDEX($B$5:$B$344,$A24+H$3)="","",IF(AND(YEAR($B24)=$B$2,YEAR(INDEX($B$5:$B$344,$A24+H$3-1))=$B$2),INDEX($B$5:$B$344,$A24+H$3)-INDEX($B$5:$B$344,$A24-1)-1,"")))</f>
        <v/>
      </c>
      <c r="I24" s="11">
        <f>IF(OR($A24=1,$B24="",$A24+I$3&gt;340),"",IF(INDEX($B$5:$B$344,$A24+I$3)="","",IF(AND(YEAR($B24)=$B$2,YEAR(INDEX($B$5:$B$344,$A24+I$3-1))=$B$2),INDEX($B$5:$B$344,$A24+I$3)-INDEX($B$5:$B$344,$A24-1)-1,"")))</f>
        <v/>
      </c>
      <c r="J24" s="11">
        <f>IF(OR($A24=1,$B24="",$A24+J$3&gt;340),"",IF(INDEX($B$5:$B$344,$A24+J$3)="","",IF(AND(YEAR($B24)=$B$2,YEAR(INDEX($B$5:$B$344,$A24+J$3-1))=$B$2),INDEX($B$5:$B$344,$A24+J$3)-INDEX($B$5:$B$344,$A24-1)-1,"")))</f>
        <v/>
      </c>
      <c r="K24" s="11">
        <f>IF(OR($A24=1,$B24="",$A24+K$3&gt;340),"",IF(INDEX($B$5:$B$344,$A24+K$3)="","",IF(AND(YEAR($B24)=$B$2,YEAR(INDEX($B$5:$B$344,$A24+K$3-1))=$B$2),INDEX($B$5:$B$344,$A24+K$3)-INDEX($B$5:$B$344,$A24-1)-1,"")))</f>
        <v/>
      </c>
      <c r="L24" s="11">
        <f>IF(OR($A24=1,$B24="",$A24+L$3&gt;340),"",IF(INDEX($B$5:$B$344,$A24+L$3)="","",IF(AND(YEAR($B24)=$B$2,YEAR(INDEX($B$5:$B$344,$A24+L$3-1))=$B$2),INDEX($B$5:$B$344,$A24+L$3)-INDEX($B$5:$B$344,$A24-1)-1,"")))</f>
        <v/>
      </c>
      <c r="M24" s="11">
        <f>IF(OR($A24=1,$B24="",$A24+M$3&gt;340),"",IF(INDEX($B$5:$B$344,$A24+M$3)="","",IF(AND(YEAR($B24)=$B$2,YEAR(INDEX($B$5:$B$344,$A24+M$3-1))=$B$2),INDEX($B$5:$B$344,$A24+M$3)-INDEX($B$5:$B$344,$A24-1)-1,"")))</f>
        <v/>
      </c>
    </row>
    <row r="25">
      <c r="A25" s="11" t="n">
        <v>21</v>
      </c>
      <c r="B25" s="10">
        <f>IFERROR(INDEX('2_暦'!$A$7:$A$433,MATCH(A25,'2_暦'!$K$7:$K$433,0)),"")</f>
        <v/>
      </c>
      <c r="C25" s="11">
        <f>IF(OR($A25=1,$B25=""),"",IF(OR(YEAR($B25-1)=$B$2,YEAR(INDEX($B$5:$B$344,$A25-1)+1)=$B$2),$B25-INDEX($B$5:$B$344,$A25-1)-1,""))</f>
        <v/>
      </c>
      <c r="D25" s="11">
        <f>IF(OR($A25=1,$B25="",$A25+D$3&gt;340),"",IF(INDEX($B$5:$B$344,$A25+D$3)="","",IF(AND(YEAR($B25)=$B$2,YEAR(INDEX($B$5:$B$344,$A25+D$3-1))=$B$2),INDEX($B$5:$B$344,$A25+D$3)-INDEX($B$5:$B$344,$A25-1)-1,"")))</f>
        <v/>
      </c>
      <c r="E25" s="11">
        <f>IF(OR($A25=1,$B25="",$A25+E$3&gt;340),"",IF(INDEX($B$5:$B$344,$A25+E$3)="","",IF(AND(YEAR($B25)=$B$2,YEAR(INDEX($B$5:$B$344,$A25+E$3-1))=$B$2),INDEX($B$5:$B$344,$A25+E$3)-INDEX($B$5:$B$344,$A25-1)-1,"")))</f>
        <v/>
      </c>
      <c r="F25" s="11">
        <f>IF(OR($A25=1,$B25="",$A25+F$3&gt;340),"",IF(INDEX($B$5:$B$344,$A25+F$3)="","",IF(AND(YEAR($B25)=$B$2,YEAR(INDEX($B$5:$B$344,$A25+F$3-1))=$B$2),INDEX($B$5:$B$344,$A25+F$3)-INDEX($B$5:$B$344,$A25-1)-1,"")))</f>
        <v/>
      </c>
      <c r="G25" s="11">
        <f>IF(OR($A25=1,$B25="",$A25+G$3&gt;340),"",IF(INDEX($B$5:$B$344,$A25+G$3)="","",IF(AND(YEAR($B25)=$B$2,YEAR(INDEX($B$5:$B$344,$A25+G$3-1))=$B$2),INDEX($B$5:$B$344,$A25+G$3)-INDEX($B$5:$B$344,$A25-1)-1,"")))</f>
        <v/>
      </c>
      <c r="H25" s="11">
        <f>IF(OR($A25=1,$B25="",$A25+H$3&gt;340),"",IF(INDEX($B$5:$B$344,$A25+H$3)="","",IF(AND(YEAR($B25)=$B$2,YEAR(INDEX($B$5:$B$344,$A25+H$3-1))=$B$2),INDEX($B$5:$B$344,$A25+H$3)-INDEX($B$5:$B$344,$A25-1)-1,"")))</f>
        <v/>
      </c>
      <c r="I25" s="11">
        <f>IF(OR($A25=1,$B25="",$A25+I$3&gt;340),"",IF(INDEX($B$5:$B$344,$A25+I$3)="","",IF(AND(YEAR($B25)=$B$2,YEAR(INDEX($B$5:$B$344,$A25+I$3-1))=$B$2),INDEX($B$5:$B$344,$A25+I$3)-INDEX($B$5:$B$344,$A25-1)-1,"")))</f>
        <v/>
      </c>
      <c r="J25" s="11">
        <f>IF(OR($A25=1,$B25="",$A25+J$3&gt;340),"",IF(INDEX($B$5:$B$344,$A25+J$3)="","",IF(AND(YEAR($B25)=$B$2,YEAR(INDEX($B$5:$B$344,$A25+J$3-1))=$B$2),INDEX($B$5:$B$344,$A25+J$3)-INDEX($B$5:$B$344,$A25-1)-1,"")))</f>
        <v/>
      </c>
      <c r="K25" s="11">
        <f>IF(OR($A25=1,$B25="",$A25+K$3&gt;340),"",IF(INDEX($B$5:$B$344,$A25+K$3)="","",IF(AND(YEAR($B25)=$B$2,YEAR(INDEX($B$5:$B$344,$A25+K$3-1))=$B$2),INDEX($B$5:$B$344,$A25+K$3)-INDEX($B$5:$B$344,$A25-1)-1,"")))</f>
        <v/>
      </c>
      <c r="L25" s="11">
        <f>IF(OR($A25=1,$B25="",$A25+L$3&gt;340),"",IF(INDEX($B$5:$B$344,$A25+L$3)="","",IF(AND(YEAR($B25)=$B$2,YEAR(INDEX($B$5:$B$344,$A25+L$3-1))=$B$2),INDEX($B$5:$B$344,$A25+L$3)-INDEX($B$5:$B$344,$A25-1)-1,"")))</f>
        <v/>
      </c>
      <c r="M25" s="11">
        <f>IF(OR($A25=1,$B25="",$A25+M$3&gt;340),"",IF(INDEX($B$5:$B$344,$A25+M$3)="","",IF(AND(YEAR($B25)=$B$2,YEAR(INDEX($B$5:$B$344,$A25+M$3-1))=$B$2),INDEX($B$5:$B$344,$A25+M$3)-INDEX($B$5:$B$344,$A25-1)-1,"")))</f>
        <v/>
      </c>
    </row>
    <row r="26">
      <c r="A26" s="11" t="n">
        <v>22</v>
      </c>
      <c r="B26" s="10">
        <f>IFERROR(INDEX('2_暦'!$A$7:$A$433,MATCH(A26,'2_暦'!$K$7:$K$433,0)),"")</f>
        <v/>
      </c>
      <c r="C26" s="11">
        <f>IF(OR($A26=1,$B26=""),"",IF(OR(YEAR($B26-1)=$B$2,YEAR(INDEX($B$5:$B$344,$A26-1)+1)=$B$2),$B26-INDEX($B$5:$B$344,$A26-1)-1,""))</f>
        <v/>
      </c>
      <c r="D26" s="11">
        <f>IF(OR($A26=1,$B26="",$A26+D$3&gt;340),"",IF(INDEX($B$5:$B$344,$A26+D$3)="","",IF(AND(YEAR($B26)=$B$2,YEAR(INDEX($B$5:$B$344,$A26+D$3-1))=$B$2),INDEX($B$5:$B$344,$A26+D$3)-INDEX($B$5:$B$344,$A26-1)-1,"")))</f>
        <v/>
      </c>
      <c r="E26" s="11">
        <f>IF(OR($A26=1,$B26="",$A26+E$3&gt;340),"",IF(INDEX($B$5:$B$344,$A26+E$3)="","",IF(AND(YEAR($B26)=$B$2,YEAR(INDEX($B$5:$B$344,$A26+E$3-1))=$B$2),INDEX($B$5:$B$344,$A26+E$3)-INDEX($B$5:$B$344,$A26-1)-1,"")))</f>
        <v/>
      </c>
      <c r="F26" s="11">
        <f>IF(OR($A26=1,$B26="",$A26+F$3&gt;340),"",IF(INDEX($B$5:$B$344,$A26+F$3)="","",IF(AND(YEAR($B26)=$B$2,YEAR(INDEX($B$5:$B$344,$A26+F$3-1))=$B$2),INDEX($B$5:$B$344,$A26+F$3)-INDEX($B$5:$B$344,$A26-1)-1,"")))</f>
        <v/>
      </c>
      <c r="G26" s="11">
        <f>IF(OR($A26=1,$B26="",$A26+G$3&gt;340),"",IF(INDEX($B$5:$B$344,$A26+G$3)="","",IF(AND(YEAR($B26)=$B$2,YEAR(INDEX($B$5:$B$344,$A26+G$3-1))=$B$2),INDEX($B$5:$B$344,$A26+G$3)-INDEX($B$5:$B$344,$A26-1)-1,"")))</f>
        <v/>
      </c>
      <c r="H26" s="11">
        <f>IF(OR($A26=1,$B26="",$A26+H$3&gt;340),"",IF(INDEX($B$5:$B$344,$A26+H$3)="","",IF(AND(YEAR($B26)=$B$2,YEAR(INDEX($B$5:$B$344,$A26+H$3-1))=$B$2),INDEX($B$5:$B$344,$A26+H$3)-INDEX($B$5:$B$344,$A26-1)-1,"")))</f>
        <v/>
      </c>
      <c r="I26" s="11">
        <f>IF(OR($A26=1,$B26="",$A26+I$3&gt;340),"",IF(INDEX($B$5:$B$344,$A26+I$3)="","",IF(AND(YEAR($B26)=$B$2,YEAR(INDEX($B$5:$B$344,$A26+I$3-1))=$B$2),INDEX($B$5:$B$344,$A26+I$3)-INDEX($B$5:$B$344,$A26-1)-1,"")))</f>
        <v/>
      </c>
      <c r="J26" s="11">
        <f>IF(OR($A26=1,$B26="",$A26+J$3&gt;340),"",IF(INDEX($B$5:$B$344,$A26+J$3)="","",IF(AND(YEAR($B26)=$B$2,YEAR(INDEX($B$5:$B$344,$A26+J$3-1))=$B$2),INDEX($B$5:$B$344,$A26+J$3)-INDEX($B$5:$B$344,$A26-1)-1,"")))</f>
        <v/>
      </c>
      <c r="K26" s="11">
        <f>IF(OR($A26=1,$B26="",$A26+K$3&gt;340),"",IF(INDEX($B$5:$B$344,$A26+K$3)="","",IF(AND(YEAR($B26)=$B$2,YEAR(INDEX($B$5:$B$344,$A26+K$3-1))=$B$2),INDEX($B$5:$B$344,$A26+K$3)-INDEX($B$5:$B$344,$A26-1)-1,"")))</f>
        <v/>
      </c>
      <c r="L26" s="11">
        <f>IF(OR($A26=1,$B26="",$A26+L$3&gt;340),"",IF(INDEX($B$5:$B$344,$A26+L$3)="","",IF(AND(YEAR($B26)=$B$2,YEAR(INDEX($B$5:$B$344,$A26+L$3-1))=$B$2),INDEX($B$5:$B$344,$A26+L$3)-INDEX($B$5:$B$344,$A26-1)-1,"")))</f>
        <v/>
      </c>
      <c r="M26" s="11">
        <f>IF(OR($A26=1,$B26="",$A26+M$3&gt;340),"",IF(INDEX($B$5:$B$344,$A26+M$3)="","",IF(AND(YEAR($B26)=$B$2,YEAR(INDEX($B$5:$B$344,$A26+M$3-1))=$B$2),INDEX($B$5:$B$344,$A26+M$3)-INDEX($B$5:$B$344,$A26-1)-1,"")))</f>
        <v/>
      </c>
    </row>
    <row r="27">
      <c r="A27" s="11" t="n">
        <v>23</v>
      </c>
      <c r="B27" s="10">
        <f>IFERROR(INDEX('2_暦'!$A$7:$A$433,MATCH(A27,'2_暦'!$K$7:$K$433,0)),"")</f>
        <v/>
      </c>
      <c r="C27" s="11">
        <f>IF(OR($A27=1,$B27=""),"",IF(OR(YEAR($B27-1)=$B$2,YEAR(INDEX($B$5:$B$344,$A27-1)+1)=$B$2),$B27-INDEX($B$5:$B$344,$A27-1)-1,""))</f>
        <v/>
      </c>
      <c r="D27" s="11">
        <f>IF(OR($A27=1,$B27="",$A27+D$3&gt;340),"",IF(INDEX($B$5:$B$344,$A27+D$3)="","",IF(AND(YEAR($B27)=$B$2,YEAR(INDEX($B$5:$B$344,$A27+D$3-1))=$B$2),INDEX($B$5:$B$344,$A27+D$3)-INDEX($B$5:$B$344,$A27-1)-1,"")))</f>
        <v/>
      </c>
      <c r="E27" s="11">
        <f>IF(OR($A27=1,$B27="",$A27+E$3&gt;340),"",IF(INDEX($B$5:$B$344,$A27+E$3)="","",IF(AND(YEAR($B27)=$B$2,YEAR(INDEX($B$5:$B$344,$A27+E$3-1))=$B$2),INDEX($B$5:$B$344,$A27+E$3)-INDEX($B$5:$B$344,$A27-1)-1,"")))</f>
        <v/>
      </c>
      <c r="F27" s="11">
        <f>IF(OR($A27=1,$B27="",$A27+F$3&gt;340),"",IF(INDEX($B$5:$B$344,$A27+F$3)="","",IF(AND(YEAR($B27)=$B$2,YEAR(INDEX($B$5:$B$344,$A27+F$3-1))=$B$2),INDEX($B$5:$B$344,$A27+F$3)-INDEX($B$5:$B$344,$A27-1)-1,"")))</f>
        <v/>
      </c>
      <c r="G27" s="11">
        <f>IF(OR($A27=1,$B27="",$A27+G$3&gt;340),"",IF(INDEX($B$5:$B$344,$A27+G$3)="","",IF(AND(YEAR($B27)=$B$2,YEAR(INDEX($B$5:$B$344,$A27+G$3-1))=$B$2),INDEX($B$5:$B$344,$A27+G$3)-INDEX($B$5:$B$344,$A27-1)-1,"")))</f>
        <v/>
      </c>
      <c r="H27" s="11">
        <f>IF(OR($A27=1,$B27="",$A27+H$3&gt;340),"",IF(INDEX($B$5:$B$344,$A27+H$3)="","",IF(AND(YEAR($B27)=$B$2,YEAR(INDEX($B$5:$B$344,$A27+H$3-1))=$B$2),INDEX($B$5:$B$344,$A27+H$3)-INDEX($B$5:$B$344,$A27-1)-1,"")))</f>
        <v/>
      </c>
      <c r="I27" s="11">
        <f>IF(OR($A27=1,$B27="",$A27+I$3&gt;340),"",IF(INDEX($B$5:$B$344,$A27+I$3)="","",IF(AND(YEAR($B27)=$B$2,YEAR(INDEX($B$5:$B$344,$A27+I$3-1))=$B$2),INDEX($B$5:$B$344,$A27+I$3)-INDEX($B$5:$B$344,$A27-1)-1,"")))</f>
        <v/>
      </c>
      <c r="J27" s="11">
        <f>IF(OR($A27=1,$B27="",$A27+J$3&gt;340),"",IF(INDEX($B$5:$B$344,$A27+J$3)="","",IF(AND(YEAR($B27)=$B$2,YEAR(INDEX($B$5:$B$344,$A27+J$3-1))=$B$2),INDEX($B$5:$B$344,$A27+J$3)-INDEX($B$5:$B$344,$A27-1)-1,"")))</f>
        <v/>
      </c>
      <c r="K27" s="11">
        <f>IF(OR($A27=1,$B27="",$A27+K$3&gt;340),"",IF(INDEX($B$5:$B$344,$A27+K$3)="","",IF(AND(YEAR($B27)=$B$2,YEAR(INDEX($B$5:$B$344,$A27+K$3-1))=$B$2),INDEX($B$5:$B$344,$A27+K$3)-INDEX($B$5:$B$344,$A27-1)-1,"")))</f>
        <v/>
      </c>
      <c r="L27" s="11">
        <f>IF(OR($A27=1,$B27="",$A27+L$3&gt;340),"",IF(INDEX($B$5:$B$344,$A27+L$3)="","",IF(AND(YEAR($B27)=$B$2,YEAR(INDEX($B$5:$B$344,$A27+L$3-1))=$B$2),INDEX($B$5:$B$344,$A27+L$3)-INDEX($B$5:$B$344,$A27-1)-1,"")))</f>
        <v/>
      </c>
      <c r="M27" s="11">
        <f>IF(OR($A27=1,$B27="",$A27+M$3&gt;340),"",IF(INDEX($B$5:$B$344,$A27+M$3)="","",IF(AND(YEAR($B27)=$B$2,YEAR(INDEX($B$5:$B$344,$A27+M$3-1))=$B$2),INDEX($B$5:$B$344,$A27+M$3)-INDEX($B$5:$B$344,$A27-1)-1,"")))</f>
        <v/>
      </c>
    </row>
    <row r="28">
      <c r="A28" s="11" t="n">
        <v>24</v>
      </c>
      <c r="B28" s="10">
        <f>IFERROR(INDEX('2_暦'!$A$7:$A$433,MATCH(A28,'2_暦'!$K$7:$K$433,0)),"")</f>
        <v/>
      </c>
      <c r="C28" s="11">
        <f>IF(OR($A28=1,$B28=""),"",IF(OR(YEAR($B28-1)=$B$2,YEAR(INDEX($B$5:$B$344,$A28-1)+1)=$B$2),$B28-INDEX($B$5:$B$344,$A28-1)-1,""))</f>
        <v/>
      </c>
      <c r="D28" s="11">
        <f>IF(OR($A28=1,$B28="",$A28+D$3&gt;340),"",IF(INDEX($B$5:$B$344,$A28+D$3)="","",IF(AND(YEAR($B28)=$B$2,YEAR(INDEX($B$5:$B$344,$A28+D$3-1))=$B$2),INDEX($B$5:$B$344,$A28+D$3)-INDEX($B$5:$B$344,$A28-1)-1,"")))</f>
        <v/>
      </c>
      <c r="E28" s="11">
        <f>IF(OR($A28=1,$B28="",$A28+E$3&gt;340),"",IF(INDEX($B$5:$B$344,$A28+E$3)="","",IF(AND(YEAR($B28)=$B$2,YEAR(INDEX($B$5:$B$344,$A28+E$3-1))=$B$2),INDEX($B$5:$B$344,$A28+E$3)-INDEX($B$5:$B$344,$A28-1)-1,"")))</f>
        <v/>
      </c>
      <c r="F28" s="11">
        <f>IF(OR($A28=1,$B28="",$A28+F$3&gt;340),"",IF(INDEX($B$5:$B$344,$A28+F$3)="","",IF(AND(YEAR($B28)=$B$2,YEAR(INDEX($B$5:$B$344,$A28+F$3-1))=$B$2),INDEX($B$5:$B$344,$A28+F$3)-INDEX($B$5:$B$344,$A28-1)-1,"")))</f>
        <v/>
      </c>
      <c r="G28" s="11">
        <f>IF(OR($A28=1,$B28="",$A28+G$3&gt;340),"",IF(INDEX($B$5:$B$344,$A28+G$3)="","",IF(AND(YEAR($B28)=$B$2,YEAR(INDEX($B$5:$B$344,$A28+G$3-1))=$B$2),INDEX($B$5:$B$344,$A28+G$3)-INDEX($B$5:$B$344,$A28-1)-1,"")))</f>
        <v/>
      </c>
      <c r="H28" s="11">
        <f>IF(OR($A28=1,$B28="",$A28+H$3&gt;340),"",IF(INDEX($B$5:$B$344,$A28+H$3)="","",IF(AND(YEAR($B28)=$B$2,YEAR(INDEX($B$5:$B$344,$A28+H$3-1))=$B$2),INDEX($B$5:$B$344,$A28+H$3)-INDEX($B$5:$B$344,$A28-1)-1,"")))</f>
        <v/>
      </c>
      <c r="I28" s="11">
        <f>IF(OR($A28=1,$B28="",$A28+I$3&gt;340),"",IF(INDEX($B$5:$B$344,$A28+I$3)="","",IF(AND(YEAR($B28)=$B$2,YEAR(INDEX($B$5:$B$344,$A28+I$3-1))=$B$2),INDEX($B$5:$B$344,$A28+I$3)-INDEX($B$5:$B$344,$A28-1)-1,"")))</f>
        <v/>
      </c>
      <c r="J28" s="11">
        <f>IF(OR($A28=1,$B28="",$A28+J$3&gt;340),"",IF(INDEX($B$5:$B$344,$A28+J$3)="","",IF(AND(YEAR($B28)=$B$2,YEAR(INDEX($B$5:$B$344,$A28+J$3-1))=$B$2),INDEX($B$5:$B$344,$A28+J$3)-INDEX($B$5:$B$344,$A28-1)-1,"")))</f>
        <v/>
      </c>
      <c r="K28" s="11">
        <f>IF(OR($A28=1,$B28="",$A28+K$3&gt;340),"",IF(INDEX($B$5:$B$344,$A28+K$3)="","",IF(AND(YEAR($B28)=$B$2,YEAR(INDEX($B$5:$B$344,$A28+K$3-1))=$B$2),INDEX($B$5:$B$344,$A28+K$3)-INDEX($B$5:$B$344,$A28-1)-1,"")))</f>
        <v/>
      </c>
      <c r="L28" s="11">
        <f>IF(OR($A28=1,$B28="",$A28+L$3&gt;340),"",IF(INDEX($B$5:$B$344,$A28+L$3)="","",IF(AND(YEAR($B28)=$B$2,YEAR(INDEX($B$5:$B$344,$A28+L$3-1))=$B$2),INDEX($B$5:$B$344,$A28+L$3)-INDEX($B$5:$B$344,$A28-1)-1,"")))</f>
        <v/>
      </c>
      <c r="M28" s="11">
        <f>IF(OR($A28=1,$B28="",$A28+M$3&gt;340),"",IF(INDEX($B$5:$B$344,$A28+M$3)="","",IF(AND(YEAR($B28)=$B$2,YEAR(INDEX($B$5:$B$344,$A28+M$3-1))=$B$2),INDEX($B$5:$B$344,$A28+M$3)-INDEX($B$5:$B$344,$A28-1)-1,"")))</f>
        <v/>
      </c>
    </row>
    <row r="29">
      <c r="A29" s="11" t="n">
        <v>25</v>
      </c>
      <c r="B29" s="10">
        <f>IFERROR(INDEX('2_暦'!$A$7:$A$433,MATCH(A29,'2_暦'!$K$7:$K$433,0)),"")</f>
        <v/>
      </c>
      <c r="C29" s="11">
        <f>IF(OR($A29=1,$B29=""),"",IF(OR(YEAR($B29-1)=$B$2,YEAR(INDEX($B$5:$B$344,$A29-1)+1)=$B$2),$B29-INDEX($B$5:$B$344,$A29-1)-1,""))</f>
        <v/>
      </c>
      <c r="D29" s="11">
        <f>IF(OR($A29=1,$B29="",$A29+D$3&gt;340),"",IF(INDEX($B$5:$B$344,$A29+D$3)="","",IF(AND(YEAR($B29)=$B$2,YEAR(INDEX($B$5:$B$344,$A29+D$3-1))=$B$2),INDEX($B$5:$B$344,$A29+D$3)-INDEX($B$5:$B$344,$A29-1)-1,"")))</f>
        <v/>
      </c>
      <c r="E29" s="11">
        <f>IF(OR($A29=1,$B29="",$A29+E$3&gt;340),"",IF(INDEX($B$5:$B$344,$A29+E$3)="","",IF(AND(YEAR($B29)=$B$2,YEAR(INDEX($B$5:$B$344,$A29+E$3-1))=$B$2),INDEX($B$5:$B$344,$A29+E$3)-INDEX($B$5:$B$344,$A29-1)-1,"")))</f>
        <v/>
      </c>
      <c r="F29" s="11">
        <f>IF(OR($A29=1,$B29="",$A29+F$3&gt;340),"",IF(INDEX($B$5:$B$344,$A29+F$3)="","",IF(AND(YEAR($B29)=$B$2,YEAR(INDEX($B$5:$B$344,$A29+F$3-1))=$B$2),INDEX($B$5:$B$344,$A29+F$3)-INDEX($B$5:$B$344,$A29-1)-1,"")))</f>
        <v/>
      </c>
      <c r="G29" s="11">
        <f>IF(OR($A29=1,$B29="",$A29+G$3&gt;340),"",IF(INDEX($B$5:$B$344,$A29+G$3)="","",IF(AND(YEAR($B29)=$B$2,YEAR(INDEX($B$5:$B$344,$A29+G$3-1))=$B$2),INDEX($B$5:$B$344,$A29+G$3)-INDEX($B$5:$B$344,$A29-1)-1,"")))</f>
        <v/>
      </c>
      <c r="H29" s="11">
        <f>IF(OR($A29=1,$B29="",$A29+H$3&gt;340),"",IF(INDEX($B$5:$B$344,$A29+H$3)="","",IF(AND(YEAR($B29)=$B$2,YEAR(INDEX($B$5:$B$344,$A29+H$3-1))=$B$2),INDEX($B$5:$B$344,$A29+H$3)-INDEX($B$5:$B$344,$A29-1)-1,"")))</f>
        <v/>
      </c>
      <c r="I29" s="11">
        <f>IF(OR($A29=1,$B29="",$A29+I$3&gt;340),"",IF(INDEX($B$5:$B$344,$A29+I$3)="","",IF(AND(YEAR($B29)=$B$2,YEAR(INDEX($B$5:$B$344,$A29+I$3-1))=$B$2),INDEX($B$5:$B$344,$A29+I$3)-INDEX($B$5:$B$344,$A29-1)-1,"")))</f>
        <v/>
      </c>
      <c r="J29" s="11">
        <f>IF(OR($A29=1,$B29="",$A29+J$3&gt;340),"",IF(INDEX($B$5:$B$344,$A29+J$3)="","",IF(AND(YEAR($B29)=$B$2,YEAR(INDEX($B$5:$B$344,$A29+J$3-1))=$B$2),INDEX($B$5:$B$344,$A29+J$3)-INDEX($B$5:$B$344,$A29-1)-1,"")))</f>
        <v/>
      </c>
      <c r="K29" s="11">
        <f>IF(OR($A29=1,$B29="",$A29+K$3&gt;340),"",IF(INDEX($B$5:$B$344,$A29+K$3)="","",IF(AND(YEAR($B29)=$B$2,YEAR(INDEX($B$5:$B$344,$A29+K$3-1))=$B$2),INDEX($B$5:$B$344,$A29+K$3)-INDEX($B$5:$B$344,$A29-1)-1,"")))</f>
        <v/>
      </c>
      <c r="L29" s="11">
        <f>IF(OR($A29=1,$B29="",$A29+L$3&gt;340),"",IF(INDEX($B$5:$B$344,$A29+L$3)="","",IF(AND(YEAR($B29)=$B$2,YEAR(INDEX($B$5:$B$344,$A29+L$3-1))=$B$2),INDEX($B$5:$B$344,$A29+L$3)-INDEX($B$5:$B$344,$A29-1)-1,"")))</f>
        <v/>
      </c>
      <c r="M29" s="11">
        <f>IF(OR($A29=1,$B29="",$A29+M$3&gt;340),"",IF(INDEX($B$5:$B$344,$A29+M$3)="","",IF(AND(YEAR($B29)=$B$2,YEAR(INDEX($B$5:$B$344,$A29+M$3-1))=$B$2),INDEX($B$5:$B$344,$A29+M$3)-INDEX($B$5:$B$344,$A29-1)-1,"")))</f>
        <v/>
      </c>
    </row>
    <row r="30">
      <c r="A30" s="11" t="n">
        <v>26</v>
      </c>
      <c r="B30" s="10">
        <f>IFERROR(INDEX('2_暦'!$A$7:$A$433,MATCH(A30,'2_暦'!$K$7:$K$433,0)),"")</f>
        <v/>
      </c>
      <c r="C30" s="11">
        <f>IF(OR($A30=1,$B30=""),"",IF(OR(YEAR($B30-1)=$B$2,YEAR(INDEX($B$5:$B$344,$A30-1)+1)=$B$2),$B30-INDEX($B$5:$B$344,$A30-1)-1,""))</f>
        <v/>
      </c>
      <c r="D30" s="11">
        <f>IF(OR($A30=1,$B30="",$A30+D$3&gt;340),"",IF(INDEX($B$5:$B$344,$A30+D$3)="","",IF(AND(YEAR($B30)=$B$2,YEAR(INDEX($B$5:$B$344,$A30+D$3-1))=$B$2),INDEX($B$5:$B$344,$A30+D$3)-INDEX($B$5:$B$344,$A30-1)-1,"")))</f>
        <v/>
      </c>
      <c r="E30" s="11">
        <f>IF(OR($A30=1,$B30="",$A30+E$3&gt;340),"",IF(INDEX($B$5:$B$344,$A30+E$3)="","",IF(AND(YEAR($B30)=$B$2,YEAR(INDEX($B$5:$B$344,$A30+E$3-1))=$B$2),INDEX($B$5:$B$344,$A30+E$3)-INDEX($B$5:$B$344,$A30-1)-1,"")))</f>
        <v/>
      </c>
      <c r="F30" s="11">
        <f>IF(OR($A30=1,$B30="",$A30+F$3&gt;340),"",IF(INDEX($B$5:$B$344,$A30+F$3)="","",IF(AND(YEAR($B30)=$B$2,YEAR(INDEX($B$5:$B$344,$A30+F$3-1))=$B$2),INDEX($B$5:$B$344,$A30+F$3)-INDEX($B$5:$B$344,$A30-1)-1,"")))</f>
        <v/>
      </c>
      <c r="G30" s="11">
        <f>IF(OR($A30=1,$B30="",$A30+G$3&gt;340),"",IF(INDEX($B$5:$B$344,$A30+G$3)="","",IF(AND(YEAR($B30)=$B$2,YEAR(INDEX($B$5:$B$344,$A30+G$3-1))=$B$2),INDEX($B$5:$B$344,$A30+G$3)-INDEX($B$5:$B$344,$A30-1)-1,"")))</f>
        <v/>
      </c>
      <c r="H30" s="11">
        <f>IF(OR($A30=1,$B30="",$A30+H$3&gt;340),"",IF(INDEX($B$5:$B$344,$A30+H$3)="","",IF(AND(YEAR($B30)=$B$2,YEAR(INDEX($B$5:$B$344,$A30+H$3-1))=$B$2),INDEX($B$5:$B$344,$A30+H$3)-INDEX($B$5:$B$344,$A30-1)-1,"")))</f>
        <v/>
      </c>
      <c r="I30" s="11">
        <f>IF(OR($A30=1,$B30="",$A30+I$3&gt;340),"",IF(INDEX($B$5:$B$344,$A30+I$3)="","",IF(AND(YEAR($B30)=$B$2,YEAR(INDEX($B$5:$B$344,$A30+I$3-1))=$B$2),INDEX($B$5:$B$344,$A30+I$3)-INDEX($B$5:$B$344,$A30-1)-1,"")))</f>
        <v/>
      </c>
      <c r="J30" s="11">
        <f>IF(OR($A30=1,$B30="",$A30+J$3&gt;340),"",IF(INDEX($B$5:$B$344,$A30+J$3)="","",IF(AND(YEAR($B30)=$B$2,YEAR(INDEX($B$5:$B$344,$A30+J$3-1))=$B$2),INDEX($B$5:$B$344,$A30+J$3)-INDEX($B$5:$B$344,$A30-1)-1,"")))</f>
        <v/>
      </c>
      <c r="K30" s="11">
        <f>IF(OR($A30=1,$B30="",$A30+K$3&gt;340),"",IF(INDEX($B$5:$B$344,$A30+K$3)="","",IF(AND(YEAR($B30)=$B$2,YEAR(INDEX($B$5:$B$344,$A30+K$3-1))=$B$2),INDEX($B$5:$B$344,$A30+K$3)-INDEX($B$5:$B$344,$A30-1)-1,"")))</f>
        <v/>
      </c>
      <c r="L30" s="11">
        <f>IF(OR($A30=1,$B30="",$A30+L$3&gt;340),"",IF(INDEX($B$5:$B$344,$A30+L$3)="","",IF(AND(YEAR($B30)=$B$2,YEAR(INDEX($B$5:$B$344,$A30+L$3-1))=$B$2),INDEX($B$5:$B$344,$A30+L$3)-INDEX($B$5:$B$344,$A30-1)-1,"")))</f>
        <v/>
      </c>
      <c r="M30" s="11">
        <f>IF(OR($A30=1,$B30="",$A30+M$3&gt;340),"",IF(INDEX($B$5:$B$344,$A30+M$3)="","",IF(AND(YEAR($B30)=$B$2,YEAR(INDEX($B$5:$B$344,$A30+M$3-1))=$B$2),INDEX($B$5:$B$344,$A30+M$3)-INDEX($B$5:$B$344,$A30-1)-1,"")))</f>
        <v/>
      </c>
    </row>
    <row r="31">
      <c r="A31" s="11" t="n">
        <v>27</v>
      </c>
      <c r="B31" s="10">
        <f>IFERROR(INDEX('2_暦'!$A$7:$A$433,MATCH(A31,'2_暦'!$K$7:$K$433,0)),"")</f>
        <v/>
      </c>
      <c r="C31" s="11">
        <f>IF(OR($A31=1,$B31=""),"",IF(OR(YEAR($B31-1)=$B$2,YEAR(INDEX($B$5:$B$344,$A31-1)+1)=$B$2),$B31-INDEX($B$5:$B$344,$A31-1)-1,""))</f>
        <v/>
      </c>
      <c r="D31" s="11">
        <f>IF(OR($A31=1,$B31="",$A31+D$3&gt;340),"",IF(INDEX($B$5:$B$344,$A31+D$3)="","",IF(AND(YEAR($B31)=$B$2,YEAR(INDEX($B$5:$B$344,$A31+D$3-1))=$B$2),INDEX($B$5:$B$344,$A31+D$3)-INDEX($B$5:$B$344,$A31-1)-1,"")))</f>
        <v/>
      </c>
      <c r="E31" s="11">
        <f>IF(OR($A31=1,$B31="",$A31+E$3&gt;340),"",IF(INDEX($B$5:$B$344,$A31+E$3)="","",IF(AND(YEAR($B31)=$B$2,YEAR(INDEX($B$5:$B$344,$A31+E$3-1))=$B$2),INDEX($B$5:$B$344,$A31+E$3)-INDEX($B$5:$B$344,$A31-1)-1,"")))</f>
        <v/>
      </c>
      <c r="F31" s="11">
        <f>IF(OR($A31=1,$B31="",$A31+F$3&gt;340),"",IF(INDEX($B$5:$B$344,$A31+F$3)="","",IF(AND(YEAR($B31)=$B$2,YEAR(INDEX($B$5:$B$344,$A31+F$3-1))=$B$2),INDEX($B$5:$B$344,$A31+F$3)-INDEX($B$5:$B$344,$A31-1)-1,"")))</f>
        <v/>
      </c>
      <c r="G31" s="11">
        <f>IF(OR($A31=1,$B31="",$A31+G$3&gt;340),"",IF(INDEX($B$5:$B$344,$A31+G$3)="","",IF(AND(YEAR($B31)=$B$2,YEAR(INDEX($B$5:$B$344,$A31+G$3-1))=$B$2),INDEX($B$5:$B$344,$A31+G$3)-INDEX($B$5:$B$344,$A31-1)-1,"")))</f>
        <v/>
      </c>
      <c r="H31" s="11">
        <f>IF(OR($A31=1,$B31="",$A31+H$3&gt;340),"",IF(INDEX($B$5:$B$344,$A31+H$3)="","",IF(AND(YEAR($B31)=$B$2,YEAR(INDEX($B$5:$B$344,$A31+H$3-1))=$B$2),INDEX($B$5:$B$344,$A31+H$3)-INDEX($B$5:$B$344,$A31-1)-1,"")))</f>
        <v/>
      </c>
      <c r="I31" s="11">
        <f>IF(OR($A31=1,$B31="",$A31+I$3&gt;340),"",IF(INDEX($B$5:$B$344,$A31+I$3)="","",IF(AND(YEAR($B31)=$B$2,YEAR(INDEX($B$5:$B$344,$A31+I$3-1))=$B$2),INDEX($B$5:$B$344,$A31+I$3)-INDEX($B$5:$B$344,$A31-1)-1,"")))</f>
        <v/>
      </c>
      <c r="J31" s="11">
        <f>IF(OR($A31=1,$B31="",$A31+J$3&gt;340),"",IF(INDEX($B$5:$B$344,$A31+J$3)="","",IF(AND(YEAR($B31)=$B$2,YEAR(INDEX($B$5:$B$344,$A31+J$3-1))=$B$2),INDEX($B$5:$B$344,$A31+J$3)-INDEX($B$5:$B$344,$A31-1)-1,"")))</f>
        <v/>
      </c>
      <c r="K31" s="11">
        <f>IF(OR($A31=1,$B31="",$A31+K$3&gt;340),"",IF(INDEX($B$5:$B$344,$A31+K$3)="","",IF(AND(YEAR($B31)=$B$2,YEAR(INDEX($B$5:$B$344,$A31+K$3-1))=$B$2),INDEX($B$5:$B$344,$A31+K$3)-INDEX($B$5:$B$344,$A31-1)-1,"")))</f>
        <v/>
      </c>
      <c r="L31" s="11">
        <f>IF(OR($A31=1,$B31="",$A31+L$3&gt;340),"",IF(INDEX($B$5:$B$344,$A31+L$3)="","",IF(AND(YEAR($B31)=$B$2,YEAR(INDEX($B$5:$B$344,$A31+L$3-1))=$B$2),INDEX($B$5:$B$344,$A31+L$3)-INDEX($B$5:$B$344,$A31-1)-1,"")))</f>
        <v/>
      </c>
      <c r="M31" s="11">
        <f>IF(OR($A31=1,$B31="",$A31+M$3&gt;340),"",IF(INDEX($B$5:$B$344,$A31+M$3)="","",IF(AND(YEAR($B31)=$B$2,YEAR(INDEX($B$5:$B$344,$A31+M$3-1))=$B$2),INDEX($B$5:$B$344,$A31+M$3)-INDEX($B$5:$B$344,$A31-1)-1,"")))</f>
        <v/>
      </c>
    </row>
    <row r="32">
      <c r="A32" s="11" t="n">
        <v>28</v>
      </c>
      <c r="B32" s="10">
        <f>IFERROR(INDEX('2_暦'!$A$7:$A$433,MATCH(A32,'2_暦'!$K$7:$K$433,0)),"")</f>
        <v/>
      </c>
      <c r="C32" s="11">
        <f>IF(OR($A32=1,$B32=""),"",IF(OR(YEAR($B32-1)=$B$2,YEAR(INDEX($B$5:$B$344,$A32-1)+1)=$B$2),$B32-INDEX($B$5:$B$344,$A32-1)-1,""))</f>
        <v/>
      </c>
      <c r="D32" s="11">
        <f>IF(OR($A32=1,$B32="",$A32+D$3&gt;340),"",IF(INDEX($B$5:$B$344,$A32+D$3)="","",IF(AND(YEAR($B32)=$B$2,YEAR(INDEX($B$5:$B$344,$A32+D$3-1))=$B$2),INDEX($B$5:$B$344,$A32+D$3)-INDEX($B$5:$B$344,$A32-1)-1,"")))</f>
        <v/>
      </c>
      <c r="E32" s="11">
        <f>IF(OR($A32=1,$B32="",$A32+E$3&gt;340),"",IF(INDEX($B$5:$B$344,$A32+E$3)="","",IF(AND(YEAR($B32)=$B$2,YEAR(INDEX($B$5:$B$344,$A32+E$3-1))=$B$2),INDEX($B$5:$B$344,$A32+E$3)-INDEX($B$5:$B$344,$A32-1)-1,"")))</f>
        <v/>
      </c>
      <c r="F32" s="11">
        <f>IF(OR($A32=1,$B32="",$A32+F$3&gt;340),"",IF(INDEX($B$5:$B$344,$A32+F$3)="","",IF(AND(YEAR($B32)=$B$2,YEAR(INDEX($B$5:$B$344,$A32+F$3-1))=$B$2),INDEX($B$5:$B$344,$A32+F$3)-INDEX($B$5:$B$344,$A32-1)-1,"")))</f>
        <v/>
      </c>
      <c r="G32" s="11">
        <f>IF(OR($A32=1,$B32="",$A32+G$3&gt;340),"",IF(INDEX($B$5:$B$344,$A32+G$3)="","",IF(AND(YEAR($B32)=$B$2,YEAR(INDEX($B$5:$B$344,$A32+G$3-1))=$B$2),INDEX($B$5:$B$344,$A32+G$3)-INDEX($B$5:$B$344,$A32-1)-1,"")))</f>
        <v/>
      </c>
      <c r="H32" s="11">
        <f>IF(OR($A32=1,$B32="",$A32+H$3&gt;340),"",IF(INDEX($B$5:$B$344,$A32+H$3)="","",IF(AND(YEAR($B32)=$B$2,YEAR(INDEX($B$5:$B$344,$A32+H$3-1))=$B$2),INDEX($B$5:$B$344,$A32+H$3)-INDEX($B$5:$B$344,$A32-1)-1,"")))</f>
        <v/>
      </c>
      <c r="I32" s="11">
        <f>IF(OR($A32=1,$B32="",$A32+I$3&gt;340),"",IF(INDEX($B$5:$B$344,$A32+I$3)="","",IF(AND(YEAR($B32)=$B$2,YEAR(INDEX($B$5:$B$344,$A32+I$3-1))=$B$2),INDEX($B$5:$B$344,$A32+I$3)-INDEX($B$5:$B$344,$A32-1)-1,"")))</f>
        <v/>
      </c>
      <c r="J32" s="11">
        <f>IF(OR($A32=1,$B32="",$A32+J$3&gt;340),"",IF(INDEX($B$5:$B$344,$A32+J$3)="","",IF(AND(YEAR($B32)=$B$2,YEAR(INDEX($B$5:$B$344,$A32+J$3-1))=$B$2),INDEX($B$5:$B$344,$A32+J$3)-INDEX($B$5:$B$344,$A32-1)-1,"")))</f>
        <v/>
      </c>
      <c r="K32" s="11">
        <f>IF(OR($A32=1,$B32="",$A32+K$3&gt;340),"",IF(INDEX($B$5:$B$344,$A32+K$3)="","",IF(AND(YEAR($B32)=$B$2,YEAR(INDEX($B$5:$B$344,$A32+K$3-1))=$B$2),INDEX($B$5:$B$344,$A32+K$3)-INDEX($B$5:$B$344,$A32-1)-1,"")))</f>
        <v/>
      </c>
      <c r="L32" s="11">
        <f>IF(OR($A32=1,$B32="",$A32+L$3&gt;340),"",IF(INDEX($B$5:$B$344,$A32+L$3)="","",IF(AND(YEAR($B32)=$B$2,YEAR(INDEX($B$5:$B$344,$A32+L$3-1))=$B$2),INDEX($B$5:$B$344,$A32+L$3)-INDEX($B$5:$B$344,$A32-1)-1,"")))</f>
        <v/>
      </c>
      <c r="M32" s="11">
        <f>IF(OR($A32=1,$B32="",$A32+M$3&gt;340),"",IF(INDEX($B$5:$B$344,$A32+M$3)="","",IF(AND(YEAR($B32)=$B$2,YEAR(INDEX($B$5:$B$344,$A32+M$3-1))=$B$2),INDEX($B$5:$B$344,$A32+M$3)-INDEX($B$5:$B$344,$A32-1)-1,"")))</f>
        <v/>
      </c>
    </row>
    <row r="33">
      <c r="A33" s="11" t="n">
        <v>29</v>
      </c>
      <c r="B33" s="10">
        <f>IFERROR(INDEX('2_暦'!$A$7:$A$433,MATCH(A33,'2_暦'!$K$7:$K$433,0)),"")</f>
        <v/>
      </c>
      <c r="C33" s="11">
        <f>IF(OR($A33=1,$B33=""),"",IF(OR(YEAR($B33-1)=$B$2,YEAR(INDEX($B$5:$B$344,$A33-1)+1)=$B$2),$B33-INDEX($B$5:$B$344,$A33-1)-1,""))</f>
        <v/>
      </c>
      <c r="D33" s="11">
        <f>IF(OR($A33=1,$B33="",$A33+D$3&gt;340),"",IF(INDEX($B$5:$B$344,$A33+D$3)="","",IF(AND(YEAR($B33)=$B$2,YEAR(INDEX($B$5:$B$344,$A33+D$3-1))=$B$2),INDEX($B$5:$B$344,$A33+D$3)-INDEX($B$5:$B$344,$A33-1)-1,"")))</f>
        <v/>
      </c>
      <c r="E33" s="11">
        <f>IF(OR($A33=1,$B33="",$A33+E$3&gt;340),"",IF(INDEX($B$5:$B$344,$A33+E$3)="","",IF(AND(YEAR($B33)=$B$2,YEAR(INDEX($B$5:$B$344,$A33+E$3-1))=$B$2),INDEX($B$5:$B$344,$A33+E$3)-INDEX($B$5:$B$344,$A33-1)-1,"")))</f>
        <v/>
      </c>
      <c r="F33" s="11">
        <f>IF(OR($A33=1,$B33="",$A33+F$3&gt;340),"",IF(INDEX($B$5:$B$344,$A33+F$3)="","",IF(AND(YEAR($B33)=$B$2,YEAR(INDEX($B$5:$B$344,$A33+F$3-1))=$B$2),INDEX($B$5:$B$344,$A33+F$3)-INDEX($B$5:$B$344,$A33-1)-1,"")))</f>
        <v/>
      </c>
      <c r="G33" s="11">
        <f>IF(OR($A33=1,$B33="",$A33+G$3&gt;340),"",IF(INDEX($B$5:$B$344,$A33+G$3)="","",IF(AND(YEAR($B33)=$B$2,YEAR(INDEX($B$5:$B$344,$A33+G$3-1))=$B$2),INDEX($B$5:$B$344,$A33+G$3)-INDEX($B$5:$B$344,$A33-1)-1,"")))</f>
        <v/>
      </c>
      <c r="H33" s="11">
        <f>IF(OR($A33=1,$B33="",$A33+H$3&gt;340),"",IF(INDEX($B$5:$B$344,$A33+H$3)="","",IF(AND(YEAR($B33)=$B$2,YEAR(INDEX($B$5:$B$344,$A33+H$3-1))=$B$2),INDEX($B$5:$B$344,$A33+H$3)-INDEX($B$5:$B$344,$A33-1)-1,"")))</f>
        <v/>
      </c>
      <c r="I33" s="11">
        <f>IF(OR($A33=1,$B33="",$A33+I$3&gt;340),"",IF(INDEX($B$5:$B$344,$A33+I$3)="","",IF(AND(YEAR($B33)=$B$2,YEAR(INDEX($B$5:$B$344,$A33+I$3-1))=$B$2),INDEX($B$5:$B$344,$A33+I$3)-INDEX($B$5:$B$344,$A33-1)-1,"")))</f>
        <v/>
      </c>
      <c r="J33" s="11">
        <f>IF(OR($A33=1,$B33="",$A33+J$3&gt;340),"",IF(INDEX($B$5:$B$344,$A33+J$3)="","",IF(AND(YEAR($B33)=$B$2,YEAR(INDEX($B$5:$B$344,$A33+J$3-1))=$B$2),INDEX($B$5:$B$344,$A33+J$3)-INDEX($B$5:$B$344,$A33-1)-1,"")))</f>
        <v/>
      </c>
      <c r="K33" s="11">
        <f>IF(OR($A33=1,$B33="",$A33+K$3&gt;340),"",IF(INDEX($B$5:$B$344,$A33+K$3)="","",IF(AND(YEAR($B33)=$B$2,YEAR(INDEX($B$5:$B$344,$A33+K$3-1))=$B$2),INDEX($B$5:$B$344,$A33+K$3)-INDEX($B$5:$B$344,$A33-1)-1,"")))</f>
        <v/>
      </c>
      <c r="L33" s="11">
        <f>IF(OR($A33=1,$B33="",$A33+L$3&gt;340),"",IF(INDEX($B$5:$B$344,$A33+L$3)="","",IF(AND(YEAR($B33)=$B$2,YEAR(INDEX($B$5:$B$344,$A33+L$3-1))=$B$2),INDEX($B$5:$B$344,$A33+L$3)-INDEX($B$5:$B$344,$A33-1)-1,"")))</f>
        <v/>
      </c>
      <c r="M33" s="11">
        <f>IF(OR($A33=1,$B33="",$A33+M$3&gt;340),"",IF(INDEX($B$5:$B$344,$A33+M$3)="","",IF(AND(YEAR($B33)=$B$2,YEAR(INDEX($B$5:$B$344,$A33+M$3-1))=$B$2),INDEX($B$5:$B$344,$A33+M$3)-INDEX($B$5:$B$344,$A33-1)-1,"")))</f>
        <v/>
      </c>
    </row>
    <row r="34">
      <c r="A34" s="11" t="n">
        <v>30</v>
      </c>
      <c r="B34" s="10">
        <f>IFERROR(INDEX('2_暦'!$A$7:$A$433,MATCH(A34,'2_暦'!$K$7:$K$433,0)),"")</f>
        <v/>
      </c>
      <c r="C34" s="11">
        <f>IF(OR($A34=1,$B34=""),"",IF(OR(YEAR($B34-1)=$B$2,YEAR(INDEX($B$5:$B$344,$A34-1)+1)=$B$2),$B34-INDEX($B$5:$B$344,$A34-1)-1,""))</f>
        <v/>
      </c>
      <c r="D34" s="11">
        <f>IF(OR($A34=1,$B34="",$A34+D$3&gt;340),"",IF(INDEX($B$5:$B$344,$A34+D$3)="","",IF(AND(YEAR($B34)=$B$2,YEAR(INDEX($B$5:$B$344,$A34+D$3-1))=$B$2),INDEX($B$5:$B$344,$A34+D$3)-INDEX($B$5:$B$344,$A34-1)-1,"")))</f>
        <v/>
      </c>
      <c r="E34" s="11">
        <f>IF(OR($A34=1,$B34="",$A34+E$3&gt;340),"",IF(INDEX($B$5:$B$344,$A34+E$3)="","",IF(AND(YEAR($B34)=$B$2,YEAR(INDEX($B$5:$B$344,$A34+E$3-1))=$B$2),INDEX($B$5:$B$344,$A34+E$3)-INDEX($B$5:$B$344,$A34-1)-1,"")))</f>
        <v/>
      </c>
      <c r="F34" s="11">
        <f>IF(OR($A34=1,$B34="",$A34+F$3&gt;340),"",IF(INDEX($B$5:$B$344,$A34+F$3)="","",IF(AND(YEAR($B34)=$B$2,YEAR(INDEX($B$5:$B$344,$A34+F$3-1))=$B$2),INDEX($B$5:$B$344,$A34+F$3)-INDEX($B$5:$B$344,$A34-1)-1,"")))</f>
        <v/>
      </c>
      <c r="G34" s="11">
        <f>IF(OR($A34=1,$B34="",$A34+G$3&gt;340),"",IF(INDEX($B$5:$B$344,$A34+G$3)="","",IF(AND(YEAR($B34)=$B$2,YEAR(INDEX($B$5:$B$344,$A34+G$3-1))=$B$2),INDEX($B$5:$B$344,$A34+G$3)-INDEX($B$5:$B$344,$A34-1)-1,"")))</f>
        <v/>
      </c>
      <c r="H34" s="11">
        <f>IF(OR($A34=1,$B34="",$A34+H$3&gt;340),"",IF(INDEX($B$5:$B$344,$A34+H$3)="","",IF(AND(YEAR($B34)=$B$2,YEAR(INDEX($B$5:$B$344,$A34+H$3-1))=$B$2),INDEX($B$5:$B$344,$A34+H$3)-INDEX($B$5:$B$344,$A34-1)-1,"")))</f>
        <v/>
      </c>
      <c r="I34" s="11">
        <f>IF(OR($A34=1,$B34="",$A34+I$3&gt;340),"",IF(INDEX($B$5:$B$344,$A34+I$3)="","",IF(AND(YEAR($B34)=$B$2,YEAR(INDEX($B$5:$B$344,$A34+I$3-1))=$B$2),INDEX($B$5:$B$344,$A34+I$3)-INDEX($B$5:$B$344,$A34-1)-1,"")))</f>
        <v/>
      </c>
      <c r="J34" s="11">
        <f>IF(OR($A34=1,$B34="",$A34+J$3&gt;340),"",IF(INDEX($B$5:$B$344,$A34+J$3)="","",IF(AND(YEAR($B34)=$B$2,YEAR(INDEX($B$5:$B$344,$A34+J$3-1))=$B$2),INDEX($B$5:$B$344,$A34+J$3)-INDEX($B$5:$B$344,$A34-1)-1,"")))</f>
        <v/>
      </c>
      <c r="K34" s="11">
        <f>IF(OR($A34=1,$B34="",$A34+K$3&gt;340),"",IF(INDEX($B$5:$B$344,$A34+K$3)="","",IF(AND(YEAR($B34)=$B$2,YEAR(INDEX($B$5:$B$344,$A34+K$3-1))=$B$2),INDEX($B$5:$B$344,$A34+K$3)-INDEX($B$5:$B$344,$A34-1)-1,"")))</f>
        <v/>
      </c>
      <c r="L34" s="11">
        <f>IF(OR($A34=1,$B34="",$A34+L$3&gt;340),"",IF(INDEX($B$5:$B$344,$A34+L$3)="","",IF(AND(YEAR($B34)=$B$2,YEAR(INDEX($B$5:$B$344,$A34+L$3-1))=$B$2),INDEX($B$5:$B$344,$A34+L$3)-INDEX($B$5:$B$344,$A34-1)-1,"")))</f>
        <v/>
      </c>
      <c r="M34" s="11">
        <f>IF(OR($A34=1,$B34="",$A34+M$3&gt;340),"",IF(INDEX($B$5:$B$344,$A34+M$3)="","",IF(AND(YEAR($B34)=$B$2,YEAR(INDEX($B$5:$B$344,$A34+M$3-1))=$B$2),INDEX($B$5:$B$344,$A34+M$3)-INDEX($B$5:$B$344,$A34-1)-1,"")))</f>
        <v/>
      </c>
    </row>
    <row r="35">
      <c r="A35" s="11" t="n">
        <v>31</v>
      </c>
      <c r="B35" s="10">
        <f>IFERROR(INDEX('2_暦'!$A$7:$A$433,MATCH(A35,'2_暦'!$K$7:$K$433,0)),"")</f>
        <v/>
      </c>
      <c r="C35" s="11">
        <f>IF(OR($A35=1,$B35=""),"",IF(OR(YEAR($B35-1)=$B$2,YEAR(INDEX($B$5:$B$344,$A35-1)+1)=$B$2),$B35-INDEX($B$5:$B$344,$A35-1)-1,""))</f>
        <v/>
      </c>
      <c r="D35" s="11">
        <f>IF(OR($A35=1,$B35="",$A35+D$3&gt;340),"",IF(INDEX($B$5:$B$344,$A35+D$3)="","",IF(AND(YEAR($B35)=$B$2,YEAR(INDEX($B$5:$B$344,$A35+D$3-1))=$B$2),INDEX($B$5:$B$344,$A35+D$3)-INDEX($B$5:$B$344,$A35-1)-1,"")))</f>
        <v/>
      </c>
      <c r="E35" s="11">
        <f>IF(OR($A35=1,$B35="",$A35+E$3&gt;340),"",IF(INDEX($B$5:$B$344,$A35+E$3)="","",IF(AND(YEAR($B35)=$B$2,YEAR(INDEX($B$5:$B$344,$A35+E$3-1))=$B$2),INDEX($B$5:$B$344,$A35+E$3)-INDEX($B$5:$B$344,$A35-1)-1,"")))</f>
        <v/>
      </c>
      <c r="F35" s="11">
        <f>IF(OR($A35=1,$B35="",$A35+F$3&gt;340),"",IF(INDEX($B$5:$B$344,$A35+F$3)="","",IF(AND(YEAR($B35)=$B$2,YEAR(INDEX($B$5:$B$344,$A35+F$3-1))=$B$2),INDEX($B$5:$B$344,$A35+F$3)-INDEX($B$5:$B$344,$A35-1)-1,"")))</f>
        <v/>
      </c>
      <c r="G35" s="11">
        <f>IF(OR($A35=1,$B35="",$A35+G$3&gt;340),"",IF(INDEX($B$5:$B$344,$A35+G$3)="","",IF(AND(YEAR($B35)=$B$2,YEAR(INDEX($B$5:$B$344,$A35+G$3-1))=$B$2),INDEX($B$5:$B$344,$A35+G$3)-INDEX($B$5:$B$344,$A35-1)-1,"")))</f>
        <v/>
      </c>
      <c r="H35" s="11">
        <f>IF(OR($A35=1,$B35="",$A35+H$3&gt;340),"",IF(INDEX($B$5:$B$344,$A35+H$3)="","",IF(AND(YEAR($B35)=$B$2,YEAR(INDEX($B$5:$B$344,$A35+H$3-1))=$B$2),INDEX($B$5:$B$344,$A35+H$3)-INDEX($B$5:$B$344,$A35-1)-1,"")))</f>
        <v/>
      </c>
      <c r="I35" s="11">
        <f>IF(OR($A35=1,$B35="",$A35+I$3&gt;340),"",IF(INDEX($B$5:$B$344,$A35+I$3)="","",IF(AND(YEAR($B35)=$B$2,YEAR(INDEX($B$5:$B$344,$A35+I$3-1))=$B$2),INDEX($B$5:$B$344,$A35+I$3)-INDEX($B$5:$B$344,$A35-1)-1,"")))</f>
        <v/>
      </c>
      <c r="J35" s="11">
        <f>IF(OR($A35=1,$B35="",$A35+J$3&gt;340),"",IF(INDEX($B$5:$B$344,$A35+J$3)="","",IF(AND(YEAR($B35)=$B$2,YEAR(INDEX($B$5:$B$344,$A35+J$3-1))=$B$2),INDEX($B$5:$B$344,$A35+J$3)-INDEX($B$5:$B$344,$A35-1)-1,"")))</f>
        <v/>
      </c>
      <c r="K35" s="11">
        <f>IF(OR($A35=1,$B35="",$A35+K$3&gt;340),"",IF(INDEX($B$5:$B$344,$A35+K$3)="","",IF(AND(YEAR($B35)=$B$2,YEAR(INDEX($B$5:$B$344,$A35+K$3-1))=$B$2),INDEX($B$5:$B$344,$A35+K$3)-INDEX($B$5:$B$344,$A35-1)-1,"")))</f>
        <v/>
      </c>
      <c r="L35" s="11">
        <f>IF(OR($A35=1,$B35="",$A35+L$3&gt;340),"",IF(INDEX($B$5:$B$344,$A35+L$3)="","",IF(AND(YEAR($B35)=$B$2,YEAR(INDEX($B$5:$B$344,$A35+L$3-1))=$B$2),INDEX($B$5:$B$344,$A35+L$3)-INDEX($B$5:$B$344,$A35-1)-1,"")))</f>
        <v/>
      </c>
      <c r="M35" s="11">
        <f>IF(OR($A35=1,$B35="",$A35+M$3&gt;340),"",IF(INDEX($B$5:$B$344,$A35+M$3)="","",IF(AND(YEAR($B35)=$B$2,YEAR(INDEX($B$5:$B$344,$A35+M$3-1))=$B$2),INDEX($B$5:$B$344,$A35+M$3)-INDEX($B$5:$B$344,$A35-1)-1,"")))</f>
        <v/>
      </c>
    </row>
    <row r="36">
      <c r="A36" s="11" t="n">
        <v>32</v>
      </c>
      <c r="B36" s="10">
        <f>IFERROR(INDEX('2_暦'!$A$7:$A$433,MATCH(A36,'2_暦'!$K$7:$K$433,0)),"")</f>
        <v/>
      </c>
      <c r="C36" s="11">
        <f>IF(OR($A36=1,$B36=""),"",IF(OR(YEAR($B36-1)=$B$2,YEAR(INDEX($B$5:$B$344,$A36-1)+1)=$B$2),$B36-INDEX($B$5:$B$344,$A36-1)-1,""))</f>
        <v/>
      </c>
      <c r="D36" s="11">
        <f>IF(OR($A36=1,$B36="",$A36+D$3&gt;340),"",IF(INDEX($B$5:$B$344,$A36+D$3)="","",IF(AND(YEAR($B36)=$B$2,YEAR(INDEX($B$5:$B$344,$A36+D$3-1))=$B$2),INDEX($B$5:$B$344,$A36+D$3)-INDEX($B$5:$B$344,$A36-1)-1,"")))</f>
        <v/>
      </c>
      <c r="E36" s="11">
        <f>IF(OR($A36=1,$B36="",$A36+E$3&gt;340),"",IF(INDEX($B$5:$B$344,$A36+E$3)="","",IF(AND(YEAR($B36)=$B$2,YEAR(INDEX($B$5:$B$344,$A36+E$3-1))=$B$2),INDEX($B$5:$B$344,$A36+E$3)-INDEX($B$5:$B$344,$A36-1)-1,"")))</f>
        <v/>
      </c>
      <c r="F36" s="11">
        <f>IF(OR($A36=1,$B36="",$A36+F$3&gt;340),"",IF(INDEX($B$5:$B$344,$A36+F$3)="","",IF(AND(YEAR($B36)=$B$2,YEAR(INDEX($B$5:$B$344,$A36+F$3-1))=$B$2),INDEX($B$5:$B$344,$A36+F$3)-INDEX($B$5:$B$344,$A36-1)-1,"")))</f>
        <v/>
      </c>
      <c r="G36" s="11">
        <f>IF(OR($A36=1,$B36="",$A36+G$3&gt;340),"",IF(INDEX($B$5:$B$344,$A36+G$3)="","",IF(AND(YEAR($B36)=$B$2,YEAR(INDEX($B$5:$B$344,$A36+G$3-1))=$B$2),INDEX($B$5:$B$344,$A36+G$3)-INDEX($B$5:$B$344,$A36-1)-1,"")))</f>
        <v/>
      </c>
      <c r="H36" s="11">
        <f>IF(OR($A36=1,$B36="",$A36+H$3&gt;340),"",IF(INDEX($B$5:$B$344,$A36+H$3)="","",IF(AND(YEAR($B36)=$B$2,YEAR(INDEX($B$5:$B$344,$A36+H$3-1))=$B$2),INDEX($B$5:$B$344,$A36+H$3)-INDEX($B$5:$B$344,$A36-1)-1,"")))</f>
        <v/>
      </c>
      <c r="I36" s="11">
        <f>IF(OR($A36=1,$B36="",$A36+I$3&gt;340),"",IF(INDEX($B$5:$B$344,$A36+I$3)="","",IF(AND(YEAR($B36)=$B$2,YEAR(INDEX($B$5:$B$344,$A36+I$3-1))=$B$2),INDEX($B$5:$B$344,$A36+I$3)-INDEX($B$5:$B$344,$A36-1)-1,"")))</f>
        <v/>
      </c>
      <c r="J36" s="11">
        <f>IF(OR($A36=1,$B36="",$A36+J$3&gt;340),"",IF(INDEX($B$5:$B$344,$A36+J$3)="","",IF(AND(YEAR($B36)=$B$2,YEAR(INDEX($B$5:$B$344,$A36+J$3-1))=$B$2),INDEX($B$5:$B$344,$A36+J$3)-INDEX($B$5:$B$344,$A36-1)-1,"")))</f>
        <v/>
      </c>
      <c r="K36" s="11">
        <f>IF(OR($A36=1,$B36="",$A36+K$3&gt;340),"",IF(INDEX($B$5:$B$344,$A36+K$3)="","",IF(AND(YEAR($B36)=$B$2,YEAR(INDEX($B$5:$B$344,$A36+K$3-1))=$B$2),INDEX($B$5:$B$344,$A36+K$3)-INDEX($B$5:$B$344,$A36-1)-1,"")))</f>
        <v/>
      </c>
      <c r="L36" s="11">
        <f>IF(OR($A36=1,$B36="",$A36+L$3&gt;340),"",IF(INDEX($B$5:$B$344,$A36+L$3)="","",IF(AND(YEAR($B36)=$B$2,YEAR(INDEX($B$5:$B$344,$A36+L$3-1))=$B$2),INDEX($B$5:$B$344,$A36+L$3)-INDEX($B$5:$B$344,$A36-1)-1,"")))</f>
        <v/>
      </c>
      <c r="M36" s="11">
        <f>IF(OR($A36=1,$B36="",$A36+M$3&gt;340),"",IF(INDEX($B$5:$B$344,$A36+M$3)="","",IF(AND(YEAR($B36)=$B$2,YEAR(INDEX($B$5:$B$344,$A36+M$3-1))=$B$2),INDEX($B$5:$B$344,$A36+M$3)-INDEX($B$5:$B$344,$A36-1)-1,"")))</f>
        <v/>
      </c>
    </row>
    <row r="37">
      <c r="A37" s="11" t="n">
        <v>33</v>
      </c>
      <c r="B37" s="10">
        <f>IFERROR(INDEX('2_暦'!$A$7:$A$433,MATCH(A37,'2_暦'!$K$7:$K$433,0)),"")</f>
        <v/>
      </c>
      <c r="C37" s="11">
        <f>IF(OR($A37=1,$B37=""),"",IF(OR(YEAR($B37-1)=$B$2,YEAR(INDEX($B$5:$B$344,$A37-1)+1)=$B$2),$B37-INDEX($B$5:$B$344,$A37-1)-1,""))</f>
        <v/>
      </c>
      <c r="D37" s="11">
        <f>IF(OR($A37=1,$B37="",$A37+D$3&gt;340),"",IF(INDEX($B$5:$B$344,$A37+D$3)="","",IF(AND(YEAR($B37)=$B$2,YEAR(INDEX($B$5:$B$344,$A37+D$3-1))=$B$2),INDEX($B$5:$B$344,$A37+D$3)-INDEX($B$5:$B$344,$A37-1)-1,"")))</f>
        <v/>
      </c>
      <c r="E37" s="11">
        <f>IF(OR($A37=1,$B37="",$A37+E$3&gt;340),"",IF(INDEX($B$5:$B$344,$A37+E$3)="","",IF(AND(YEAR($B37)=$B$2,YEAR(INDEX($B$5:$B$344,$A37+E$3-1))=$B$2),INDEX($B$5:$B$344,$A37+E$3)-INDEX($B$5:$B$344,$A37-1)-1,"")))</f>
        <v/>
      </c>
      <c r="F37" s="11">
        <f>IF(OR($A37=1,$B37="",$A37+F$3&gt;340),"",IF(INDEX($B$5:$B$344,$A37+F$3)="","",IF(AND(YEAR($B37)=$B$2,YEAR(INDEX($B$5:$B$344,$A37+F$3-1))=$B$2),INDEX($B$5:$B$344,$A37+F$3)-INDEX($B$5:$B$344,$A37-1)-1,"")))</f>
        <v/>
      </c>
      <c r="G37" s="11">
        <f>IF(OR($A37=1,$B37="",$A37+G$3&gt;340),"",IF(INDEX($B$5:$B$344,$A37+G$3)="","",IF(AND(YEAR($B37)=$B$2,YEAR(INDEX($B$5:$B$344,$A37+G$3-1))=$B$2),INDEX($B$5:$B$344,$A37+G$3)-INDEX($B$5:$B$344,$A37-1)-1,"")))</f>
        <v/>
      </c>
      <c r="H37" s="11">
        <f>IF(OR($A37=1,$B37="",$A37+H$3&gt;340),"",IF(INDEX($B$5:$B$344,$A37+H$3)="","",IF(AND(YEAR($B37)=$B$2,YEAR(INDEX($B$5:$B$344,$A37+H$3-1))=$B$2),INDEX($B$5:$B$344,$A37+H$3)-INDEX($B$5:$B$344,$A37-1)-1,"")))</f>
        <v/>
      </c>
      <c r="I37" s="11">
        <f>IF(OR($A37=1,$B37="",$A37+I$3&gt;340),"",IF(INDEX($B$5:$B$344,$A37+I$3)="","",IF(AND(YEAR($B37)=$B$2,YEAR(INDEX($B$5:$B$344,$A37+I$3-1))=$B$2),INDEX($B$5:$B$344,$A37+I$3)-INDEX($B$5:$B$344,$A37-1)-1,"")))</f>
        <v/>
      </c>
      <c r="J37" s="11">
        <f>IF(OR($A37=1,$B37="",$A37+J$3&gt;340),"",IF(INDEX($B$5:$B$344,$A37+J$3)="","",IF(AND(YEAR($B37)=$B$2,YEAR(INDEX($B$5:$B$344,$A37+J$3-1))=$B$2),INDEX($B$5:$B$344,$A37+J$3)-INDEX($B$5:$B$344,$A37-1)-1,"")))</f>
        <v/>
      </c>
      <c r="K37" s="11">
        <f>IF(OR($A37=1,$B37="",$A37+K$3&gt;340),"",IF(INDEX($B$5:$B$344,$A37+K$3)="","",IF(AND(YEAR($B37)=$B$2,YEAR(INDEX($B$5:$B$344,$A37+K$3-1))=$B$2),INDEX($B$5:$B$344,$A37+K$3)-INDEX($B$5:$B$344,$A37-1)-1,"")))</f>
        <v/>
      </c>
      <c r="L37" s="11">
        <f>IF(OR($A37=1,$B37="",$A37+L$3&gt;340),"",IF(INDEX($B$5:$B$344,$A37+L$3)="","",IF(AND(YEAR($B37)=$B$2,YEAR(INDEX($B$5:$B$344,$A37+L$3-1))=$B$2),INDEX($B$5:$B$344,$A37+L$3)-INDEX($B$5:$B$344,$A37-1)-1,"")))</f>
        <v/>
      </c>
      <c r="M37" s="11">
        <f>IF(OR($A37=1,$B37="",$A37+M$3&gt;340),"",IF(INDEX($B$5:$B$344,$A37+M$3)="","",IF(AND(YEAR($B37)=$B$2,YEAR(INDEX($B$5:$B$344,$A37+M$3-1))=$B$2),INDEX($B$5:$B$344,$A37+M$3)-INDEX($B$5:$B$344,$A37-1)-1,"")))</f>
        <v/>
      </c>
    </row>
    <row r="38">
      <c r="A38" s="11" t="n">
        <v>34</v>
      </c>
      <c r="B38" s="10">
        <f>IFERROR(INDEX('2_暦'!$A$7:$A$433,MATCH(A38,'2_暦'!$K$7:$K$433,0)),"")</f>
        <v/>
      </c>
      <c r="C38" s="11">
        <f>IF(OR($A38=1,$B38=""),"",IF(OR(YEAR($B38-1)=$B$2,YEAR(INDEX($B$5:$B$344,$A38-1)+1)=$B$2),$B38-INDEX($B$5:$B$344,$A38-1)-1,""))</f>
        <v/>
      </c>
      <c r="D38" s="11">
        <f>IF(OR($A38=1,$B38="",$A38+D$3&gt;340),"",IF(INDEX($B$5:$B$344,$A38+D$3)="","",IF(AND(YEAR($B38)=$B$2,YEAR(INDEX($B$5:$B$344,$A38+D$3-1))=$B$2),INDEX($B$5:$B$344,$A38+D$3)-INDEX($B$5:$B$344,$A38-1)-1,"")))</f>
        <v/>
      </c>
      <c r="E38" s="11">
        <f>IF(OR($A38=1,$B38="",$A38+E$3&gt;340),"",IF(INDEX($B$5:$B$344,$A38+E$3)="","",IF(AND(YEAR($B38)=$B$2,YEAR(INDEX($B$5:$B$344,$A38+E$3-1))=$B$2),INDEX($B$5:$B$344,$A38+E$3)-INDEX($B$5:$B$344,$A38-1)-1,"")))</f>
        <v/>
      </c>
      <c r="F38" s="11">
        <f>IF(OR($A38=1,$B38="",$A38+F$3&gt;340),"",IF(INDEX($B$5:$B$344,$A38+F$3)="","",IF(AND(YEAR($B38)=$B$2,YEAR(INDEX($B$5:$B$344,$A38+F$3-1))=$B$2),INDEX($B$5:$B$344,$A38+F$3)-INDEX($B$5:$B$344,$A38-1)-1,"")))</f>
        <v/>
      </c>
      <c r="G38" s="11">
        <f>IF(OR($A38=1,$B38="",$A38+G$3&gt;340),"",IF(INDEX($B$5:$B$344,$A38+G$3)="","",IF(AND(YEAR($B38)=$B$2,YEAR(INDEX($B$5:$B$344,$A38+G$3-1))=$B$2),INDEX($B$5:$B$344,$A38+G$3)-INDEX($B$5:$B$344,$A38-1)-1,"")))</f>
        <v/>
      </c>
      <c r="H38" s="11">
        <f>IF(OR($A38=1,$B38="",$A38+H$3&gt;340),"",IF(INDEX($B$5:$B$344,$A38+H$3)="","",IF(AND(YEAR($B38)=$B$2,YEAR(INDEX($B$5:$B$344,$A38+H$3-1))=$B$2),INDEX($B$5:$B$344,$A38+H$3)-INDEX($B$5:$B$344,$A38-1)-1,"")))</f>
        <v/>
      </c>
      <c r="I38" s="11">
        <f>IF(OR($A38=1,$B38="",$A38+I$3&gt;340),"",IF(INDEX($B$5:$B$344,$A38+I$3)="","",IF(AND(YEAR($B38)=$B$2,YEAR(INDEX($B$5:$B$344,$A38+I$3-1))=$B$2),INDEX($B$5:$B$344,$A38+I$3)-INDEX($B$5:$B$344,$A38-1)-1,"")))</f>
        <v/>
      </c>
      <c r="J38" s="11">
        <f>IF(OR($A38=1,$B38="",$A38+J$3&gt;340),"",IF(INDEX($B$5:$B$344,$A38+J$3)="","",IF(AND(YEAR($B38)=$B$2,YEAR(INDEX($B$5:$B$344,$A38+J$3-1))=$B$2),INDEX($B$5:$B$344,$A38+J$3)-INDEX($B$5:$B$344,$A38-1)-1,"")))</f>
        <v/>
      </c>
      <c r="K38" s="11">
        <f>IF(OR($A38=1,$B38="",$A38+K$3&gt;340),"",IF(INDEX($B$5:$B$344,$A38+K$3)="","",IF(AND(YEAR($B38)=$B$2,YEAR(INDEX($B$5:$B$344,$A38+K$3-1))=$B$2),INDEX($B$5:$B$344,$A38+K$3)-INDEX($B$5:$B$344,$A38-1)-1,"")))</f>
        <v/>
      </c>
      <c r="L38" s="11">
        <f>IF(OR($A38=1,$B38="",$A38+L$3&gt;340),"",IF(INDEX($B$5:$B$344,$A38+L$3)="","",IF(AND(YEAR($B38)=$B$2,YEAR(INDEX($B$5:$B$344,$A38+L$3-1))=$B$2),INDEX($B$5:$B$344,$A38+L$3)-INDEX($B$5:$B$344,$A38-1)-1,"")))</f>
        <v/>
      </c>
      <c r="M38" s="11">
        <f>IF(OR($A38=1,$B38="",$A38+M$3&gt;340),"",IF(INDEX($B$5:$B$344,$A38+M$3)="","",IF(AND(YEAR($B38)=$B$2,YEAR(INDEX($B$5:$B$344,$A38+M$3-1))=$B$2),INDEX($B$5:$B$344,$A38+M$3)-INDEX($B$5:$B$344,$A38-1)-1,"")))</f>
        <v/>
      </c>
    </row>
    <row r="39">
      <c r="A39" s="11" t="n">
        <v>35</v>
      </c>
      <c r="B39" s="10">
        <f>IFERROR(INDEX('2_暦'!$A$7:$A$433,MATCH(A39,'2_暦'!$K$7:$K$433,0)),"")</f>
        <v/>
      </c>
      <c r="C39" s="11">
        <f>IF(OR($A39=1,$B39=""),"",IF(OR(YEAR($B39-1)=$B$2,YEAR(INDEX($B$5:$B$344,$A39-1)+1)=$B$2),$B39-INDEX($B$5:$B$344,$A39-1)-1,""))</f>
        <v/>
      </c>
      <c r="D39" s="11">
        <f>IF(OR($A39=1,$B39="",$A39+D$3&gt;340),"",IF(INDEX($B$5:$B$344,$A39+D$3)="","",IF(AND(YEAR($B39)=$B$2,YEAR(INDEX($B$5:$B$344,$A39+D$3-1))=$B$2),INDEX($B$5:$B$344,$A39+D$3)-INDEX($B$5:$B$344,$A39-1)-1,"")))</f>
        <v/>
      </c>
      <c r="E39" s="11">
        <f>IF(OR($A39=1,$B39="",$A39+E$3&gt;340),"",IF(INDEX($B$5:$B$344,$A39+E$3)="","",IF(AND(YEAR($B39)=$B$2,YEAR(INDEX($B$5:$B$344,$A39+E$3-1))=$B$2),INDEX($B$5:$B$344,$A39+E$3)-INDEX($B$5:$B$344,$A39-1)-1,"")))</f>
        <v/>
      </c>
      <c r="F39" s="11">
        <f>IF(OR($A39=1,$B39="",$A39+F$3&gt;340),"",IF(INDEX($B$5:$B$344,$A39+F$3)="","",IF(AND(YEAR($B39)=$B$2,YEAR(INDEX($B$5:$B$344,$A39+F$3-1))=$B$2),INDEX($B$5:$B$344,$A39+F$3)-INDEX($B$5:$B$344,$A39-1)-1,"")))</f>
        <v/>
      </c>
      <c r="G39" s="11">
        <f>IF(OR($A39=1,$B39="",$A39+G$3&gt;340),"",IF(INDEX($B$5:$B$344,$A39+G$3)="","",IF(AND(YEAR($B39)=$B$2,YEAR(INDEX($B$5:$B$344,$A39+G$3-1))=$B$2),INDEX($B$5:$B$344,$A39+G$3)-INDEX($B$5:$B$344,$A39-1)-1,"")))</f>
        <v/>
      </c>
      <c r="H39" s="11">
        <f>IF(OR($A39=1,$B39="",$A39+H$3&gt;340),"",IF(INDEX($B$5:$B$344,$A39+H$3)="","",IF(AND(YEAR($B39)=$B$2,YEAR(INDEX($B$5:$B$344,$A39+H$3-1))=$B$2),INDEX($B$5:$B$344,$A39+H$3)-INDEX($B$5:$B$344,$A39-1)-1,"")))</f>
        <v/>
      </c>
      <c r="I39" s="11">
        <f>IF(OR($A39=1,$B39="",$A39+I$3&gt;340),"",IF(INDEX($B$5:$B$344,$A39+I$3)="","",IF(AND(YEAR($B39)=$B$2,YEAR(INDEX($B$5:$B$344,$A39+I$3-1))=$B$2),INDEX($B$5:$B$344,$A39+I$3)-INDEX($B$5:$B$344,$A39-1)-1,"")))</f>
        <v/>
      </c>
      <c r="J39" s="11">
        <f>IF(OR($A39=1,$B39="",$A39+J$3&gt;340),"",IF(INDEX($B$5:$B$344,$A39+J$3)="","",IF(AND(YEAR($B39)=$B$2,YEAR(INDEX($B$5:$B$344,$A39+J$3-1))=$B$2),INDEX($B$5:$B$344,$A39+J$3)-INDEX($B$5:$B$344,$A39-1)-1,"")))</f>
        <v/>
      </c>
      <c r="K39" s="11">
        <f>IF(OR($A39=1,$B39="",$A39+K$3&gt;340),"",IF(INDEX($B$5:$B$344,$A39+K$3)="","",IF(AND(YEAR($B39)=$B$2,YEAR(INDEX($B$5:$B$344,$A39+K$3-1))=$B$2),INDEX($B$5:$B$344,$A39+K$3)-INDEX($B$5:$B$344,$A39-1)-1,"")))</f>
        <v/>
      </c>
      <c r="L39" s="11">
        <f>IF(OR($A39=1,$B39="",$A39+L$3&gt;340),"",IF(INDEX($B$5:$B$344,$A39+L$3)="","",IF(AND(YEAR($B39)=$B$2,YEAR(INDEX($B$5:$B$344,$A39+L$3-1))=$B$2),INDEX($B$5:$B$344,$A39+L$3)-INDEX($B$5:$B$344,$A39-1)-1,"")))</f>
        <v/>
      </c>
      <c r="M39" s="11">
        <f>IF(OR($A39=1,$B39="",$A39+M$3&gt;340),"",IF(INDEX($B$5:$B$344,$A39+M$3)="","",IF(AND(YEAR($B39)=$B$2,YEAR(INDEX($B$5:$B$344,$A39+M$3-1))=$B$2),INDEX($B$5:$B$344,$A39+M$3)-INDEX($B$5:$B$344,$A39-1)-1,"")))</f>
        <v/>
      </c>
    </row>
    <row r="40">
      <c r="A40" s="11" t="n">
        <v>36</v>
      </c>
      <c r="B40" s="10">
        <f>IFERROR(INDEX('2_暦'!$A$7:$A$433,MATCH(A40,'2_暦'!$K$7:$K$433,0)),"")</f>
        <v/>
      </c>
      <c r="C40" s="11">
        <f>IF(OR($A40=1,$B40=""),"",IF(OR(YEAR($B40-1)=$B$2,YEAR(INDEX($B$5:$B$344,$A40-1)+1)=$B$2),$B40-INDEX($B$5:$B$344,$A40-1)-1,""))</f>
        <v/>
      </c>
      <c r="D40" s="11">
        <f>IF(OR($A40=1,$B40="",$A40+D$3&gt;340),"",IF(INDEX($B$5:$B$344,$A40+D$3)="","",IF(AND(YEAR($B40)=$B$2,YEAR(INDEX($B$5:$B$344,$A40+D$3-1))=$B$2),INDEX($B$5:$B$344,$A40+D$3)-INDEX($B$5:$B$344,$A40-1)-1,"")))</f>
        <v/>
      </c>
      <c r="E40" s="11">
        <f>IF(OR($A40=1,$B40="",$A40+E$3&gt;340),"",IF(INDEX($B$5:$B$344,$A40+E$3)="","",IF(AND(YEAR($B40)=$B$2,YEAR(INDEX($B$5:$B$344,$A40+E$3-1))=$B$2),INDEX($B$5:$B$344,$A40+E$3)-INDEX($B$5:$B$344,$A40-1)-1,"")))</f>
        <v/>
      </c>
      <c r="F40" s="11">
        <f>IF(OR($A40=1,$B40="",$A40+F$3&gt;340),"",IF(INDEX($B$5:$B$344,$A40+F$3)="","",IF(AND(YEAR($B40)=$B$2,YEAR(INDEX($B$5:$B$344,$A40+F$3-1))=$B$2),INDEX($B$5:$B$344,$A40+F$3)-INDEX($B$5:$B$344,$A40-1)-1,"")))</f>
        <v/>
      </c>
      <c r="G40" s="11">
        <f>IF(OR($A40=1,$B40="",$A40+G$3&gt;340),"",IF(INDEX($B$5:$B$344,$A40+G$3)="","",IF(AND(YEAR($B40)=$B$2,YEAR(INDEX($B$5:$B$344,$A40+G$3-1))=$B$2),INDEX($B$5:$B$344,$A40+G$3)-INDEX($B$5:$B$344,$A40-1)-1,"")))</f>
        <v/>
      </c>
      <c r="H40" s="11">
        <f>IF(OR($A40=1,$B40="",$A40+H$3&gt;340),"",IF(INDEX($B$5:$B$344,$A40+H$3)="","",IF(AND(YEAR($B40)=$B$2,YEAR(INDEX($B$5:$B$344,$A40+H$3-1))=$B$2),INDEX($B$5:$B$344,$A40+H$3)-INDEX($B$5:$B$344,$A40-1)-1,"")))</f>
        <v/>
      </c>
      <c r="I40" s="11">
        <f>IF(OR($A40=1,$B40="",$A40+I$3&gt;340),"",IF(INDEX($B$5:$B$344,$A40+I$3)="","",IF(AND(YEAR($B40)=$B$2,YEAR(INDEX($B$5:$B$344,$A40+I$3-1))=$B$2),INDEX($B$5:$B$344,$A40+I$3)-INDEX($B$5:$B$344,$A40-1)-1,"")))</f>
        <v/>
      </c>
      <c r="J40" s="11">
        <f>IF(OR($A40=1,$B40="",$A40+J$3&gt;340),"",IF(INDEX($B$5:$B$344,$A40+J$3)="","",IF(AND(YEAR($B40)=$B$2,YEAR(INDEX($B$5:$B$344,$A40+J$3-1))=$B$2),INDEX($B$5:$B$344,$A40+J$3)-INDEX($B$5:$B$344,$A40-1)-1,"")))</f>
        <v/>
      </c>
      <c r="K40" s="11">
        <f>IF(OR($A40=1,$B40="",$A40+K$3&gt;340),"",IF(INDEX($B$5:$B$344,$A40+K$3)="","",IF(AND(YEAR($B40)=$B$2,YEAR(INDEX($B$5:$B$344,$A40+K$3-1))=$B$2),INDEX($B$5:$B$344,$A40+K$3)-INDEX($B$5:$B$344,$A40-1)-1,"")))</f>
        <v/>
      </c>
      <c r="L40" s="11">
        <f>IF(OR($A40=1,$B40="",$A40+L$3&gt;340),"",IF(INDEX($B$5:$B$344,$A40+L$3)="","",IF(AND(YEAR($B40)=$B$2,YEAR(INDEX($B$5:$B$344,$A40+L$3-1))=$B$2),INDEX($B$5:$B$344,$A40+L$3)-INDEX($B$5:$B$344,$A40-1)-1,"")))</f>
        <v/>
      </c>
      <c r="M40" s="11">
        <f>IF(OR($A40=1,$B40="",$A40+M$3&gt;340),"",IF(INDEX($B$5:$B$344,$A40+M$3)="","",IF(AND(YEAR($B40)=$B$2,YEAR(INDEX($B$5:$B$344,$A40+M$3-1))=$B$2),INDEX($B$5:$B$344,$A40+M$3)-INDEX($B$5:$B$344,$A40-1)-1,"")))</f>
        <v/>
      </c>
    </row>
    <row r="41">
      <c r="A41" s="11" t="n">
        <v>37</v>
      </c>
      <c r="B41" s="10">
        <f>IFERROR(INDEX('2_暦'!$A$7:$A$433,MATCH(A41,'2_暦'!$K$7:$K$433,0)),"")</f>
        <v/>
      </c>
      <c r="C41" s="11">
        <f>IF(OR($A41=1,$B41=""),"",IF(OR(YEAR($B41-1)=$B$2,YEAR(INDEX($B$5:$B$344,$A41-1)+1)=$B$2),$B41-INDEX($B$5:$B$344,$A41-1)-1,""))</f>
        <v/>
      </c>
      <c r="D41" s="11">
        <f>IF(OR($A41=1,$B41="",$A41+D$3&gt;340),"",IF(INDEX($B$5:$B$344,$A41+D$3)="","",IF(AND(YEAR($B41)=$B$2,YEAR(INDEX($B$5:$B$344,$A41+D$3-1))=$B$2),INDEX($B$5:$B$344,$A41+D$3)-INDEX($B$5:$B$344,$A41-1)-1,"")))</f>
        <v/>
      </c>
      <c r="E41" s="11">
        <f>IF(OR($A41=1,$B41="",$A41+E$3&gt;340),"",IF(INDEX($B$5:$B$344,$A41+E$3)="","",IF(AND(YEAR($B41)=$B$2,YEAR(INDEX($B$5:$B$344,$A41+E$3-1))=$B$2),INDEX($B$5:$B$344,$A41+E$3)-INDEX($B$5:$B$344,$A41-1)-1,"")))</f>
        <v/>
      </c>
      <c r="F41" s="11">
        <f>IF(OR($A41=1,$B41="",$A41+F$3&gt;340),"",IF(INDEX($B$5:$B$344,$A41+F$3)="","",IF(AND(YEAR($B41)=$B$2,YEAR(INDEX($B$5:$B$344,$A41+F$3-1))=$B$2),INDEX($B$5:$B$344,$A41+F$3)-INDEX($B$5:$B$344,$A41-1)-1,"")))</f>
        <v/>
      </c>
      <c r="G41" s="11">
        <f>IF(OR($A41=1,$B41="",$A41+G$3&gt;340),"",IF(INDEX($B$5:$B$344,$A41+G$3)="","",IF(AND(YEAR($B41)=$B$2,YEAR(INDEX($B$5:$B$344,$A41+G$3-1))=$B$2),INDEX($B$5:$B$344,$A41+G$3)-INDEX($B$5:$B$344,$A41-1)-1,"")))</f>
        <v/>
      </c>
      <c r="H41" s="11">
        <f>IF(OR($A41=1,$B41="",$A41+H$3&gt;340),"",IF(INDEX($B$5:$B$344,$A41+H$3)="","",IF(AND(YEAR($B41)=$B$2,YEAR(INDEX($B$5:$B$344,$A41+H$3-1))=$B$2),INDEX($B$5:$B$344,$A41+H$3)-INDEX($B$5:$B$344,$A41-1)-1,"")))</f>
        <v/>
      </c>
      <c r="I41" s="11">
        <f>IF(OR($A41=1,$B41="",$A41+I$3&gt;340),"",IF(INDEX($B$5:$B$344,$A41+I$3)="","",IF(AND(YEAR($B41)=$B$2,YEAR(INDEX($B$5:$B$344,$A41+I$3-1))=$B$2),INDEX($B$5:$B$344,$A41+I$3)-INDEX($B$5:$B$344,$A41-1)-1,"")))</f>
        <v/>
      </c>
      <c r="J41" s="11">
        <f>IF(OR($A41=1,$B41="",$A41+J$3&gt;340),"",IF(INDEX($B$5:$B$344,$A41+J$3)="","",IF(AND(YEAR($B41)=$B$2,YEAR(INDEX($B$5:$B$344,$A41+J$3-1))=$B$2),INDEX($B$5:$B$344,$A41+J$3)-INDEX($B$5:$B$344,$A41-1)-1,"")))</f>
        <v/>
      </c>
      <c r="K41" s="11">
        <f>IF(OR($A41=1,$B41="",$A41+K$3&gt;340),"",IF(INDEX($B$5:$B$344,$A41+K$3)="","",IF(AND(YEAR($B41)=$B$2,YEAR(INDEX($B$5:$B$344,$A41+K$3-1))=$B$2),INDEX($B$5:$B$344,$A41+K$3)-INDEX($B$5:$B$344,$A41-1)-1,"")))</f>
        <v/>
      </c>
      <c r="L41" s="11">
        <f>IF(OR($A41=1,$B41="",$A41+L$3&gt;340),"",IF(INDEX($B$5:$B$344,$A41+L$3)="","",IF(AND(YEAR($B41)=$B$2,YEAR(INDEX($B$5:$B$344,$A41+L$3-1))=$B$2),INDEX($B$5:$B$344,$A41+L$3)-INDEX($B$5:$B$344,$A41-1)-1,"")))</f>
        <v/>
      </c>
      <c r="M41" s="11">
        <f>IF(OR($A41=1,$B41="",$A41+M$3&gt;340),"",IF(INDEX($B$5:$B$344,$A41+M$3)="","",IF(AND(YEAR($B41)=$B$2,YEAR(INDEX($B$5:$B$344,$A41+M$3-1))=$B$2),INDEX($B$5:$B$344,$A41+M$3)-INDEX($B$5:$B$344,$A41-1)-1,"")))</f>
        <v/>
      </c>
    </row>
    <row r="42">
      <c r="A42" s="11" t="n">
        <v>38</v>
      </c>
      <c r="B42" s="10">
        <f>IFERROR(INDEX('2_暦'!$A$7:$A$433,MATCH(A42,'2_暦'!$K$7:$K$433,0)),"")</f>
        <v/>
      </c>
      <c r="C42" s="11">
        <f>IF(OR($A42=1,$B42=""),"",IF(OR(YEAR($B42-1)=$B$2,YEAR(INDEX($B$5:$B$344,$A42-1)+1)=$B$2),$B42-INDEX($B$5:$B$344,$A42-1)-1,""))</f>
        <v/>
      </c>
      <c r="D42" s="11">
        <f>IF(OR($A42=1,$B42="",$A42+D$3&gt;340),"",IF(INDEX($B$5:$B$344,$A42+D$3)="","",IF(AND(YEAR($B42)=$B$2,YEAR(INDEX($B$5:$B$344,$A42+D$3-1))=$B$2),INDEX($B$5:$B$344,$A42+D$3)-INDEX($B$5:$B$344,$A42-1)-1,"")))</f>
        <v/>
      </c>
      <c r="E42" s="11">
        <f>IF(OR($A42=1,$B42="",$A42+E$3&gt;340),"",IF(INDEX($B$5:$B$344,$A42+E$3)="","",IF(AND(YEAR($B42)=$B$2,YEAR(INDEX($B$5:$B$344,$A42+E$3-1))=$B$2),INDEX($B$5:$B$344,$A42+E$3)-INDEX($B$5:$B$344,$A42-1)-1,"")))</f>
        <v/>
      </c>
      <c r="F42" s="11">
        <f>IF(OR($A42=1,$B42="",$A42+F$3&gt;340),"",IF(INDEX($B$5:$B$344,$A42+F$3)="","",IF(AND(YEAR($B42)=$B$2,YEAR(INDEX($B$5:$B$344,$A42+F$3-1))=$B$2),INDEX($B$5:$B$344,$A42+F$3)-INDEX($B$5:$B$344,$A42-1)-1,"")))</f>
        <v/>
      </c>
      <c r="G42" s="11">
        <f>IF(OR($A42=1,$B42="",$A42+G$3&gt;340),"",IF(INDEX($B$5:$B$344,$A42+G$3)="","",IF(AND(YEAR($B42)=$B$2,YEAR(INDEX($B$5:$B$344,$A42+G$3-1))=$B$2),INDEX($B$5:$B$344,$A42+G$3)-INDEX($B$5:$B$344,$A42-1)-1,"")))</f>
        <v/>
      </c>
      <c r="H42" s="11">
        <f>IF(OR($A42=1,$B42="",$A42+H$3&gt;340),"",IF(INDEX($B$5:$B$344,$A42+H$3)="","",IF(AND(YEAR($B42)=$B$2,YEAR(INDEX($B$5:$B$344,$A42+H$3-1))=$B$2),INDEX($B$5:$B$344,$A42+H$3)-INDEX($B$5:$B$344,$A42-1)-1,"")))</f>
        <v/>
      </c>
      <c r="I42" s="11">
        <f>IF(OR($A42=1,$B42="",$A42+I$3&gt;340),"",IF(INDEX($B$5:$B$344,$A42+I$3)="","",IF(AND(YEAR($B42)=$B$2,YEAR(INDEX($B$5:$B$344,$A42+I$3-1))=$B$2),INDEX($B$5:$B$344,$A42+I$3)-INDEX($B$5:$B$344,$A42-1)-1,"")))</f>
        <v/>
      </c>
      <c r="J42" s="11">
        <f>IF(OR($A42=1,$B42="",$A42+J$3&gt;340),"",IF(INDEX($B$5:$B$344,$A42+J$3)="","",IF(AND(YEAR($B42)=$B$2,YEAR(INDEX($B$5:$B$344,$A42+J$3-1))=$B$2),INDEX($B$5:$B$344,$A42+J$3)-INDEX($B$5:$B$344,$A42-1)-1,"")))</f>
        <v/>
      </c>
      <c r="K42" s="11">
        <f>IF(OR($A42=1,$B42="",$A42+K$3&gt;340),"",IF(INDEX($B$5:$B$344,$A42+K$3)="","",IF(AND(YEAR($B42)=$B$2,YEAR(INDEX($B$5:$B$344,$A42+K$3-1))=$B$2),INDEX($B$5:$B$344,$A42+K$3)-INDEX($B$5:$B$344,$A42-1)-1,"")))</f>
        <v/>
      </c>
      <c r="L42" s="11">
        <f>IF(OR($A42=1,$B42="",$A42+L$3&gt;340),"",IF(INDEX($B$5:$B$344,$A42+L$3)="","",IF(AND(YEAR($B42)=$B$2,YEAR(INDEX($B$5:$B$344,$A42+L$3-1))=$B$2),INDEX($B$5:$B$344,$A42+L$3)-INDEX($B$5:$B$344,$A42-1)-1,"")))</f>
        <v/>
      </c>
      <c r="M42" s="11">
        <f>IF(OR($A42=1,$B42="",$A42+M$3&gt;340),"",IF(INDEX($B$5:$B$344,$A42+M$3)="","",IF(AND(YEAR($B42)=$B$2,YEAR(INDEX($B$5:$B$344,$A42+M$3-1))=$B$2),INDEX($B$5:$B$344,$A42+M$3)-INDEX($B$5:$B$344,$A42-1)-1,"")))</f>
        <v/>
      </c>
    </row>
    <row r="43">
      <c r="A43" s="11" t="n">
        <v>39</v>
      </c>
      <c r="B43" s="10">
        <f>IFERROR(INDEX('2_暦'!$A$7:$A$433,MATCH(A43,'2_暦'!$K$7:$K$433,0)),"")</f>
        <v/>
      </c>
      <c r="C43" s="11">
        <f>IF(OR($A43=1,$B43=""),"",IF(OR(YEAR($B43-1)=$B$2,YEAR(INDEX($B$5:$B$344,$A43-1)+1)=$B$2),$B43-INDEX($B$5:$B$344,$A43-1)-1,""))</f>
        <v/>
      </c>
      <c r="D43" s="11">
        <f>IF(OR($A43=1,$B43="",$A43+D$3&gt;340),"",IF(INDEX($B$5:$B$344,$A43+D$3)="","",IF(AND(YEAR($B43)=$B$2,YEAR(INDEX($B$5:$B$344,$A43+D$3-1))=$B$2),INDEX($B$5:$B$344,$A43+D$3)-INDEX($B$5:$B$344,$A43-1)-1,"")))</f>
        <v/>
      </c>
      <c r="E43" s="11">
        <f>IF(OR($A43=1,$B43="",$A43+E$3&gt;340),"",IF(INDEX($B$5:$B$344,$A43+E$3)="","",IF(AND(YEAR($B43)=$B$2,YEAR(INDEX($B$5:$B$344,$A43+E$3-1))=$B$2),INDEX($B$5:$B$344,$A43+E$3)-INDEX($B$5:$B$344,$A43-1)-1,"")))</f>
        <v/>
      </c>
      <c r="F43" s="11">
        <f>IF(OR($A43=1,$B43="",$A43+F$3&gt;340),"",IF(INDEX($B$5:$B$344,$A43+F$3)="","",IF(AND(YEAR($B43)=$B$2,YEAR(INDEX($B$5:$B$344,$A43+F$3-1))=$B$2),INDEX($B$5:$B$344,$A43+F$3)-INDEX($B$5:$B$344,$A43-1)-1,"")))</f>
        <v/>
      </c>
      <c r="G43" s="11">
        <f>IF(OR($A43=1,$B43="",$A43+G$3&gt;340),"",IF(INDEX($B$5:$B$344,$A43+G$3)="","",IF(AND(YEAR($B43)=$B$2,YEAR(INDEX($B$5:$B$344,$A43+G$3-1))=$B$2),INDEX($B$5:$B$344,$A43+G$3)-INDEX($B$5:$B$344,$A43-1)-1,"")))</f>
        <v/>
      </c>
      <c r="H43" s="11">
        <f>IF(OR($A43=1,$B43="",$A43+H$3&gt;340),"",IF(INDEX($B$5:$B$344,$A43+H$3)="","",IF(AND(YEAR($B43)=$B$2,YEAR(INDEX($B$5:$B$344,$A43+H$3-1))=$B$2),INDEX($B$5:$B$344,$A43+H$3)-INDEX($B$5:$B$344,$A43-1)-1,"")))</f>
        <v/>
      </c>
      <c r="I43" s="11">
        <f>IF(OR($A43=1,$B43="",$A43+I$3&gt;340),"",IF(INDEX($B$5:$B$344,$A43+I$3)="","",IF(AND(YEAR($B43)=$B$2,YEAR(INDEX($B$5:$B$344,$A43+I$3-1))=$B$2),INDEX($B$5:$B$344,$A43+I$3)-INDEX($B$5:$B$344,$A43-1)-1,"")))</f>
        <v/>
      </c>
      <c r="J43" s="11">
        <f>IF(OR($A43=1,$B43="",$A43+J$3&gt;340),"",IF(INDEX($B$5:$B$344,$A43+J$3)="","",IF(AND(YEAR($B43)=$B$2,YEAR(INDEX($B$5:$B$344,$A43+J$3-1))=$B$2),INDEX($B$5:$B$344,$A43+J$3)-INDEX($B$5:$B$344,$A43-1)-1,"")))</f>
        <v/>
      </c>
      <c r="K43" s="11">
        <f>IF(OR($A43=1,$B43="",$A43+K$3&gt;340),"",IF(INDEX($B$5:$B$344,$A43+K$3)="","",IF(AND(YEAR($B43)=$B$2,YEAR(INDEX($B$5:$B$344,$A43+K$3-1))=$B$2),INDEX($B$5:$B$344,$A43+K$3)-INDEX($B$5:$B$344,$A43-1)-1,"")))</f>
        <v/>
      </c>
      <c r="L43" s="11">
        <f>IF(OR($A43=1,$B43="",$A43+L$3&gt;340),"",IF(INDEX($B$5:$B$344,$A43+L$3)="","",IF(AND(YEAR($B43)=$B$2,YEAR(INDEX($B$5:$B$344,$A43+L$3-1))=$B$2),INDEX($B$5:$B$344,$A43+L$3)-INDEX($B$5:$B$344,$A43-1)-1,"")))</f>
        <v/>
      </c>
      <c r="M43" s="11">
        <f>IF(OR($A43=1,$B43="",$A43+M$3&gt;340),"",IF(INDEX($B$5:$B$344,$A43+M$3)="","",IF(AND(YEAR($B43)=$B$2,YEAR(INDEX($B$5:$B$344,$A43+M$3-1))=$B$2),INDEX($B$5:$B$344,$A43+M$3)-INDEX($B$5:$B$344,$A43-1)-1,"")))</f>
        <v/>
      </c>
    </row>
    <row r="44">
      <c r="A44" s="11" t="n">
        <v>40</v>
      </c>
      <c r="B44" s="10">
        <f>IFERROR(INDEX('2_暦'!$A$7:$A$433,MATCH(A44,'2_暦'!$K$7:$K$433,0)),"")</f>
        <v/>
      </c>
      <c r="C44" s="11">
        <f>IF(OR($A44=1,$B44=""),"",IF(OR(YEAR($B44-1)=$B$2,YEAR(INDEX($B$5:$B$344,$A44-1)+1)=$B$2),$B44-INDEX($B$5:$B$344,$A44-1)-1,""))</f>
        <v/>
      </c>
      <c r="D44" s="11">
        <f>IF(OR($A44=1,$B44="",$A44+D$3&gt;340),"",IF(INDEX($B$5:$B$344,$A44+D$3)="","",IF(AND(YEAR($B44)=$B$2,YEAR(INDEX($B$5:$B$344,$A44+D$3-1))=$B$2),INDEX($B$5:$B$344,$A44+D$3)-INDEX($B$5:$B$344,$A44-1)-1,"")))</f>
        <v/>
      </c>
      <c r="E44" s="11">
        <f>IF(OR($A44=1,$B44="",$A44+E$3&gt;340),"",IF(INDEX($B$5:$B$344,$A44+E$3)="","",IF(AND(YEAR($B44)=$B$2,YEAR(INDEX($B$5:$B$344,$A44+E$3-1))=$B$2),INDEX($B$5:$B$344,$A44+E$3)-INDEX($B$5:$B$344,$A44-1)-1,"")))</f>
        <v/>
      </c>
      <c r="F44" s="11">
        <f>IF(OR($A44=1,$B44="",$A44+F$3&gt;340),"",IF(INDEX($B$5:$B$344,$A44+F$3)="","",IF(AND(YEAR($B44)=$B$2,YEAR(INDEX($B$5:$B$344,$A44+F$3-1))=$B$2),INDEX($B$5:$B$344,$A44+F$3)-INDEX($B$5:$B$344,$A44-1)-1,"")))</f>
        <v/>
      </c>
      <c r="G44" s="11">
        <f>IF(OR($A44=1,$B44="",$A44+G$3&gt;340),"",IF(INDEX($B$5:$B$344,$A44+G$3)="","",IF(AND(YEAR($B44)=$B$2,YEAR(INDEX($B$5:$B$344,$A44+G$3-1))=$B$2),INDEX($B$5:$B$344,$A44+G$3)-INDEX($B$5:$B$344,$A44-1)-1,"")))</f>
        <v/>
      </c>
      <c r="H44" s="11">
        <f>IF(OR($A44=1,$B44="",$A44+H$3&gt;340),"",IF(INDEX($B$5:$B$344,$A44+H$3)="","",IF(AND(YEAR($B44)=$B$2,YEAR(INDEX($B$5:$B$344,$A44+H$3-1))=$B$2),INDEX($B$5:$B$344,$A44+H$3)-INDEX($B$5:$B$344,$A44-1)-1,"")))</f>
        <v/>
      </c>
      <c r="I44" s="11">
        <f>IF(OR($A44=1,$B44="",$A44+I$3&gt;340),"",IF(INDEX($B$5:$B$344,$A44+I$3)="","",IF(AND(YEAR($B44)=$B$2,YEAR(INDEX($B$5:$B$344,$A44+I$3-1))=$B$2),INDEX($B$5:$B$344,$A44+I$3)-INDEX($B$5:$B$344,$A44-1)-1,"")))</f>
        <v/>
      </c>
      <c r="J44" s="11">
        <f>IF(OR($A44=1,$B44="",$A44+J$3&gt;340),"",IF(INDEX($B$5:$B$344,$A44+J$3)="","",IF(AND(YEAR($B44)=$B$2,YEAR(INDEX($B$5:$B$344,$A44+J$3-1))=$B$2),INDEX($B$5:$B$344,$A44+J$3)-INDEX($B$5:$B$344,$A44-1)-1,"")))</f>
        <v/>
      </c>
      <c r="K44" s="11">
        <f>IF(OR($A44=1,$B44="",$A44+K$3&gt;340),"",IF(INDEX($B$5:$B$344,$A44+K$3)="","",IF(AND(YEAR($B44)=$B$2,YEAR(INDEX($B$5:$B$344,$A44+K$3-1))=$B$2),INDEX($B$5:$B$344,$A44+K$3)-INDEX($B$5:$B$344,$A44-1)-1,"")))</f>
        <v/>
      </c>
      <c r="L44" s="11">
        <f>IF(OR($A44=1,$B44="",$A44+L$3&gt;340),"",IF(INDEX($B$5:$B$344,$A44+L$3)="","",IF(AND(YEAR($B44)=$B$2,YEAR(INDEX($B$5:$B$344,$A44+L$3-1))=$B$2),INDEX($B$5:$B$344,$A44+L$3)-INDEX($B$5:$B$344,$A44-1)-1,"")))</f>
        <v/>
      </c>
      <c r="M44" s="11">
        <f>IF(OR($A44=1,$B44="",$A44+M$3&gt;340),"",IF(INDEX($B$5:$B$344,$A44+M$3)="","",IF(AND(YEAR($B44)=$B$2,YEAR(INDEX($B$5:$B$344,$A44+M$3-1))=$B$2),INDEX($B$5:$B$344,$A44+M$3)-INDEX($B$5:$B$344,$A44-1)-1,"")))</f>
        <v/>
      </c>
    </row>
    <row r="45">
      <c r="A45" s="11" t="n">
        <v>41</v>
      </c>
      <c r="B45" s="10">
        <f>IFERROR(INDEX('2_暦'!$A$7:$A$433,MATCH(A45,'2_暦'!$K$7:$K$433,0)),"")</f>
        <v/>
      </c>
      <c r="C45" s="11">
        <f>IF(OR($A45=1,$B45=""),"",IF(OR(YEAR($B45-1)=$B$2,YEAR(INDEX($B$5:$B$344,$A45-1)+1)=$B$2),$B45-INDEX($B$5:$B$344,$A45-1)-1,""))</f>
        <v/>
      </c>
      <c r="D45" s="11">
        <f>IF(OR($A45=1,$B45="",$A45+D$3&gt;340),"",IF(INDEX($B$5:$B$344,$A45+D$3)="","",IF(AND(YEAR($B45)=$B$2,YEAR(INDEX($B$5:$B$344,$A45+D$3-1))=$B$2),INDEX($B$5:$B$344,$A45+D$3)-INDEX($B$5:$B$344,$A45-1)-1,"")))</f>
        <v/>
      </c>
      <c r="E45" s="11">
        <f>IF(OR($A45=1,$B45="",$A45+E$3&gt;340),"",IF(INDEX($B$5:$B$344,$A45+E$3)="","",IF(AND(YEAR($B45)=$B$2,YEAR(INDEX($B$5:$B$344,$A45+E$3-1))=$B$2),INDEX($B$5:$B$344,$A45+E$3)-INDEX($B$5:$B$344,$A45-1)-1,"")))</f>
        <v/>
      </c>
      <c r="F45" s="11">
        <f>IF(OR($A45=1,$B45="",$A45+F$3&gt;340),"",IF(INDEX($B$5:$B$344,$A45+F$3)="","",IF(AND(YEAR($B45)=$B$2,YEAR(INDEX($B$5:$B$344,$A45+F$3-1))=$B$2),INDEX($B$5:$B$344,$A45+F$3)-INDEX($B$5:$B$344,$A45-1)-1,"")))</f>
        <v/>
      </c>
      <c r="G45" s="11">
        <f>IF(OR($A45=1,$B45="",$A45+G$3&gt;340),"",IF(INDEX($B$5:$B$344,$A45+G$3)="","",IF(AND(YEAR($B45)=$B$2,YEAR(INDEX($B$5:$B$344,$A45+G$3-1))=$B$2),INDEX($B$5:$B$344,$A45+G$3)-INDEX($B$5:$B$344,$A45-1)-1,"")))</f>
        <v/>
      </c>
      <c r="H45" s="11">
        <f>IF(OR($A45=1,$B45="",$A45+H$3&gt;340),"",IF(INDEX($B$5:$B$344,$A45+H$3)="","",IF(AND(YEAR($B45)=$B$2,YEAR(INDEX($B$5:$B$344,$A45+H$3-1))=$B$2),INDEX($B$5:$B$344,$A45+H$3)-INDEX($B$5:$B$344,$A45-1)-1,"")))</f>
        <v/>
      </c>
      <c r="I45" s="11">
        <f>IF(OR($A45=1,$B45="",$A45+I$3&gt;340),"",IF(INDEX($B$5:$B$344,$A45+I$3)="","",IF(AND(YEAR($B45)=$B$2,YEAR(INDEX($B$5:$B$344,$A45+I$3-1))=$B$2),INDEX($B$5:$B$344,$A45+I$3)-INDEX($B$5:$B$344,$A45-1)-1,"")))</f>
        <v/>
      </c>
      <c r="J45" s="11">
        <f>IF(OR($A45=1,$B45="",$A45+J$3&gt;340),"",IF(INDEX($B$5:$B$344,$A45+J$3)="","",IF(AND(YEAR($B45)=$B$2,YEAR(INDEX($B$5:$B$344,$A45+J$3-1))=$B$2),INDEX($B$5:$B$344,$A45+J$3)-INDEX($B$5:$B$344,$A45-1)-1,"")))</f>
        <v/>
      </c>
      <c r="K45" s="11">
        <f>IF(OR($A45=1,$B45="",$A45+K$3&gt;340),"",IF(INDEX($B$5:$B$344,$A45+K$3)="","",IF(AND(YEAR($B45)=$B$2,YEAR(INDEX($B$5:$B$344,$A45+K$3-1))=$B$2),INDEX($B$5:$B$344,$A45+K$3)-INDEX($B$5:$B$344,$A45-1)-1,"")))</f>
        <v/>
      </c>
      <c r="L45" s="11">
        <f>IF(OR($A45=1,$B45="",$A45+L$3&gt;340),"",IF(INDEX($B$5:$B$344,$A45+L$3)="","",IF(AND(YEAR($B45)=$B$2,YEAR(INDEX($B$5:$B$344,$A45+L$3-1))=$B$2),INDEX($B$5:$B$344,$A45+L$3)-INDEX($B$5:$B$344,$A45-1)-1,"")))</f>
        <v/>
      </c>
      <c r="M45" s="11">
        <f>IF(OR($A45=1,$B45="",$A45+M$3&gt;340),"",IF(INDEX($B$5:$B$344,$A45+M$3)="","",IF(AND(YEAR($B45)=$B$2,YEAR(INDEX($B$5:$B$344,$A45+M$3-1))=$B$2),INDEX($B$5:$B$344,$A45+M$3)-INDEX($B$5:$B$344,$A45-1)-1,"")))</f>
        <v/>
      </c>
    </row>
    <row r="46">
      <c r="A46" s="11" t="n">
        <v>42</v>
      </c>
      <c r="B46" s="10">
        <f>IFERROR(INDEX('2_暦'!$A$7:$A$433,MATCH(A46,'2_暦'!$K$7:$K$433,0)),"")</f>
        <v/>
      </c>
      <c r="C46" s="11">
        <f>IF(OR($A46=1,$B46=""),"",IF(OR(YEAR($B46-1)=$B$2,YEAR(INDEX($B$5:$B$344,$A46-1)+1)=$B$2),$B46-INDEX($B$5:$B$344,$A46-1)-1,""))</f>
        <v/>
      </c>
      <c r="D46" s="11">
        <f>IF(OR($A46=1,$B46="",$A46+D$3&gt;340),"",IF(INDEX($B$5:$B$344,$A46+D$3)="","",IF(AND(YEAR($B46)=$B$2,YEAR(INDEX($B$5:$B$344,$A46+D$3-1))=$B$2),INDEX($B$5:$B$344,$A46+D$3)-INDEX($B$5:$B$344,$A46-1)-1,"")))</f>
        <v/>
      </c>
      <c r="E46" s="11">
        <f>IF(OR($A46=1,$B46="",$A46+E$3&gt;340),"",IF(INDEX($B$5:$B$344,$A46+E$3)="","",IF(AND(YEAR($B46)=$B$2,YEAR(INDEX($B$5:$B$344,$A46+E$3-1))=$B$2),INDEX($B$5:$B$344,$A46+E$3)-INDEX($B$5:$B$344,$A46-1)-1,"")))</f>
        <v/>
      </c>
      <c r="F46" s="11">
        <f>IF(OR($A46=1,$B46="",$A46+F$3&gt;340),"",IF(INDEX($B$5:$B$344,$A46+F$3)="","",IF(AND(YEAR($B46)=$B$2,YEAR(INDEX($B$5:$B$344,$A46+F$3-1))=$B$2),INDEX($B$5:$B$344,$A46+F$3)-INDEX($B$5:$B$344,$A46-1)-1,"")))</f>
        <v/>
      </c>
      <c r="G46" s="11">
        <f>IF(OR($A46=1,$B46="",$A46+G$3&gt;340),"",IF(INDEX($B$5:$B$344,$A46+G$3)="","",IF(AND(YEAR($B46)=$B$2,YEAR(INDEX($B$5:$B$344,$A46+G$3-1))=$B$2),INDEX($B$5:$B$344,$A46+G$3)-INDEX($B$5:$B$344,$A46-1)-1,"")))</f>
        <v/>
      </c>
      <c r="H46" s="11">
        <f>IF(OR($A46=1,$B46="",$A46+H$3&gt;340),"",IF(INDEX($B$5:$B$344,$A46+H$3)="","",IF(AND(YEAR($B46)=$B$2,YEAR(INDEX($B$5:$B$344,$A46+H$3-1))=$B$2),INDEX($B$5:$B$344,$A46+H$3)-INDEX($B$5:$B$344,$A46-1)-1,"")))</f>
        <v/>
      </c>
      <c r="I46" s="11">
        <f>IF(OR($A46=1,$B46="",$A46+I$3&gt;340),"",IF(INDEX($B$5:$B$344,$A46+I$3)="","",IF(AND(YEAR($B46)=$B$2,YEAR(INDEX($B$5:$B$344,$A46+I$3-1))=$B$2),INDEX($B$5:$B$344,$A46+I$3)-INDEX($B$5:$B$344,$A46-1)-1,"")))</f>
        <v/>
      </c>
      <c r="J46" s="11">
        <f>IF(OR($A46=1,$B46="",$A46+J$3&gt;340),"",IF(INDEX($B$5:$B$344,$A46+J$3)="","",IF(AND(YEAR($B46)=$B$2,YEAR(INDEX($B$5:$B$344,$A46+J$3-1))=$B$2),INDEX($B$5:$B$344,$A46+J$3)-INDEX($B$5:$B$344,$A46-1)-1,"")))</f>
        <v/>
      </c>
      <c r="K46" s="11">
        <f>IF(OR($A46=1,$B46="",$A46+K$3&gt;340),"",IF(INDEX($B$5:$B$344,$A46+K$3)="","",IF(AND(YEAR($B46)=$B$2,YEAR(INDEX($B$5:$B$344,$A46+K$3-1))=$B$2),INDEX($B$5:$B$344,$A46+K$3)-INDEX($B$5:$B$344,$A46-1)-1,"")))</f>
        <v/>
      </c>
      <c r="L46" s="11">
        <f>IF(OR($A46=1,$B46="",$A46+L$3&gt;340),"",IF(INDEX($B$5:$B$344,$A46+L$3)="","",IF(AND(YEAR($B46)=$B$2,YEAR(INDEX($B$5:$B$344,$A46+L$3-1))=$B$2),INDEX($B$5:$B$344,$A46+L$3)-INDEX($B$5:$B$344,$A46-1)-1,"")))</f>
        <v/>
      </c>
      <c r="M46" s="11">
        <f>IF(OR($A46=1,$B46="",$A46+M$3&gt;340),"",IF(INDEX($B$5:$B$344,$A46+M$3)="","",IF(AND(YEAR($B46)=$B$2,YEAR(INDEX($B$5:$B$344,$A46+M$3-1))=$B$2),INDEX($B$5:$B$344,$A46+M$3)-INDEX($B$5:$B$344,$A46-1)-1,"")))</f>
        <v/>
      </c>
    </row>
    <row r="47">
      <c r="A47" s="11" t="n">
        <v>43</v>
      </c>
      <c r="B47" s="10">
        <f>IFERROR(INDEX('2_暦'!$A$7:$A$433,MATCH(A47,'2_暦'!$K$7:$K$433,0)),"")</f>
        <v/>
      </c>
      <c r="C47" s="11">
        <f>IF(OR($A47=1,$B47=""),"",IF(OR(YEAR($B47-1)=$B$2,YEAR(INDEX($B$5:$B$344,$A47-1)+1)=$B$2),$B47-INDEX($B$5:$B$344,$A47-1)-1,""))</f>
        <v/>
      </c>
      <c r="D47" s="11">
        <f>IF(OR($A47=1,$B47="",$A47+D$3&gt;340),"",IF(INDEX($B$5:$B$344,$A47+D$3)="","",IF(AND(YEAR($B47)=$B$2,YEAR(INDEX($B$5:$B$344,$A47+D$3-1))=$B$2),INDEX($B$5:$B$344,$A47+D$3)-INDEX($B$5:$B$344,$A47-1)-1,"")))</f>
        <v/>
      </c>
      <c r="E47" s="11">
        <f>IF(OR($A47=1,$B47="",$A47+E$3&gt;340),"",IF(INDEX($B$5:$B$344,$A47+E$3)="","",IF(AND(YEAR($B47)=$B$2,YEAR(INDEX($B$5:$B$344,$A47+E$3-1))=$B$2),INDEX($B$5:$B$344,$A47+E$3)-INDEX($B$5:$B$344,$A47-1)-1,"")))</f>
        <v/>
      </c>
      <c r="F47" s="11">
        <f>IF(OR($A47=1,$B47="",$A47+F$3&gt;340),"",IF(INDEX($B$5:$B$344,$A47+F$3)="","",IF(AND(YEAR($B47)=$B$2,YEAR(INDEX($B$5:$B$344,$A47+F$3-1))=$B$2),INDEX($B$5:$B$344,$A47+F$3)-INDEX($B$5:$B$344,$A47-1)-1,"")))</f>
        <v/>
      </c>
      <c r="G47" s="11">
        <f>IF(OR($A47=1,$B47="",$A47+G$3&gt;340),"",IF(INDEX($B$5:$B$344,$A47+G$3)="","",IF(AND(YEAR($B47)=$B$2,YEAR(INDEX($B$5:$B$344,$A47+G$3-1))=$B$2),INDEX($B$5:$B$344,$A47+G$3)-INDEX($B$5:$B$344,$A47-1)-1,"")))</f>
        <v/>
      </c>
      <c r="H47" s="11">
        <f>IF(OR($A47=1,$B47="",$A47+H$3&gt;340),"",IF(INDEX($B$5:$B$344,$A47+H$3)="","",IF(AND(YEAR($B47)=$B$2,YEAR(INDEX($B$5:$B$344,$A47+H$3-1))=$B$2),INDEX($B$5:$B$344,$A47+H$3)-INDEX($B$5:$B$344,$A47-1)-1,"")))</f>
        <v/>
      </c>
      <c r="I47" s="11">
        <f>IF(OR($A47=1,$B47="",$A47+I$3&gt;340),"",IF(INDEX($B$5:$B$344,$A47+I$3)="","",IF(AND(YEAR($B47)=$B$2,YEAR(INDEX($B$5:$B$344,$A47+I$3-1))=$B$2),INDEX($B$5:$B$344,$A47+I$3)-INDEX($B$5:$B$344,$A47-1)-1,"")))</f>
        <v/>
      </c>
      <c r="J47" s="11">
        <f>IF(OR($A47=1,$B47="",$A47+J$3&gt;340),"",IF(INDEX($B$5:$B$344,$A47+J$3)="","",IF(AND(YEAR($B47)=$B$2,YEAR(INDEX($B$5:$B$344,$A47+J$3-1))=$B$2),INDEX($B$5:$B$344,$A47+J$3)-INDEX($B$5:$B$344,$A47-1)-1,"")))</f>
        <v/>
      </c>
      <c r="K47" s="11">
        <f>IF(OR($A47=1,$B47="",$A47+K$3&gt;340),"",IF(INDEX($B$5:$B$344,$A47+K$3)="","",IF(AND(YEAR($B47)=$B$2,YEAR(INDEX($B$5:$B$344,$A47+K$3-1))=$B$2),INDEX($B$5:$B$344,$A47+K$3)-INDEX($B$5:$B$344,$A47-1)-1,"")))</f>
        <v/>
      </c>
      <c r="L47" s="11">
        <f>IF(OR($A47=1,$B47="",$A47+L$3&gt;340),"",IF(INDEX($B$5:$B$344,$A47+L$3)="","",IF(AND(YEAR($B47)=$B$2,YEAR(INDEX($B$5:$B$344,$A47+L$3-1))=$B$2),INDEX($B$5:$B$344,$A47+L$3)-INDEX($B$5:$B$344,$A47-1)-1,"")))</f>
        <v/>
      </c>
      <c r="M47" s="11">
        <f>IF(OR($A47=1,$B47="",$A47+M$3&gt;340),"",IF(INDEX($B$5:$B$344,$A47+M$3)="","",IF(AND(YEAR($B47)=$B$2,YEAR(INDEX($B$5:$B$344,$A47+M$3-1))=$B$2),INDEX($B$5:$B$344,$A47+M$3)-INDEX($B$5:$B$344,$A47-1)-1,"")))</f>
        <v/>
      </c>
    </row>
    <row r="48">
      <c r="A48" s="11" t="n">
        <v>44</v>
      </c>
      <c r="B48" s="10">
        <f>IFERROR(INDEX('2_暦'!$A$7:$A$433,MATCH(A48,'2_暦'!$K$7:$K$433,0)),"")</f>
        <v/>
      </c>
      <c r="C48" s="11">
        <f>IF(OR($A48=1,$B48=""),"",IF(OR(YEAR($B48-1)=$B$2,YEAR(INDEX($B$5:$B$344,$A48-1)+1)=$B$2),$B48-INDEX($B$5:$B$344,$A48-1)-1,""))</f>
        <v/>
      </c>
      <c r="D48" s="11">
        <f>IF(OR($A48=1,$B48="",$A48+D$3&gt;340),"",IF(INDEX($B$5:$B$344,$A48+D$3)="","",IF(AND(YEAR($B48)=$B$2,YEAR(INDEX($B$5:$B$344,$A48+D$3-1))=$B$2),INDEX($B$5:$B$344,$A48+D$3)-INDEX($B$5:$B$344,$A48-1)-1,"")))</f>
        <v/>
      </c>
      <c r="E48" s="11">
        <f>IF(OR($A48=1,$B48="",$A48+E$3&gt;340),"",IF(INDEX($B$5:$B$344,$A48+E$3)="","",IF(AND(YEAR($B48)=$B$2,YEAR(INDEX($B$5:$B$344,$A48+E$3-1))=$B$2),INDEX($B$5:$B$344,$A48+E$3)-INDEX($B$5:$B$344,$A48-1)-1,"")))</f>
        <v/>
      </c>
      <c r="F48" s="11">
        <f>IF(OR($A48=1,$B48="",$A48+F$3&gt;340),"",IF(INDEX($B$5:$B$344,$A48+F$3)="","",IF(AND(YEAR($B48)=$B$2,YEAR(INDEX($B$5:$B$344,$A48+F$3-1))=$B$2),INDEX($B$5:$B$344,$A48+F$3)-INDEX($B$5:$B$344,$A48-1)-1,"")))</f>
        <v/>
      </c>
      <c r="G48" s="11">
        <f>IF(OR($A48=1,$B48="",$A48+G$3&gt;340),"",IF(INDEX($B$5:$B$344,$A48+G$3)="","",IF(AND(YEAR($B48)=$B$2,YEAR(INDEX($B$5:$B$344,$A48+G$3-1))=$B$2),INDEX($B$5:$B$344,$A48+G$3)-INDEX($B$5:$B$344,$A48-1)-1,"")))</f>
        <v/>
      </c>
      <c r="H48" s="11">
        <f>IF(OR($A48=1,$B48="",$A48+H$3&gt;340),"",IF(INDEX($B$5:$B$344,$A48+H$3)="","",IF(AND(YEAR($B48)=$B$2,YEAR(INDEX($B$5:$B$344,$A48+H$3-1))=$B$2),INDEX($B$5:$B$344,$A48+H$3)-INDEX($B$5:$B$344,$A48-1)-1,"")))</f>
        <v/>
      </c>
      <c r="I48" s="11">
        <f>IF(OR($A48=1,$B48="",$A48+I$3&gt;340),"",IF(INDEX($B$5:$B$344,$A48+I$3)="","",IF(AND(YEAR($B48)=$B$2,YEAR(INDEX($B$5:$B$344,$A48+I$3-1))=$B$2),INDEX($B$5:$B$344,$A48+I$3)-INDEX($B$5:$B$344,$A48-1)-1,"")))</f>
        <v/>
      </c>
      <c r="J48" s="11">
        <f>IF(OR($A48=1,$B48="",$A48+J$3&gt;340),"",IF(INDEX($B$5:$B$344,$A48+J$3)="","",IF(AND(YEAR($B48)=$B$2,YEAR(INDEX($B$5:$B$344,$A48+J$3-1))=$B$2),INDEX($B$5:$B$344,$A48+J$3)-INDEX($B$5:$B$344,$A48-1)-1,"")))</f>
        <v/>
      </c>
      <c r="K48" s="11">
        <f>IF(OR($A48=1,$B48="",$A48+K$3&gt;340),"",IF(INDEX($B$5:$B$344,$A48+K$3)="","",IF(AND(YEAR($B48)=$B$2,YEAR(INDEX($B$5:$B$344,$A48+K$3-1))=$B$2),INDEX($B$5:$B$344,$A48+K$3)-INDEX($B$5:$B$344,$A48-1)-1,"")))</f>
        <v/>
      </c>
      <c r="L48" s="11">
        <f>IF(OR($A48=1,$B48="",$A48+L$3&gt;340),"",IF(INDEX($B$5:$B$344,$A48+L$3)="","",IF(AND(YEAR($B48)=$B$2,YEAR(INDEX($B$5:$B$344,$A48+L$3-1))=$B$2),INDEX($B$5:$B$344,$A48+L$3)-INDEX($B$5:$B$344,$A48-1)-1,"")))</f>
        <v/>
      </c>
      <c r="M48" s="11">
        <f>IF(OR($A48=1,$B48="",$A48+M$3&gt;340),"",IF(INDEX($B$5:$B$344,$A48+M$3)="","",IF(AND(YEAR($B48)=$B$2,YEAR(INDEX($B$5:$B$344,$A48+M$3-1))=$B$2),INDEX($B$5:$B$344,$A48+M$3)-INDEX($B$5:$B$344,$A48-1)-1,"")))</f>
        <v/>
      </c>
    </row>
    <row r="49">
      <c r="A49" s="11" t="n">
        <v>45</v>
      </c>
      <c r="B49" s="10">
        <f>IFERROR(INDEX('2_暦'!$A$7:$A$433,MATCH(A49,'2_暦'!$K$7:$K$433,0)),"")</f>
        <v/>
      </c>
      <c r="C49" s="11">
        <f>IF(OR($A49=1,$B49=""),"",IF(OR(YEAR($B49-1)=$B$2,YEAR(INDEX($B$5:$B$344,$A49-1)+1)=$B$2),$B49-INDEX($B$5:$B$344,$A49-1)-1,""))</f>
        <v/>
      </c>
      <c r="D49" s="11">
        <f>IF(OR($A49=1,$B49="",$A49+D$3&gt;340),"",IF(INDEX($B$5:$B$344,$A49+D$3)="","",IF(AND(YEAR($B49)=$B$2,YEAR(INDEX($B$5:$B$344,$A49+D$3-1))=$B$2),INDEX($B$5:$B$344,$A49+D$3)-INDEX($B$5:$B$344,$A49-1)-1,"")))</f>
        <v/>
      </c>
      <c r="E49" s="11">
        <f>IF(OR($A49=1,$B49="",$A49+E$3&gt;340),"",IF(INDEX($B$5:$B$344,$A49+E$3)="","",IF(AND(YEAR($B49)=$B$2,YEAR(INDEX($B$5:$B$344,$A49+E$3-1))=$B$2),INDEX($B$5:$B$344,$A49+E$3)-INDEX($B$5:$B$344,$A49-1)-1,"")))</f>
        <v/>
      </c>
      <c r="F49" s="11">
        <f>IF(OR($A49=1,$B49="",$A49+F$3&gt;340),"",IF(INDEX($B$5:$B$344,$A49+F$3)="","",IF(AND(YEAR($B49)=$B$2,YEAR(INDEX($B$5:$B$344,$A49+F$3-1))=$B$2),INDEX($B$5:$B$344,$A49+F$3)-INDEX($B$5:$B$344,$A49-1)-1,"")))</f>
        <v/>
      </c>
      <c r="G49" s="11">
        <f>IF(OR($A49=1,$B49="",$A49+G$3&gt;340),"",IF(INDEX($B$5:$B$344,$A49+G$3)="","",IF(AND(YEAR($B49)=$B$2,YEAR(INDEX($B$5:$B$344,$A49+G$3-1))=$B$2),INDEX($B$5:$B$344,$A49+G$3)-INDEX($B$5:$B$344,$A49-1)-1,"")))</f>
        <v/>
      </c>
      <c r="H49" s="11">
        <f>IF(OR($A49=1,$B49="",$A49+H$3&gt;340),"",IF(INDEX($B$5:$B$344,$A49+H$3)="","",IF(AND(YEAR($B49)=$B$2,YEAR(INDEX($B$5:$B$344,$A49+H$3-1))=$B$2),INDEX($B$5:$B$344,$A49+H$3)-INDEX($B$5:$B$344,$A49-1)-1,"")))</f>
        <v/>
      </c>
      <c r="I49" s="11">
        <f>IF(OR($A49=1,$B49="",$A49+I$3&gt;340),"",IF(INDEX($B$5:$B$344,$A49+I$3)="","",IF(AND(YEAR($B49)=$B$2,YEAR(INDEX($B$5:$B$344,$A49+I$3-1))=$B$2),INDEX($B$5:$B$344,$A49+I$3)-INDEX($B$5:$B$344,$A49-1)-1,"")))</f>
        <v/>
      </c>
      <c r="J49" s="11">
        <f>IF(OR($A49=1,$B49="",$A49+J$3&gt;340),"",IF(INDEX($B$5:$B$344,$A49+J$3)="","",IF(AND(YEAR($B49)=$B$2,YEAR(INDEX($B$5:$B$344,$A49+J$3-1))=$B$2),INDEX($B$5:$B$344,$A49+J$3)-INDEX($B$5:$B$344,$A49-1)-1,"")))</f>
        <v/>
      </c>
      <c r="K49" s="11">
        <f>IF(OR($A49=1,$B49="",$A49+K$3&gt;340),"",IF(INDEX($B$5:$B$344,$A49+K$3)="","",IF(AND(YEAR($B49)=$B$2,YEAR(INDEX($B$5:$B$344,$A49+K$3-1))=$B$2),INDEX($B$5:$B$344,$A49+K$3)-INDEX($B$5:$B$344,$A49-1)-1,"")))</f>
        <v/>
      </c>
      <c r="L49" s="11">
        <f>IF(OR($A49=1,$B49="",$A49+L$3&gt;340),"",IF(INDEX($B$5:$B$344,$A49+L$3)="","",IF(AND(YEAR($B49)=$B$2,YEAR(INDEX($B$5:$B$344,$A49+L$3-1))=$B$2),INDEX($B$5:$B$344,$A49+L$3)-INDEX($B$5:$B$344,$A49-1)-1,"")))</f>
        <v/>
      </c>
      <c r="M49" s="11">
        <f>IF(OR($A49=1,$B49="",$A49+M$3&gt;340),"",IF(INDEX($B$5:$B$344,$A49+M$3)="","",IF(AND(YEAR($B49)=$B$2,YEAR(INDEX($B$5:$B$344,$A49+M$3-1))=$B$2),INDEX($B$5:$B$344,$A49+M$3)-INDEX($B$5:$B$344,$A49-1)-1,"")))</f>
        <v/>
      </c>
    </row>
    <row r="50">
      <c r="A50" s="11" t="n">
        <v>46</v>
      </c>
      <c r="B50" s="10">
        <f>IFERROR(INDEX('2_暦'!$A$7:$A$433,MATCH(A50,'2_暦'!$K$7:$K$433,0)),"")</f>
        <v/>
      </c>
      <c r="C50" s="11">
        <f>IF(OR($A50=1,$B50=""),"",IF(OR(YEAR($B50-1)=$B$2,YEAR(INDEX($B$5:$B$344,$A50-1)+1)=$B$2),$B50-INDEX($B$5:$B$344,$A50-1)-1,""))</f>
        <v/>
      </c>
      <c r="D50" s="11">
        <f>IF(OR($A50=1,$B50="",$A50+D$3&gt;340),"",IF(INDEX($B$5:$B$344,$A50+D$3)="","",IF(AND(YEAR($B50)=$B$2,YEAR(INDEX($B$5:$B$344,$A50+D$3-1))=$B$2),INDEX($B$5:$B$344,$A50+D$3)-INDEX($B$5:$B$344,$A50-1)-1,"")))</f>
        <v/>
      </c>
      <c r="E50" s="11">
        <f>IF(OR($A50=1,$B50="",$A50+E$3&gt;340),"",IF(INDEX($B$5:$B$344,$A50+E$3)="","",IF(AND(YEAR($B50)=$B$2,YEAR(INDEX($B$5:$B$344,$A50+E$3-1))=$B$2),INDEX($B$5:$B$344,$A50+E$3)-INDEX($B$5:$B$344,$A50-1)-1,"")))</f>
        <v/>
      </c>
      <c r="F50" s="11">
        <f>IF(OR($A50=1,$B50="",$A50+F$3&gt;340),"",IF(INDEX($B$5:$B$344,$A50+F$3)="","",IF(AND(YEAR($B50)=$B$2,YEAR(INDEX($B$5:$B$344,$A50+F$3-1))=$B$2),INDEX($B$5:$B$344,$A50+F$3)-INDEX($B$5:$B$344,$A50-1)-1,"")))</f>
        <v/>
      </c>
      <c r="G50" s="11">
        <f>IF(OR($A50=1,$B50="",$A50+G$3&gt;340),"",IF(INDEX($B$5:$B$344,$A50+G$3)="","",IF(AND(YEAR($B50)=$B$2,YEAR(INDEX($B$5:$B$344,$A50+G$3-1))=$B$2),INDEX($B$5:$B$344,$A50+G$3)-INDEX($B$5:$B$344,$A50-1)-1,"")))</f>
        <v/>
      </c>
      <c r="H50" s="11">
        <f>IF(OR($A50=1,$B50="",$A50+H$3&gt;340),"",IF(INDEX($B$5:$B$344,$A50+H$3)="","",IF(AND(YEAR($B50)=$B$2,YEAR(INDEX($B$5:$B$344,$A50+H$3-1))=$B$2),INDEX($B$5:$B$344,$A50+H$3)-INDEX($B$5:$B$344,$A50-1)-1,"")))</f>
        <v/>
      </c>
      <c r="I50" s="11">
        <f>IF(OR($A50=1,$B50="",$A50+I$3&gt;340),"",IF(INDEX($B$5:$B$344,$A50+I$3)="","",IF(AND(YEAR($B50)=$B$2,YEAR(INDEX($B$5:$B$344,$A50+I$3-1))=$B$2),INDEX($B$5:$B$344,$A50+I$3)-INDEX($B$5:$B$344,$A50-1)-1,"")))</f>
        <v/>
      </c>
      <c r="J50" s="11">
        <f>IF(OR($A50=1,$B50="",$A50+J$3&gt;340),"",IF(INDEX($B$5:$B$344,$A50+J$3)="","",IF(AND(YEAR($B50)=$B$2,YEAR(INDEX($B$5:$B$344,$A50+J$3-1))=$B$2),INDEX($B$5:$B$344,$A50+J$3)-INDEX($B$5:$B$344,$A50-1)-1,"")))</f>
        <v/>
      </c>
      <c r="K50" s="11">
        <f>IF(OR($A50=1,$B50="",$A50+K$3&gt;340),"",IF(INDEX($B$5:$B$344,$A50+K$3)="","",IF(AND(YEAR($B50)=$B$2,YEAR(INDEX($B$5:$B$344,$A50+K$3-1))=$B$2),INDEX($B$5:$B$344,$A50+K$3)-INDEX($B$5:$B$344,$A50-1)-1,"")))</f>
        <v/>
      </c>
      <c r="L50" s="11">
        <f>IF(OR($A50=1,$B50="",$A50+L$3&gt;340),"",IF(INDEX($B$5:$B$344,$A50+L$3)="","",IF(AND(YEAR($B50)=$B$2,YEAR(INDEX($B$5:$B$344,$A50+L$3-1))=$B$2),INDEX($B$5:$B$344,$A50+L$3)-INDEX($B$5:$B$344,$A50-1)-1,"")))</f>
        <v/>
      </c>
      <c r="M50" s="11">
        <f>IF(OR($A50=1,$B50="",$A50+M$3&gt;340),"",IF(INDEX($B$5:$B$344,$A50+M$3)="","",IF(AND(YEAR($B50)=$B$2,YEAR(INDEX($B$5:$B$344,$A50+M$3-1))=$B$2),INDEX($B$5:$B$344,$A50+M$3)-INDEX($B$5:$B$344,$A50-1)-1,"")))</f>
        <v/>
      </c>
    </row>
    <row r="51">
      <c r="A51" s="11" t="n">
        <v>47</v>
      </c>
      <c r="B51" s="10">
        <f>IFERROR(INDEX('2_暦'!$A$7:$A$433,MATCH(A51,'2_暦'!$K$7:$K$433,0)),"")</f>
        <v/>
      </c>
      <c r="C51" s="11">
        <f>IF(OR($A51=1,$B51=""),"",IF(OR(YEAR($B51-1)=$B$2,YEAR(INDEX($B$5:$B$344,$A51-1)+1)=$B$2),$B51-INDEX($B$5:$B$344,$A51-1)-1,""))</f>
        <v/>
      </c>
      <c r="D51" s="11">
        <f>IF(OR($A51=1,$B51="",$A51+D$3&gt;340),"",IF(INDEX($B$5:$B$344,$A51+D$3)="","",IF(AND(YEAR($B51)=$B$2,YEAR(INDEX($B$5:$B$344,$A51+D$3-1))=$B$2),INDEX($B$5:$B$344,$A51+D$3)-INDEX($B$5:$B$344,$A51-1)-1,"")))</f>
        <v/>
      </c>
      <c r="E51" s="11">
        <f>IF(OR($A51=1,$B51="",$A51+E$3&gt;340),"",IF(INDEX($B$5:$B$344,$A51+E$3)="","",IF(AND(YEAR($B51)=$B$2,YEAR(INDEX($B$5:$B$344,$A51+E$3-1))=$B$2),INDEX($B$5:$B$344,$A51+E$3)-INDEX($B$5:$B$344,$A51-1)-1,"")))</f>
        <v/>
      </c>
      <c r="F51" s="11">
        <f>IF(OR($A51=1,$B51="",$A51+F$3&gt;340),"",IF(INDEX($B$5:$B$344,$A51+F$3)="","",IF(AND(YEAR($B51)=$B$2,YEAR(INDEX($B$5:$B$344,$A51+F$3-1))=$B$2),INDEX($B$5:$B$344,$A51+F$3)-INDEX($B$5:$B$344,$A51-1)-1,"")))</f>
        <v/>
      </c>
      <c r="G51" s="11">
        <f>IF(OR($A51=1,$B51="",$A51+G$3&gt;340),"",IF(INDEX($B$5:$B$344,$A51+G$3)="","",IF(AND(YEAR($B51)=$B$2,YEAR(INDEX($B$5:$B$344,$A51+G$3-1))=$B$2),INDEX($B$5:$B$344,$A51+G$3)-INDEX($B$5:$B$344,$A51-1)-1,"")))</f>
        <v/>
      </c>
      <c r="H51" s="11">
        <f>IF(OR($A51=1,$B51="",$A51+H$3&gt;340),"",IF(INDEX($B$5:$B$344,$A51+H$3)="","",IF(AND(YEAR($B51)=$B$2,YEAR(INDEX($B$5:$B$344,$A51+H$3-1))=$B$2),INDEX($B$5:$B$344,$A51+H$3)-INDEX($B$5:$B$344,$A51-1)-1,"")))</f>
        <v/>
      </c>
      <c r="I51" s="11">
        <f>IF(OR($A51=1,$B51="",$A51+I$3&gt;340),"",IF(INDEX($B$5:$B$344,$A51+I$3)="","",IF(AND(YEAR($B51)=$B$2,YEAR(INDEX($B$5:$B$344,$A51+I$3-1))=$B$2),INDEX($B$5:$B$344,$A51+I$3)-INDEX($B$5:$B$344,$A51-1)-1,"")))</f>
        <v/>
      </c>
      <c r="J51" s="11">
        <f>IF(OR($A51=1,$B51="",$A51+J$3&gt;340),"",IF(INDEX($B$5:$B$344,$A51+J$3)="","",IF(AND(YEAR($B51)=$B$2,YEAR(INDEX($B$5:$B$344,$A51+J$3-1))=$B$2),INDEX($B$5:$B$344,$A51+J$3)-INDEX($B$5:$B$344,$A51-1)-1,"")))</f>
        <v/>
      </c>
      <c r="K51" s="11">
        <f>IF(OR($A51=1,$B51="",$A51+K$3&gt;340),"",IF(INDEX($B$5:$B$344,$A51+K$3)="","",IF(AND(YEAR($B51)=$B$2,YEAR(INDEX($B$5:$B$344,$A51+K$3-1))=$B$2),INDEX($B$5:$B$344,$A51+K$3)-INDEX($B$5:$B$344,$A51-1)-1,"")))</f>
        <v/>
      </c>
      <c r="L51" s="11">
        <f>IF(OR($A51=1,$B51="",$A51+L$3&gt;340),"",IF(INDEX($B$5:$B$344,$A51+L$3)="","",IF(AND(YEAR($B51)=$B$2,YEAR(INDEX($B$5:$B$344,$A51+L$3-1))=$B$2),INDEX($B$5:$B$344,$A51+L$3)-INDEX($B$5:$B$344,$A51-1)-1,"")))</f>
        <v/>
      </c>
      <c r="M51" s="11">
        <f>IF(OR($A51=1,$B51="",$A51+M$3&gt;340),"",IF(INDEX($B$5:$B$344,$A51+M$3)="","",IF(AND(YEAR($B51)=$B$2,YEAR(INDEX($B$5:$B$344,$A51+M$3-1))=$B$2),INDEX($B$5:$B$344,$A51+M$3)-INDEX($B$5:$B$344,$A51-1)-1,"")))</f>
        <v/>
      </c>
    </row>
    <row r="52">
      <c r="A52" s="11" t="n">
        <v>48</v>
      </c>
      <c r="B52" s="10">
        <f>IFERROR(INDEX('2_暦'!$A$7:$A$433,MATCH(A52,'2_暦'!$K$7:$K$433,0)),"")</f>
        <v/>
      </c>
      <c r="C52" s="11">
        <f>IF(OR($A52=1,$B52=""),"",IF(OR(YEAR($B52-1)=$B$2,YEAR(INDEX($B$5:$B$344,$A52-1)+1)=$B$2),$B52-INDEX($B$5:$B$344,$A52-1)-1,""))</f>
        <v/>
      </c>
      <c r="D52" s="11">
        <f>IF(OR($A52=1,$B52="",$A52+D$3&gt;340),"",IF(INDEX($B$5:$B$344,$A52+D$3)="","",IF(AND(YEAR($B52)=$B$2,YEAR(INDEX($B$5:$B$344,$A52+D$3-1))=$B$2),INDEX($B$5:$B$344,$A52+D$3)-INDEX($B$5:$B$344,$A52-1)-1,"")))</f>
        <v/>
      </c>
      <c r="E52" s="11">
        <f>IF(OR($A52=1,$B52="",$A52+E$3&gt;340),"",IF(INDEX($B$5:$B$344,$A52+E$3)="","",IF(AND(YEAR($B52)=$B$2,YEAR(INDEX($B$5:$B$344,$A52+E$3-1))=$B$2),INDEX($B$5:$B$344,$A52+E$3)-INDEX($B$5:$B$344,$A52-1)-1,"")))</f>
        <v/>
      </c>
      <c r="F52" s="11">
        <f>IF(OR($A52=1,$B52="",$A52+F$3&gt;340),"",IF(INDEX($B$5:$B$344,$A52+F$3)="","",IF(AND(YEAR($B52)=$B$2,YEAR(INDEX($B$5:$B$344,$A52+F$3-1))=$B$2),INDEX($B$5:$B$344,$A52+F$3)-INDEX($B$5:$B$344,$A52-1)-1,"")))</f>
        <v/>
      </c>
      <c r="G52" s="11">
        <f>IF(OR($A52=1,$B52="",$A52+G$3&gt;340),"",IF(INDEX($B$5:$B$344,$A52+G$3)="","",IF(AND(YEAR($B52)=$B$2,YEAR(INDEX($B$5:$B$344,$A52+G$3-1))=$B$2),INDEX($B$5:$B$344,$A52+G$3)-INDEX($B$5:$B$344,$A52-1)-1,"")))</f>
        <v/>
      </c>
      <c r="H52" s="11">
        <f>IF(OR($A52=1,$B52="",$A52+H$3&gt;340),"",IF(INDEX($B$5:$B$344,$A52+H$3)="","",IF(AND(YEAR($B52)=$B$2,YEAR(INDEX($B$5:$B$344,$A52+H$3-1))=$B$2),INDEX($B$5:$B$344,$A52+H$3)-INDEX($B$5:$B$344,$A52-1)-1,"")))</f>
        <v/>
      </c>
      <c r="I52" s="11">
        <f>IF(OR($A52=1,$B52="",$A52+I$3&gt;340),"",IF(INDEX($B$5:$B$344,$A52+I$3)="","",IF(AND(YEAR($B52)=$B$2,YEAR(INDEX($B$5:$B$344,$A52+I$3-1))=$B$2),INDEX($B$5:$B$344,$A52+I$3)-INDEX($B$5:$B$344,$A52-1)-1,"")))</f>
        <v/>
      </c>
      <c r="J52" s="11">
        <f>IF(OR($A52=1,$B52="",$A52+J$3&gt;340),"",IF(INDEX($B$5:$B$344,$A52+J$3)="","",IF(AND(YEAR($B52)=$B$2,YEAR(INDEX($B$5:$B$344,$A52+J$3-1))=$B$2),INDEX($B$5:$B$344,$A52+J$3)-INDEX($B$5:$B$344,$A52-1)-1,"")))</f>
        <v/>
      </c>
      <c r="K52" s="11">
        <f>IF(OR($A52=1,$B52="",$A52+K$3&gt;340),"",IF(INDEX($B$5:$B$344,$A52+K$3)="","",IF(AND(YEAR($B52)=$B$2,YEAR(INDEX($B$5:$B$344,$A52+K$3-1))=$B$2),INDEX($B$5:$B$344,$A52+K$3)-INDEX($B$5:$B$344,$A52-1)-1,"")))</f>
        <v/>
      </c>
      <c r="L52" s="11">
        <f>IF(OR($A52=1,$B52="",$A52+L$3&gt;340),"",IF(INDEX($B$5:$B$344,$A52+L$3)="","",IF(AND(YEAR($B52)=$B$2,YEAR(INDEX($B$5:$B$344,$A52+L$3-1))=$B$2),INDEX($B$5:$B$344,$A52+L$3)-INDEX($B$5:$B$344,$A52-1)-1,"")))</f>
        <v/>
      </c>
      <c r="M52" s="11">
        <f>IF(OR($A52=1,$B52="",$A52+M$3&gt;340),"",IF(INDEX($B$5:$B$344,$A52+M$3)="","",IF(AND(YEAR($B52)=$B$2,YEAR(INDEX($B$5:$B$344,$A52+M$3-1))=$B$2),INDEX($B$5:$B$344,$A52+M$3)-INDEX($B$5:$B$344,$A52-1)-1,"")))</f>
        <v/>
      </c>
    </row>
    <row r="53">
      <c r="A53" s="11" t="n">
        <v>49</v>
      </c>
      <c r="B53" s="10">
        <f>IFERROR(INDEX('2_暦'!$A$7:$A$433,MATCH(A53,'2_暦'!$K$7:$K$433,0)),"")</f>
        <v/>
      </c>
      <c r="C53" s="11">
        <f>IF(OR($A53=1,$B53=""),"",IF(OR(YEAR($B53-1)=$B$2,YEAR(INDEX($B$5:$B$344,$A53-1)+1)=$B$2),$B53-INDEX($B$5:$B$344,$A53-1)-1,""))</f>
        <v/>
      </c>
      <c r="D53" s="11">
        <f>IF(OR($A53=1,$B53="",$A53+D$3&gt;340),"",IF(INDEX($B$5:$B$344,$A53+D$3)="","",IF(AND(YEAR($B53)=$B$2,YEAR(INDEX($B$5:$B$344,$A53+D$3-1))=$B$2),INDEX($B$5:$B$344,$A53+D$3)-INDEX($B$5:$B$344,$A53-1)-1,"")))</f>
        <v/>
      </c>
      <c r="E53" s="11">
        <f>IF(OR($A53=1,$B53="",$A53+E$3&gt;340),"",IF(INDEX($B$5:$B$344,$A53+E$3)="","",IF(AND(YEAR($B53)=$B$2,YEAR(INDEX($B$5:$B$344,$A53+E$3-1))=$B$2),INDEX($B$5:$B$344,$A53+E$3)-INDEX($B$5:$B$344,$A53-1)-1,"")))</f>
        <v/>
      </c>
      <c r="F53" s="11">
        <f>IF(OR($A53=1,$B53="",$A53+F$3&gt;340),"",IF(INDEX($B$5:$B$344,$A53+F$3)="","",IF(AND(YEAR($B53)=$B$2,YEAR(INDEX($B$5:$B$344,$A53+F$3-1))=$B$2),INDEX($B$5:$B$344,$A53+F$3)-INDEX($B$5:$B$344,$A53-1)-1,"")))</f>
        <v/>
      </c>
      <c r="G53" s="11">
        <f>IF(OR($A53=1,$B53="",$A53+G$3&gt;340),"",IF(INDEX($B$5:$B$344,$A53+G$3)="","",IF(AND(YEAR($B53)=$B$2,YEAR(INDEX($B$5:$B$344,$A53+G$3-1))=$B$2),INDEX($B$5:$B$344,$A53+G$3)-INDEX($B$5:$B$344,$A53-1)-1,"")))</f>
        <v/>
      </c>
      <c r="H53" s="11">
        <f>IF(OR($A53=1,$B53="",$A53+H$3&gt;340),"",IF(INDEX($B$5:$B$344,$A53+H$3)="","",IF(AND(YEAR($B53)=$B$2,YEAR(INDEX($B$5:$B$344,$A53+H$3-1))=$B$2),INDEX($B$5:$B$344,$A53+H$3)-INDEX($B$5:$B$344,$A53-1)-1,"")))</f>
        <v/>
      </c>
      <c r="I53" s="11">
        <f>IF(OR($A53=1,$B53="",$A53+I$3&gt;340),"",IF(INDEX($B$5:$B$344,$A53+I$3)="","",IF(AND(YEAR($B53)=$B$2,YEAR(INDEX($B$5:$B$344,$A53+I$3-1))=$B$2),INDEX($B$5:$B$344,$A53+I$3)-INDEX($B$5:$B$344,$A53-1)-1,"")))</f>
        <v/>
      </c>
      <c r="J53" s="11">
        <f>IF(OR($A53=1,$B53="",$A53+J$3&gt;340),"",IF(INDEX($B$5:$B$344,$A53+J$3)="","",IF(AND(YEAR($B53)=$B$2,YEAR(INDEX($B$5:$B$344,$A53+J$3-1))=$B$2),INDEX($B$5:$B$344,$A53+J$3)-INDEX($B$5:$B$344,$A53-1)-1,"")))</f>
        <v/>
      </c>
      <c r="K53" s="11">
        <f>IF(OR($A53=1,$B53="",$A53+K$3&gt;340),"",IF(INDEX($B$5:$B$344,$A53+K$3)="","",IF(AND(YEAR($B53)=$B$2,YEAR(INDEX($B$5:$B$344,$A53+K$3-1))=$B$2),INDEX($B$5:$B$344,$A53+K$3)-INDEX($B$5:$B$344,$A53-1)-1,"")))</f>
        <v/>
      </c>
      <c r="L53" s="11">
        <f>IF(OR($A53=1,$B53="",$A53+L$3&gt;340),"",IF(INDEX($B$5:$B$344,$A53+L$3)="","",IF(AND(YEAR($B53)=$B$2,YEAR(INDEX($B$5:$B$344,$A53+L$3-1))=$B$2),INDEX($B$5:$B$344,$A53+L$3)-INDEX($B$5:$B$344,$A53-1)-1,"")))</f>
        <v/>
      </c>
      <c r="M53" s="11">
        <f>IF(OR($A53=1,$B53="",$A53+M$3&gt;340),"",IF(INDEX($B$5:$B$344,$A53+M$3)="","",IF(AND(YEAR($B53)=$B$2,YEAR(INDEX($B$5:$B$344,$A53+M$3-1))=$B$2),INDEX($B$5:$B$344,$A53+M$3)-INDEX($B$5:$B$344,$A53-1)-1,"")))</f>
        <v/>
      </c>
    </row>
    <row r="54">
      <c r="A54" s="11" t="n">
        <v>50</v>
      </c>
      <c r="B54" s="10">
        <f>IFERROR(INDEX('2_暦'!$A$7:$A$433,MATCH(A54,'2_暦'!$K$7:$K$433,0)),"")</f>
        <v/>
      </c>
      <c r="C54" s="11">
        <f>IF(OR($A54=1,$B54=""),"",IF(OR(YEAR($B54-1)=$B$2,YEAR(INDEX($B$5:$B$344,$A54-1)+1)=$B$2),$B54-INDEX($B$5:$B$344,$A54-1)-1,""))</f>
        <v/>
      </c>
      <c r="D54" s="11">
        <f>IF(OR($A54=1,$B54="",$A54+D$3&gt;340),"",IF(INDEX($B$5:$B$344,$A54+D$3)="","",IF(AND(YEAR($B54)=$B$2,YEAR(INDEX($B$5:$B$344,$A54+D$3-1))=$B$2),INDEX($B$5:$B$344,$A54+D$3)-INDEX($B$5:$B$344,$A54-1)-1,"")))</f>
        <v/>
      </c>
      <c r="E54" s="11">
        <f>IF(OR($A54=1,$B54="",$A54+E$3&gt;340),"",IF(INDEX($B$5:$B$344,$A54+E$3)="","",IF(AND(YEAR($B54)=$B$2,YEAR(INDEX($B$5:$B$344,$A54+E$3-1))=$B$2),INDEX($B$5:$B$344,$A54+E$3)-INDEX($B$5:$B$344,$A54-1)-1,"")))</f>
        <v/>
      </c>
      <c r="F54" s="11">
        <f>IF(OR($A54=1,$B54="",$A54+F$3&gt;340),"",IF(INDEX($B$5:$B$344,$A54+F$3)="","",IF(AND(YEAR($B54)=$B$2,YEAR(INDEX($B$5:$B$344,$A54+F$3-1))=$B$2),INDEX($B$5:$B$344,$A54+F$3)-INDEX($B$5:$B$344,$A54-1)-1,"")))</f>
        <v/>
      </c>
      <c r="G54" s="11">
        <f>IF(OR($A54=1,$B54="",$A54+G$3&gt;340),"",IF(INDEX($B$5:$B$344,$A54+G$3)="","",IF(AND(YEAR($B54)=$B$2,YEAR(INDEX($B$5:$B$344,$A54+G$3-1))=$B$2),INDEX($B$5:$B$344,$A54+G$3)-INDEX($B$5:$B$344,$A54-1)-1,"")))</f>
        <v/>
      </c>
      <c r="H54" s="11">
        <f>IF(OR($A54=1,$B54="",$A54+H$3&gt;340),"",IF(INDEX($B$5:$B$344,$A54+H$3)="","",IF(AND(YEAR($B54)=$B$2,YEAR(INDEX($B$5:$B$344,$A54+H$3-1))=$B$2),INDEX($B$5:$B$344,$A54+H$3)-INDEX($B$5:$B$344,$A54-1)-1,"")))</f>
        <v/>
      </c>
      <c r="I54" s="11">
        <f>IF(OR($A54=1,$B54="",$A54+I$3&gt;340),"",IF(INDEX($B$5:$B$344,$A54+I$3)="","",IF(AND(YEAR($B54)=$B$2,YEAR(INDEX($B$5:$B$344,$A54+I$3-1))=$B$2),INDEX($B$5:$B$344,$A54+I$3)-INDEX($B$5:$B$344,$A54-1)-1,"")))</f>
        <v/>
      </c>
      <c r="J54" s="11">
        <f>IF(OR($A54=1,$B54="",$A54+J$3&gt;340),"",IF(INDEX($B$5:$B$344,$A54+J$3)="","",IF(AND(YEAR($B54)=$B$2,YEAR(INDEX($B$5:$B$344,$A54+J$3-1))=$B$2),INDEX($B$5:$B$344,$A54+J$3)-INDEX($B$5:$B$344,$A54-1)-1,"")))</f>
        <v/>
      </c>
      <c r="K54" s="11">
        <f>IF(OR($A54=1,$B54="",$A54+K$3&gt;340),"",IF(INDEX($B$5:$B$344,$A54+K$3)="","",IF(AND(YEAR($B54)=$B$2,YEAR(INDEX($B$5:$B$344,$A54+K$3-1))=$B$2),INDEX($B$5:$B$344,$A54+K$3)-INDEX($B$5:$B$344,$A54-1)-1,"")))</f>
        <v/>
      </c>
      <c r="L54" s="11">
        <f>IF(OR($A54=1,$B54="",$A54+L$3&gt;340),"",IF(INDEX($B$5:$B$344,$A54+L$3)="","",IF(AND(YEAR($B54)=$B$2,YEAR(INDEX($B$5:$B$344,$A54+L$3-1))=$B$2),INDEX($B$5:$B$344,$A54+L$3)-INDEX($B$5:$B$344,$A54-1)-1,"")))</f>
        <v/>
      </c>
      <c r="M54" s="11">
        <f>IF(OR($A54=1,$B54="",$A54+M$3&gt;340),"",IF(INDEX($B$5:$B$344,$A54+M$3)="","",IF(AND(YEAR($B54)=$B$2,YEAR(INDEX($B$5:$B$344,$A54+M$3-1))=$B$2),INDEX($B$5:$B$344,$A54+M$3)-INDEX($B$5:$B$344,$A54-1)-1,"")))</f>
        <v/>
      </c>
    </row>
    <row r="55">
      <c r="A55" s="11" t="n">
        <v>51</v>
      </c>
      <c r="B55" s="10">
        <f>IFERROR(INDEX('2_暦'!$A$7:$A$433,MATCH(A55,'2_暦'!$K$7:$K$433,0)),"")</f>
        <v/>
      </c>
      <c r="C55" s="11">
        <f>IF(OR($A55=1,$B55=""),"",IF(OR(YEAR($B55-1)=$B$2,YEAR(INDEX($B$5:$B$344,$A55-1)+1)=$B$2),$B55-INDEX($B$5:$B$344,$A55-1)-1,""))</f>
        <v/>
      </c>
      <c r="D55" s="11">
        <f>IF(OR($A55=1,$B55="",$A55+D$3&gt;340),"",IF(INDEX($B$5:$B$344,$A55+D$3)="","",IF(AND(YEAR($B55)=$B$2,YEAR(INDEX($B$5:$B$344,$A55+D$3-1))=$B$2),INDEX($B$5:$B$344,$A55+D$3)-INDEX($B$5:$B$344,$A55-1)-1,"")))</f>
        <v/>
      </c>
      <c r="E55" s="11">
        <f>IF(OR($A55=1,$B55="",$A55+E$3&gt;340),"",IF(INDEX($B$5:$B$344,$A55+E$3)="","",IF(AND(YEAR($B55)=$B$2,YEAR(INDEX($B$5:$B$344,$A55+E$3-1))=$B$2),INDEX($B$5:$B$344,$A55+E$3)-INDEX($B$5:$B$344,$A55-1)-1,"")))</f>
        <v/>
      </c>
      <c r="F55" s="11">
        <f>IF(OR($A55=1,$B55="",$A55+F$3&gt;340),"",IF(INDEX($B$5:$B$344,$A55+F$3)="","",IF(AND(YEAR($B55)=$B$2,YEAR(INDEX($B$5:$B$344,$A55+F$3-1))=$B$2),INDEX($B$5:$B$344,$A55+F$3)-INDEX($B$5:$B$344,$A55-1)-1,"")))</f>
        <v/>
      </c>
      <c r="G55" s="11">
        <f>IF(OR($A55=1,$B55="",$A55+G$3&gt;340),"",IF(INDEX($B$5:$B$344,$A55+G$3)="","",IF(AND(YEAR($B55)=$B$2,YEAR(INDEX($B$5:$B$344,$A55+G$3-1))=$B$2),INDEX($B$5:$B$344,$A55+G$3)-INDEX($B$5:$B$344,$A55-1)-1,"")))</f>
        <v/>
      </c>
      <c r="H55" s="11">
        <f>IF(OR($A55=1,$B55="",$A55+H$3&gt;340),"",IF(INDEX($B$5:$B$344,$A55+H$3)="","",IF(AND(YEAR($B55)=$B$2,YEAR(INDEX($B$5:$B$344,$A55+H$3-1))=$B$2),INDEX($B$5:$B$344,$A55+H$3)-INDEX($B$5:$B$344,$A55-1)-1,"")))</f>
        <v/>
      </c>
      <c r="I55" s="11">
        <f>IF(OR($A55=1,$B55="",$A55+I$3&gt;340),"",IF(INDEX($B$5:$B$344,$A55+I$3)="","",IF(AND(YEAR($B55)=$B$2,YEAR(INDEX($B$5:$B$344,$A55+I$3-1))=$B$2),INDEX($B$5:$B$344,$A55+I$3)-INDEX($B$5:$B$344,$A55-1)-1,"")))</f>
        <v/>
      </c>
      <c r="J55" s="11">
        <f>IF(OR($A55=1,$B55="",$A55+J$3&gt;340),"",IF(INDEX($B$5:$B$344,$A55+J$3)="","",IF(AND(YEAR($B55)=$B$2,YEAR(INDEX($B$5:$B$344,$A55+J$3-1))=$B$2),INDEX($B$5:$B$344,$A55+J$3)-INDEX($B$5:$B$344,$A55-1)-1,"")))</f>
        <v/>
      </c>
      <c r="K55" s="11">
        <f>IF(OR($A55=1,$B55="",$A55+K$3&gt;340),"",IF(INDEX($B$5:$B$344,$A55+K$3)="","",IF(AND(YEAR($B55)=$B$2,YEAR(INDEX($B$5:$B$344,$A55+K$3-1))=$B$2),INDEX($B$5:$B$344,$A55+K$3)-INDEX($B$5:$B$344,$A55-1)-1,"")))</f>
        <v/>
      </c>
      <c r="L55" s="11">
        <f>IF(OR($A55=1,$B55="",$A55+L$3&gt;340),"",IF(INDEX($B$5:$B$344,$A55+L$3)="","",IF(AND(YEAR($B55)=$B$2,YEAR(INDEX($B$5:$B$344,$A55+L$3-1))=$B$2),INDEX($B$5:$B$344,$A55+L$3)-INDEX($B$5:$B$344,$A55-1)-1,"")))</f>
        <v/>
      </c>
      <c r="M55" s="11">
        <f>IF(OR($A55=1,$B55="",$A55+M$3&gt;340),"",IF(INDEX($B$5:$B$344,$A55+M$3)="","",IF(AND(YEAR($B55)=$B$2,YEAR(INDEX($B$5:$B$344,$A55+M$3-1))=$B$2),INDEX($B$5:$B$344,$A55+M$3)-INDEX($B$5:$B$344,$A55-1)-1,"")))</f>
        <v/>
      </c>
    </row>
    <row r="56">
      <c r="A56" s="11" t="n">
        <v>52</v>
      </c>
      <c r="B56" s="10">
        <f>IFERROR(INDEX('2_暦'!$A$7:$A$433,MATCH(A56,'2_暦'!$K$7:$K$433,0)),"")</f>
        <v/>
      </c>
      <c r="C56" s="11">
        <f>IF(OR($A56=1,$B56=""),"",IF(OR(YEAR($B56-1)=$B$2,YEAR(INDEX($B$5:$B$344,$A56-1)+1)=$B$2),$B56-INDEX($B$5:$B$344,$A56-1)-1,""))</f>
        <v/>
      </c>
      <c r="D56" s="11">
        <f>IF(OR($A56=1,$B56="",$A56+D$3&gt;340),"",IF(INDEX($B$5:$B$344,$A56+D$3)="","",IF(AND(YEAR($B56)=$B$2,YEAR(INDEX($B$5:$B$344,$A56+D$3-1))=$B$2),INDEX($B$5:$B$344,$A56+D$3)-INDEX($B$5:$B$344,$A56-1)-1,"")))</f>
        <v/>
      </c>
      <c r="E56" s="11">
        <f>IF(OR($A56=1,$B56="",$A56+E$3&gt;340),"",IF(INDEX($B$5:$B$344,$A56+E$3)="","",IF(AND(YEAR($B56)=$B$2,YEAR(INDEX($B$5:$B$344,$A56+E$3-1))=$B$2),INDEX($B$5:$B$344,$A56+E$3)-INDEX($B$5:$B$344,$A56-1)-1,"")))</f>
        <v/>
      </c>
      <c r="F56" s="11">
        <f>IF(OR($A56=1,$B56="",$A56+F$3&gt;340),"",IF(INDEX($B$5:$B$344,$A56+F$3)="","",IF(AND(YEAR($B56)=$B$2,YEAR(INDEX($B$5:$B$344,$A56+F$3-1))=$B$2),INDEX($B$5:$B$344,$A56+F$3)-INDEX($B$5:$B$344,$A56-1)-1,"")))</f>
        <v/>
      </c>
      <c r="G56" s="11">
        <f>IF(OR($A56=1,$B56="",$A56+G$3&gt;340),"",IF(INDEX($B$5:$B$344,$A56+G$3)="","",IF(AND(YEAR($B56)=$B$2,YEAR(INDEX($B$5:$B$344,$A56+G$3-1))=$B$2),INDEX($B$5:$B$344,$A56+G$3)-INDEX($B$5:$B$344,$A56-1)-1,"")))</f>
        <v/>
      </c>
      <c r="H56" s="11">
        <f>IF(OR($A56=1,$B56="",$A56+H$3&gt;340),"",IF(INDEX($B$5:$B$344,$A56+H$3)="","",IF(AND(YEAR($B56)=$B$2,YEAR(INDEX($B$5:$B$344,$A56+H$3-1))=$B$2),INDEX($B$5:$B$344,$A56+H$3)-INDEX($B$5:$B$344,$A56-1)-1,"")))</f>
        <v/>
      </c>
      <c r="I56" s="11">
        <f>IF(OR($A56=1,$B56="",$A56+I$3&gt;340),"",IF(INDEX($B$5:$B$344,$A56+I$3)="","",IF(AND(YEAR($B56)=$B$2,YEAR(INDEX($B$5:$B$344,$A56+I$3-1))=$B$2),INDEX($B$5:$B$344,$A56+I$3)-INDEX($B$5:$B$344,$A56-1)-1,"")))</f>
        <v/>
      </c>
      <c r="J56" s="11">
        <f>IF(OR($A56=1,$B56="",$A56+J$3&gt;340),"",IF(INDEX($B$5:$B$344,$A56+J$3)="","",IF(AND(YEAR($B56)=$B$2,YEAR(INDEX($B$5:$B$344,$A56+J$3-1))=$B$2),INDEX($B$5:$B$344,$A56+J$3)-INDEX($B$5:$B$344,$A56-1)-1,"")))</f>
        <v/>
      </c>
      <c r="K56" s="11">
        <f>IF(OR($A56=1,$B56="",$A56+K$3&gt;340),"",IF(INDEX($B$5:$B$344,$A56+K$3)="","",IF(AND(YEAR($B56)=$B$2,YEAR(INDEX($B$5:$B$344,$A56+K$3-1))=$B$2),INDEX($B$5:$B$344,$A56+K$3)-INDEX($B$5:$B$344,$A56-1)-1,"")))</f>
        <v/>
      </c>
      <c r="L56" s="11">
        <f>IF(OR($A56=1,$B56="",$A56+L$3&gt;340),"",IF(INDEX($B$5:$B$344,$A56+L$3)="","",IF(AND(YEAR($B56)=$B$2,YEAR(INDEX($B$5:$B$344,$A56+L$3-1))=$B$2),INDEX($B$5:$B$344,$A56+L$3)-INDEX($B$5:$B$344,$A56-1)-1,"")))</f>
        <v/>
      </c>
      <c r="M56" s="11">
        <f>IF(OR($A56=1,$B56="",$A56+M$3&gt;340),"",IF(INDEX($B$5:$B$344,$A56+M$3)="","",IF(AND(YEAR($B56)=$B$2,YEAR(INDEX($B$5:$B$344,$A56+M$3-1))=$B$2),INDEX($B$5:$B$344,$A56+M$3)-INDEX($B$5:$B$344,$A56-1)-1,"")))</f>
        <v/>
      </c>
    </row>
    <row r="57">
      <c r="A57" s="11" t="n">
        <v>53</v>
      </c>
      <c r="B57" s="10">
        <f>IFERROR(INDEX('2_暦'!$A$7:$A$433,MATCH(A57,'2_暦'!$K$7:$K$433,0)),"")</f>
        <v/>
      </c>
      <c r="C57" s="11">
        <f>IF(OR($A57=1,$B57=""),"",IF(OR(YEAR($B57-1)=$B$2,YEAR(INDEX($B$5:$B$344,$A57-1)+1)=$B$2),$B57-INDEX($B$5:$B$344,$A57-1)-1,""))</f>
        <v/>
      </c>
      <c r="D57" s="11">
        <f>IF(OR($A57=1,$B57="",$A57+D$3&gt;340),"",IF(INDEX($B$5:$B$344,$A57+D$3)="","",IF(AND(YEAR($B57)=$B$2,YEAR(INDEX($B$5:$B$344,$A57+D$3-1))=$B$2),INDEX($B$5:$B$344,$A57+D$3)-INDEX($B$5:$B$344,$A57-1)-1,"")))</f>
        <v/>
      </c>
      <c r="E57" s="11">
        <f>IF(OR($A57=1,$B57="",$A57+E$3&gt;340),"",IF(INDEX($B$5:$B$344,$A57+E$3)="","",IF(AND(YEAR($B57)=$B$2,YEAR(INDEX($B$5:$B$344,$A57+E$3-1))=$B$2),INDEX($B$5:$B$344,$A57+E$3)-INDEX($B$5:$B$344,$A57-1)-1,"")))</f>
        <v/>
      </c>
      <c r="F57" s="11">
        <f>IF(OR($A57=1,$B57="",$A57+F$3&gt;340),"",IF(INDEX($B$5:$B$344,$A57+F$3)="","",IF(AND(YEAR($B57)=$B$2,YEAR(INDEX($B$5:$B$344,$A57+F$3-1))=$B$2),INDEX($B$5:$B$344,$A57+F$3)-INDEX($B$5:$B$344,$A57-1)-1,"")))</f>
        <v/>
      </c>
      <c r="G57" s="11">
        <f>IF(OR($A57=1,$B57="",$A57+G$3&gt;340),"",IF(INDEX($B$5:$B$344,$A57+G$3)="","",IF(AND(YEAR($B57)=$B$2,YEAR(INDEX($B$5:$B$344,$A57+G$3-1))=$B$2),INDEX($B$5:$B$344,$A57+G$3)-INDEX($B$5:$B$344,$A57-1)-1,"")))</f>
        <v/>
      </c>
      <c r="H57" s="11">
        <f>IF(OR($A57=1,$B57="",$A57+H$3&gt;340),"",IF(INDEX($B$5:$B$344,$A57+H$3)="","",IF(AND(YEAR($B57)=$B$2,YEAR(INDEX($B$5:$B$344,$A57+H$3-1))=$B$2),INDEX($B$5:$B$344,$A57+H$3)-INDEX($B$5:$B$344,$A57-1)-1,"")))</f>
        <v/>
      </c>
      <c r="I57" s="11">
        <f>IF(OR($A57=1,$B57="",$A57+I$3&gt;340),"",IF(INDEX($B$5:$B$344,$A57+I$3)="","",IF(AND(YEAR($B57)=$B$2,YEAR(INDEX($B$5:$B$344,$A57+I$3-1))=$B$2),INDEX($B$5:$B$344,$A57+I$3)-INDEX($B$5:$B$344,$A57-1)-1,"")))</f>
        <v/>
      </c>
      <c r="J57" s="11">
        <f>IF(OR($A57=1,$B57="",$A57+J$3&gt;340),"",IF(INDEX($B$5:$B$344,$A57+J$3)="","",IF(AND(YEAR($B57)=$B$2,YEAR(INDEX($B$5:$B$344,$A57+J$3-1))=$B$2),INDEX($B$5:$B$344,$A57+J$3)-INDEX($B$5:$B$344,$A57-1)-1,"")))</f>
        <v/>
      </c>
      <c r="K57" s="11">
        <f>IF(OR($A57=1,$B57="",$A57+K$3&gt;340),"",IF(INDEX($B$5:$B$344,$A57+K$3)="","",IF(AND(YEAR($B57)=$B$2,YEAR(INDEX($B$5:$B$344,$A57+K$3-1))=$B$2),INDEX($B$5:$B$344,$A57+K$3)-INDEX($B$5:$B$344,$A57-1)-1,"")))</f>
        <v/>
      </c>
      <c r="L57" s="11">
        <f>IF(OR($A57=1,$B57="",$A57+L$3&gt;340),"",IF(INDEX($B$5:$B$344,$A57+L$3)="","",IF(AND(YEAR($B57)=$B$2,YEAR(INDEX($B$5:$B$344,$A57+L$3-1))=$B$2),INDEX($B$5:$B$344,$A57+L$3)-INDEX($B$5:$B$344,$A57-1)-1,"")))</f>
        <v/>
      </c>
      <c r="M57" s="11">
        <f>IF(OR($A57=1,$B57="",$A57+M$3&gt;340),"",IF(INDEX($B$5:$B$344,$A57+M$3)="","",IF(AND(YEAR($B57)=$B$2,YEAR(INDEX($B$5:$B$344,$A57+M$3-1))=$B$2),INDEX($B$5:$B$344,$A57+M$3)-INDEX($B$5:$B$344,$A57-1)-1,"")))</f>
        <v/>
      </c>
    </row>
    <row r="58">
      <c r="A58" s="11" t="n">
        <v>54</v>
      </c>
      <c r="B58" s="10">
        <f>IFERROR(INDEX('2_暦'!$A$7:$A$433,MATCH(A58,'2_暦'!$K$7:$K$433,0)),"")</f>
        <v/>
      </c>
      <c r="C58" s="11">
        <f>IF(OR($A58=1,$B58=""),"",IF(OR(YEAR($B58-1)=$B$2,YEAR(INDEX($B$5:$B$344,$A58-1)+1)=$B$2),$B58-INDEX($B$5:$B$344,$A58-1)-1,""))</f>
        <v/>
      </c>
      <c r="D58" s="11">
        <f>IF(OR($A58=1,$B58="",$A58+D$3&gt;340),"",IF(INDEX($B$5:$B$344,$A58+D$3)="","",IF(AND(YEAR($B58)=$B$2,YEAR(INDEX($B$5:$B$344,$A58+D$3-1))=$B$2),INDEX($B$5:$B$344,$A58+D$3)-INDEX($B$5:$B$344,$A58-1)-1,"")))</f>
        <v/>
      </c>
      <c r="E58" s="11">
        <f>IF(OR($A58=1,$B58="",$A58+E$3&gt;340),"",IF(INDEX($B$5:$B$344,$A58+E$3)="","",IF(AND(YEAR($B58)=$B$2,YEAR(INDEX($B$5:$B$344,$A58+E$3-1))=$B$2),INDEX($B$5:$B$344,$A58+E$3)-INDEX($B$5:$B$344,$A58-1)-1,"")))</f>
        <v/>
      </c>
      <c r="F58" s="11">
        <f>IF(OR($A58=1,$B58="",$A58+F$3&gt;340),"",IF(INDEX($B$5:$B$344,$A58+F$3)="","",IF(AND(YEAR($B58)=$B$2,YEAR(INDEX($B$5:$B$344,$A58+F$3-1))=$B$2),INDEX($B$5:$B$344,$A58+F$3)-INDEX($B$5:$B$344,$A58-1)-1,"")))</f>
        <v/>
      </c>
      <c r="G58" s="11">
        <f>IF(OR($A58=1,$B58="",$A58+G$3&gt;340),"",IF(INDEX($B$5:$B$344,$A58+G$3)="","",IF(AND(YEAR($B58)=$B$2,YEAR(INDEX($B$5:$B$344,$A58+G$3-1))=$B$2),INDEX($B$5:$B$344,$A58+G$3)-INDEX($B$5:$B$344,$A58-1)-1,"")))</f>
        <v/>
      </c>
      <c r="H58" s="11">
        <f>IF(OR($A58=1,$B58="",$A58+H$3&gt;340),"",IF(INDEX($B$5:$B$344,$A58+H$3)="","",IF(AND(YEAR($B58)=$B$2,YEAR(INDEX($B$5:$B$344,$A58+H$3-1))=$B$2),INDEX($B$5:$B$344,$A58+H$3)-INDEX($B$5:$B$344,$A58-1)-1,"")))</f>
        <v/>
      </c>
      <c r="I58" s="11">
        <f>IF(OR($A58=1,$B58="",$A58+I$3&gt;340),"",IF(INDEX($B$5:$B$344,$A58+I$3)="","",IF(AND(YEAR($B58)=$B$2,YEAR(INDEX($B$5:$B$344,$A58+I$3-1))=$B$2),INDEX($B$5:$B$344,$A58+I$3)-INDEX($B$5:$B$344,$A58-1)-1,"")))</f>
        <v/>
      </c>
      <c r="J58" s="11">
        <f>IF(OR($A58=1,$B58="",$A58+J$3&gt;340),"",IF(INDEX($B$5:$B$344,$A58+J$3)="","",IF(AND(YEAR($B58)=$B$2,YEAR(INDEX($B$5:$B$344,$A58+J$3-1))=$B$2),INDEX($B$5:$B$344,$A58+J$3)-INDEX($B$5:$B$344,$A58-1)-1,"")))</f>
        <v/>
      </c>
      <c r="K58" s="11">
        <f>IF(OR($A58=1,$B58="",$A58+K$3&gt;340),"",IF(INDEX($B$5:$B$344,$A58+K$3)="","",IF(AND(YEAR($B58)=$B$2,YEAR(INDEX($B$5:$B$344,$A58+K$3-1))=$B$2),INDEX($B$5:$B$344,$A58+K$3)-INDEX($B$5:$B$344,$A58-1)-1,"")))</f>
        <v/>
      </c>
      <c r="L58" s="11">
        <f>IF(OR($A58=1,$B58="",$A58+L$3&gt;340),"",IF(INDEX($B$5:$B$344,$A58+L$3)="","",IF(AND(YEAR($B58)=$B$2,YEAR(INDEX($B$5:$B$344,$A58+L$3-1))=$B$2),INDEX($B$5:$B$344,$A58+L$3)-INDEX($B$5:$B$344,$A58-1)-1,"")))</f>
        <v/>
      </c>
      <c r="M58" s="11">
        <f>IF(OR($A58=1,$B58="",$A58+M$3&gt;340),"",IF(INDEX($B$5:$B$344,$A58+M$3)="","",IF(AND(YEAR($B58)=$B$2,YEAR(INDEX($B$5:$B$344,$A58+M$3-1))=$B$2),INDEX($B$5:$B$344,$A58+M$3)-INDEX($B$5:$B$344,$A58-1)-1,"")))</f>
        <v/>
      </c>
    </row>
    <row r="59">
      <c r="A59" s="11" t="n">
        <v>55</v>
      </c>
      <c r="B59" s="10">
        <f>IFERROR(INDEX('2_暦'!$A$7:$A$433,MATCH(A59,'2_暦'!$K$7:$K$433,0)),"")</f>
        <v/>
      </c>
      <c r="C59" s="11">
        <f>IF(OR($A59=1,$B59=""),"",IF(OR(YEAR($B59-1)=$B$2,YEAR(INDEX($B$5:$B$344,$A59-1)+1)=$B$2),$B59-INDEX($B$5:$B$344,$A59-1)-1,""))</f>
        <v/>
      </c>
      <c r="D59" s="11">
        <f>IF(OR($A59=1,$B59="",$A59+D$3&gt;340),"",IF(INDEX($B$5:$B$344,$A59+D$3)="","",IF(AND(YEAR($B59)=$B$2,YEAR(INDEX($B$5:$B$344,$A59+D$3-1))=$B$2),INDEX($B$5:$B$344,$A59+D$3)-INDEX($B$5:$B$344,$A59-1)-1,"")))</f>
        <v/>
      </c>
      <c r="E59" s="11">
        <f>IF(OR($A59=1,$B59="",$A59+E$3&gt;340),"",IF(INDEX($B$5:$B$344,$A59+E$3)="","",IF(AND(YEAR($B59)=$B$2,YEAR(INDEX($B$5:$B$344,$A59+E$3-1))=$B$2),INDEX($B$5:$B$344,$A59+E$3)-INDEX($B$5:$B$344,$A59-1)-1,"")))</f>
        <v/>
      </c>
      <c r="F59" s="11">
        <f>IF(OR($A59=1,$B59="",$A59+F$3&gt;340),"",IF(INDEX($B$5:$B$344,$A59+F$3)="","",IF(AND(YEAR($B59)=$B$2,YEAR(INDEX($B$5:$B$344,$A59+F$3-1))=$B$2),INDEX($B$5:$B$344,$A59+F$3)-INDEX($B$5:$B$344,$A59-1)-1,"")))</f>
        <v/>
      </c>
      <c r="G59" s="11">
        <f>IF(OR($A59=1,$B59="",$A59+G$3&gt;340),"",IF(INDEX($B$5:$B$344,$A59+G$3)="","",IF(AND(YEAR($B59)=$B$2,YEAR(INDEX($B$5:$B$344,$A59+G$3-1))=$B$2),INDEX($B$5:$B$344,$A59+G$3)-INDEX($B$5:$B$344,$A59-1)-1,"")))</f>
        <v/>
      </c>
      <c r="H59" s="11">
        <f>IF(OR($A59=1,$B59="",$A59+H$3&gt;340),"",IF(INDEX($B$5:$B$344,$A59+H$3)="","",IF(AND(YEAR($B59)=$B$2,YEAR(INDEX($B$5:$B$344,$A59+H$3-1))=$B$2),INDEX($B$5:$B$344,$A59+H$3)-INDEX($B$5:$B$344,$A59-1)-1,"")))</f>
        <v/>
      </c>
      <c r="I59" s="11">
        <f>IF(OR($A59=1,$B59="",$A59+I$3&gt;340),"",IF(INDEX($B$5:$B$344,$A59+I$3)="","",IF(AND(YEAR($B59)=$B$2,YEAR(INDEX($B$5:$B$344,$A59+I$3-1))=$B$2),INDEX($B$5:$B$344,$A59+I$3)-INDEX($B$5:$B$344,$A59-1)-1,"")))</f>
        <v/>
      </c>
      <c r="J59" s="11">
        <f>IF(OR($A59=1,$B59="",$A59+J$3&gt;340),"",IF(INDEX($B$5:$B$344,$A59+J$3)="","",IF(AND(YEAR($B59)=$B$2,YEAR(INDEX($B$5:$B$344,$A59+J$3-1))=$B$2),INDEX($B$5:$B$344,$A59+J$3)-INDEX($B$5:$B$344,$A59-1)-1,"")))</f>
        <v/>
      </c>
      <c r="K59" s="11">
        <f>IF(OR($A59=1,$B59="",$A59+K$3&gt;340),"",IF(INDEX($B$5:$B$344,$A59+K$3)="","",IF(AND(YEAR($B59)=$B$2,YEAR(INDEX($B$5:$B$344,$A59+K$3-1))=$B$2),INDEX($B$5:$B$344,$A59+K$3)-INDEX($B$5:$B$344,$A59-1)-1,"")))</f>
        <v/>
      </c>
      <c r="L59" s="11">
        <f>IF(OR($A59=1,$B59="",$A59+L$3&gt;340),"",IF(INDEX($B$5:$B$344,$A59+L$3)="","",IF(AND(YEAR($B59)=$B$2,YEAR(INDEX($B$5:$B$344,$A59+L$3-1))=$B$2),INDEX($B$5:$B$344,$A59+L$3)-INDEX($B$5:$B$344,$A59-1)-1,"")))</f>
        <v/>
      </c>
      <c r="M59" s="11">
        <f>IF(OR($A59=1,$B59="",$A59+M$3&gt;340),"",IF(INDEX($B$5:$B$344,$A59+M$3)="","",IF(AND(YEAR($B59)=$B$2,YEAR(INDEX($B$5:$B$344,$A59+M$3-1))=$B$2),INDEX($B$5:$B$344,$A59+M$3)-INDEX($B$5:$B$344,$A59-1)-1,"")))</f>
        <v/>
      </c>
    </row>
    <row r="60">
      <c r="A60" s="11" t="n">
        <v>56</v>
      </c>
      <c r="B60" s="10">
        <f>IFERROR(INDEX('2_暦'!$A$7:$A$433,MATCH(A60,'2_暦'!$K$7:$K$433,0)),"")</f>
        <v/>
      </c>
      <c r="C60" s="11">
        <f>IF(OR($A60=1,$B60=""),"",IF(OR(YEAR($B60-1)=$B$2,YEAR(INDEX($B$5:$B$344,$A60-1)+1)=$B$2),$B60-INDEX($B$5:$B$344,$A60-1)-1,""))</f>
        <v/>
      </c>
      <c r="D60" s="11">
        <f>IF(OR($A60=1,$B60="",$A60+D$3&gt;340),"",IF(INDEX($B$5:$B$344,$A60+D$3)="","",IF(AND(YEAR($B60)=$B$2,YEAR(INDEX($B$5:$B$344,$A60+D$3-1))=$B$2),INDEX($B$5:$B$344,$A60+D$3)-INDEX($B$5:$B$344,$A60-1)-1,"")))</f>
        <v/>
      </c>
      <c r="E60" s="11">
        <f>IF(OR($A60=1,$B60="",$A60+E$3&gt;340),"",IF(INDEX($B$5:$B$344,$A60+E$3)="","",IF(AND(YEAR($B60)=$B$2,YEAR(INDEX($B$5:$B$344,$A60+E$3-1))=$B$2),INDEX($B$5:$B$344,$A60+E$3)-INDEX($B$5:$B$344,$A60-1)-1,"")))</f>
        <v/>
      </c>
      <c r="F60" s="11">
        <f>IF(OR($A60=1,$B60="",$A60+F$3&gt;340),"",IF(INDEX($B$5:$B$344,$A60+F$3)="","",IF(AND(YEAR($B60)=$B$2,YEAR(INDEX($B$5:$B$344,$A60+F$3-1))=$B$2),INDEX($B$5:$B$344,$A60+F$3)-INDEX($B$5:$B$344,$A60-1)-1,"")))</f>
        <v/>
      </c>
      <c r="G60" s="11">
        <f>IF(OR($A60=1,$B60="",$A60+G$3&gt;340),"",IF(INDEX($B$5:$B$344,$A60+G$3)="","",IF(AND(YEAR($B60)=$B$2,YEAR(INDEX($B$5:$B$344,$A60+G$3-1))=$B$2),INDEX($B$5:$B$344,$A60+G$3)-INDEX($B$5:$B$344,$A60-1)-1,"")))</f>
        <v/>
      </c>
      <c r="H60" s="11">
        <f>IF(OR($A60=1,$B60="",$A60+H$3&gt;340),"",IF(INDEX($B$5:$B$344,$A60+H$3)="","",IF(AND(YEAR($B60)=$B$2,YEAR(INDEX($B$5:$B$344,$A60+H$3-1))=$B$2),INDEX($B$5:$B$344,$A60+H$3)-INDEX($B$5:$B$344,$A60-1)-1,"")))</f>
        <v/>
      </c>
      <c r="I60" s="11">
        <f>IF(OR($A60=1,$B60="",$A60+I$3&gt;340),"",IF(INDEX($B$5:$B$344,$A60+I$3)="","",IF(AND(YEAR($B60)=$B$2,YEAR(INDEX($B$5:$B$344,$A60+I$3-1))=$B$2),INDEX($B$5:$B$344,$A60+I$3)-INDEX($B$5:$B$344,$A60-1)-1,"")))</f>
        <v/>
      </c>
      <c r="J60" s="11">
        <f>IF(OR($A60=1,$B60="",$A60+J$3&gt;340),"",IF(INDEX($B$5:$B$344,$A60+J$3)="","",IF(AND(YEAR($B60)=$B$2,YEAR(INDEX($B$5:$B$344,$A60+J$3-1))=$B$2),INDEX($B$5:$B$344,$A60+J$3)-INDEX($B$5:$B$344,$A60-1)-1,"")))</f>
        <v/>
      </c>
      <c r="K60" s="11">
        <f>IF(OR($A60=1,$B60="",$A60+K$3&gt;340),"",IF(INDEX($B$5:$B$344,$A60+K$3)="","",IF(AND(YEAR($B60)=$B$2,YEAR(INDEX($B$5:$B$344,$A60+K$3-1))=$B$2),INDEX($B$5:$B$344,$A60+K$3)-INDEX($B$5:$B$344,$A60-1)-1,"")))</f>
        <v/>
      </c>
      <c r="L60" s="11">
        <f>IF(OR($A60=1,$B60="",$A60+L$3&gt;340),"",IF(INDEX($B$5:$B$344,$A60+L$3)="","",IF(AND(YEAR($B60)=$B$2,YEAR(INDEX($B$5:$B$344,$A60+L$3-1))=$B$2),INDEX($B$5:$B$344,$A60+L$3)-INDEX($B$5:$B$344,$A60-1)-1,"")))</f>
        <v/>
      </c>
      <c r="M60" s="11">
        <f>IF(OR($A60=1,$B60="",$A60+M$3&gt;340),"",IF(INDEX($B$5:$B$344,$A60+M$3)="","",IF(AND(YEAR($B60)=$B$2,YEAR(INDEX($B$5:$B$344,$A60+M$3-1))=$B$2),INDEX($B$5:$B$344,$A60+M$3)-INDEX($B$5:$B$344,$A60-1)-1,"")))</f>
        <v/>
      </c>
    </row>
    <row r="61">
      <c r="A61" s="11" t="n">
        <v>57</v>
      </c>
      <c r="B61" s="10">
        <f>IFERROR(INDEX('2_暦'!$A$7:$A$433,MATCH(A61,'2_暦'!$K$7:$K$433,0)),"")</f>
        <v/>
      </c>
      <c r="C61" s="11">
        <f>IF(OR($A61=1,$B61=""),"",IF(OR(YEAR($B61-1)=$B$2,YEAR(INDEX($B$5:$B$344,$A61-1)+1)=$B$2),$B61-INDEX($B$5:$B$344,$A61-1)-1,""))</f>
        <v/>
      </c>
      <c r="D61" s="11">
        <f>IF(OR($A61=1,$B61="",$A61+D$3&gt;340),"",IF(INDEX($B$5:$B$344,$A61+D$3)="","",IF(AND(YEAR($B61)=$B$2,YEAR(INDEX($B$5:$B$344,$A61+D$3-1))=$B$2),INDEX($B$5:$B$344,$A61+D$3)-INDEX($B$5:$B$344,$A61-1)-1,"")))</f>
        <v/>
      </c>
      <c r="E61" s="11">
        <f>IF(OR($A61=1,$B61="",$A61+E$3&gt;340),"",IF(INDEX($B$5:$B$344,$A61+E$3)="","",IF(AND(YEAR($B61)=$B$2,YEAR(INDEX($B$5:$B$344,$A61+E$3-1))=$B$2),INDEX($B$5:$B$344,$A61+E$3)-INDEX($B$5:$B$344,$A61-1)-1,"")))</f>
        <v/>
      </c>
      <c r="F61" s="11">
        <f>IF(OR($A61=1,$B61="",$A61+F$3&gt;340),"",IF(INDEX($B$5:$B$344,$A61+F$3)="","",IF(AND(YEAR($B61)=$B$2,YEAR(INDEX($B$5:$B$344,$A61+F$3-1))=$B$2),INDEX($B$5:$B$344,$A61+F$3)-INDEX($B$5:$B$344,$A61-1)-1,"")))</f>
        <v/>
      </c>
      <c r="G61" s="11">
        <f>IF(OR($A61=1,$B61="",$A61+G$3&gt;340),"",IF(INDEX($B$5:$B$344,$A61+G$3)="","",IF(AND(YEAR($B61)=$B$2,YEAR(INDEX($B$5:$B$344,$A61+G$3-1))=$B$2),INDEX($B$5:$B$344,$A61+G$3)-INDEX($B$5:$B$344,$A61-1)-1,"")))</f>
        <v/>
      </c>
      <c r="H61" s="11">
        <f>IF(OR($A61=1,$B61="",$A61+H$3&gt;340),"",IF(INDEX($B$5:$B$344,$A61+H$3)="","",IF(AND(YEAR($B61)=$B$2,YEAR(INDEX($B$5:$B$344,$A61+H$3-1))=$B$2),INDEX($B$5:$B$344,$A61+H$3)-INDEX($B$5:$B$344,$A61-1)-1,"")))</f>
        <v/>
      </c>
      <c r="I61" s="11">
        <f>IF(OR($A61=1,$B61="",$A61+I$3&gt;340),"",IF(INDEX($B$5:$B$344,$A61+I$3)="","",IF(AND(YEAR($B61)=$B$2,YEAR(INDEX($B$5:$B$344,$A61+I$3-1))=$B$2),INDEX($B$5:$B$344,$A61+I$3)-INDEX($B$5:$B$344,$A61-1)-1,"")))</f>
        <v/>
      </c>
      <c r="J61" s="11">
        <f>IF(OR($A61=1,$B61="",$A61+J$3&gt;340),"",IF(INDEX($B$5:$B$344,$A61+J$3)="","",IF(AND(YEAR($B61)=$B$2,YEAR(INDEX($B$5:$B$344,$A61+J$3-1))=$B$2),INDEX($B$5:$B$344,$A61+J$3)-INDEX($B$5:$B$344,$A61-1)-1,"")))</f>
        <v/>
      </c>
      <c r="K61" s="11">
        <f>IF(OR($A61=1,$B61="",$A61+K$3&gt;340),"",IF(INDEX($B$5:$B$344,$A61+K$3)="","",IF(AND(YEAR($B61)=$B$2,YEAR(INDEX($B$5:$B$344,$A61+K$3-1))=$B$2),INDEX($B$5:$B$344,$A61+K$3)-INDEX($B$5:$B$344,$A61-1)-1,"")))</f>
        <v/>
      </c>
      <c r="L61" s="11">
        <f>IF(OR($A61=1,$B61="",$A61+L$3&gt;340),"",IF(INDEX($B$5:$B$344,$A61+L$3)="","",IF(AND(YEAR($B61)=$B$2,YEAR(INDEX($B$5:$B$344,$A61+L$3-1))=$B$2),INDEX($B$5:$B$344,$A61+L$3)-INDEX($B$5:$B$344,$A61-1)-1,"")))</f>
        <v/>
      </c>
      <c r="M61" s="11">
        <f>IF(OR($A61=1,$B61="",$A61+M$3&gt;340),"",IF(INDEX($B$5:$B$344,$A61+M$3)="","",IF(AND(YEAR($B61)=$B$2,YEAR(INDEX($B$5:$B$344,$A61+M$3-1))=$B$2),INDEX($B$5:$B$344,$A61+M$3)-INDEX($B$5:$B$344,$A61-1)-1,"")))</f>
        <v/>
      </c>
    </row>
    <row r="62">
      <c r="A62" s="11" t="n">
        <v>58</v>
      </c>
      <c r="B62" s="10">
        <f>IFERROR(INDEX('2_暦'!$A$7:$A$433,MATCH(A62,'2_暦'!$K$7:$K$433,0)),"")</f>
        <v/>
      </c>
      <c r="C62" s="11">
        <f>IF(OR($A62=1,$B62=""),"",IF(OR(YEAR($B62-1)=$B$2,YEAR(INDEX($B$5:$B$344,$A62-1)+1)=$B$2),$B62-INDEX($B$5:$B$344,$A62-1)-1,""))</f>
        <v/>
      </c>
      <c r="D62" s="11">
        <f>IF(OR($A62=1,$B62="",$A62+D$3&gt;340),"",IF(INDEX($B$5:$B$344,$A62+D$3)="","",IF(AND(YEAR($B62)=$B$2,YEAR(INDEX($B$5:$B$344,$A62+D$3-1))=$B$2),INDEX($B$5:$B$344,$A62+D$3)-INDEX($B$5:$B$344,$A62-1)-1,"")))</f>
        <v/>
      </c>
      <c r="E62" s="11">
        <f>IF(OR($A62=1,$B62="",$A62+E$3&gt;340),"",IF(INDEX($B$5:$B$344,$A62+E$3)="","",IF(AND(YEAR($B62)=$B$2,YEAR(INDEX($B$5:$B$344,$A62+E$3-1))=$B$2),INDEX($B$5:$B$344,$A62+E$3)-INDEX($B$5:$B$344,$A62-1)-1,"")))</f>
        <v/>
      </c>
      <c r="F62" s="11">
        <f>IF(OR($A62=1,$B62="",$A62+F$3&gt;340),"",IF(INDEX($B$5:$B$344,$A62+F$3)="","",IF(AND(YEAR($B62)=$B$2,YEAR(INDEX($B$5:$B$344,$A62+F$3-1))=$B$2),INDEX($B$5:$B$344,$A62+F$3)-INDEX($B$5:$B$344,$A62-1)-1,"")))</f>
        <v/>
      </c>
      <c r="G62" s="11">
        <f>IF(OR($A62=1,$B62="",$A62+G$3&gt;340),"",IF(INDEX($B$5:$B$344,$A62+G$3)="","",IF(AND(YEAR($B62)=$B$2,YEAR(INDEX($B$5:$B$344,$A62+G$3-1))=$B$2),INDEX($B$5:$B$344,$A62+G$3)-INDEX($B$5:$B$344,$A62-1)-1,"")))</f>
        <v/>
      </c>
      <c r="H62" s="11">
        <f>IF(OR($A62=1,$B62="",$A62+H$3&gt;340),"",IF(INDEX($B$5:$B$344,$A62+H$3)="","",IF(AND(YEAR($B62)=$B$2,YEAR(INDEX($B$5:$B$344,$A62+H$3-1))=$B$2),INDEX($B$5:$B$344,$A62+H$3)-INDEX($B$5:$B$344,$A62-1)-1,"")))</f>
        <v/>
      </c>
      <c r="I62" s="11">
        <f>IF(OR($A62=1,$B62="",$A62+I$3&gt;340),"",IF(INDEX($B$5:$B$344,$A62+I$3)="","",IF(AND(YEAR($B62)=$B$2,YEAR(INDEX($B$5:$B$344,$A62+I$3-1))=$B$2),INDEX($B$5:$B$344,$A62+I$3)-INDEX($B$5:$B$344,$A62-1)-1,"")))</f>
        <v/>
      </c>
      <c r="J62" s="11">
        <f>IF(OR($A62=1,$B62="",$A62+J$3&gt;340),"",IF(INDEX($B$5:$B$344,$A62+J$3)="","",IF(AND(YEAR($B62)=$B$2,YEAR(INDEX($B$5:$B$344,$A62+J$3-1))=$B$2),INDEX($B$5:$B$344,$A62+J$3)-INDEX($B$5:$B$344,$A62-1)-1,"")))</f>
        <v/>
      </c>
      <c r="K62" s="11">
        <f>IF(OR($A62=1,$B62="",$A62+K$3&gt;340),"",IF(INDEX($B$5:$B$344,$A62+K$3)="","",IF(AND(YEAR($B62)=$B$2,YEAR(INDEX($B$5:$B$344,$A62+K$3-1))=$B$2),INDEX($B$5:$B$344,$A62+K$3)-INDEX($B$5:$B$344,$A62-1)-1,"")))</f>
        <v/>
      </c>
      <c r="L62" s="11">
        <f>IF(OR($A62=1,$B62="",$A62+L$3&gt;340),"",IF(INDEX($B$5:$B$344,$A62+L$3)="","",IF(AND(YEAR($B62)=$B$2,YEAR(INDEX($B$5:$B$344,$A62+L$3-1))=$B$2),INDEX($B$5:$B$344,$A62+L$3)-INDEX($B$5:$B$344,$A62-1)-1,"")))</f>
        <v/>
      </c>
      <c r="M62" s="11">
        <f>IF(OR($A62=1,$B62="",$A62+M$3&gt;340),"",IF(INDEX($B$5:$B$344,$A62+M$3)="","",IF(AND(YEAR($B62)=$B$2,YEAR(INDEX($B$5:$B$344,$A62+M$3-1))=$B$2),INDEX($B$5:$B$344,$A62+M$3)-INDEX($B$5:$B$344,$A62-1)-1,"")))</f>
        <v/>
      </c>
    </row>
    <row r="63">
      <c r="A63" s="11" t="n">
        <v>59</v>
      </c>
      <c r="B63" s="10">
        <f>IFERROR(INDEX('2_暦'!$A$7:$A$433,MATCH(A63,'2_暦'!$K$7:$K$433,0)),"")</f>
        <v/>
      </c>
      <c r="C63" s="11">
        <f>IF(OR($A63=1,$B63=""),"",IF(OR(YEAR($B63-1)=$B$2,YEAR(INDEX($B$5:$B$344,$A63-1)+1)=$B$2),$B63-INDEX($B$5:$B$344,$A63-1)-1,""))</f>
        <v/>
      </c>
      <c r="D63" s="11">
        <f>IF(OR($A63=1,$B63="",$A63+D$3&gt;340),"",IF(INDEX($B$5:$B$344,$A63+D$3)="","",IF(AND(YEAR($B63)=$B$2,YEAR(INDEX($B$5:$B$344,$A63+D$3-1))=$B$2),INDEX($B$5:$B$344,$A63+D$3)-INDEX($B$5:$B$344,$A63-1)-1,"")))</f>
        <v/>
      </c>
      <c r="E63" s="11">
        <f>IF(OR($A63=1,$B63="",$A63+E$3&gt;340),"",IF(INDEX($B$5:$B$344,$A63+E$3)="","",IF(AND(YEAR($B63)=$B$2,YEAR(INDEX($B$5:$B$344,$A63+E$3-1))=$B$2),INDEX($B$5:$B$344,$A63+E$3)-INDEX($B$5:$B$344,$A63-1)-1,"")))</f>
        <v/>
      </c>
      <c r="F63" s="11">
        <f>IF(OR($A63=1,$B63="",$A63+F$3&gt;340),"",IF(INDEX($B$5:$B$344,$A63+F$3)="","",IF(AND(YEAR($B63)=$B$2,YEAR(INDEX($B$5:$B$344,$A63+F$3-1))=$B$2),INDEX($B$5:$B$344,$A63+F$3)-INDEX($B$5:$B$344,$A63-1)-1,"")))</f>
        <v/>
      </c>
      <c r="G63" s="11">
        <f>IF(OR($A63=1,$B63="",$A63+G$3&gt;340),"",IF(INDEX($B$5:$B$344,$A63+G$3)="","",IF(AND(YEAR($B63)=$B$2,YEAR(INDEX($B$5:$B$344,$A63+G$3-1))=$B$2),INDEX($B$5:$B$344,$A63+G$3)-INDEX($B$5:$B$344,$A63-1)-1,"")))</f>
        <v/>
      </c>
      <c r="H63" s="11">
        <f>IF(OR($A63=1,$B63="",$A63+H$3&gt;340),"",IF(INDEX($B$5:$B$344,$A63+H$3)="","",IF(AND(YEAR($B63)=$B$2,YEAR(INDEX($B$5:$B$344,$A63+H$3-1))=$B$2),INDEX($B$5:$B$344,$A63+H$3)-INDEX($B$5:$B$344,$A63-1)-1,"")))</f>
        <v/>
      </c>
      <c r="I63" s="11">
        <f>IF(OR($A63=1,$B63="",$A63+I$3&gt;340),"",IF(INDEX($B$5:$B$344,$A63+I$3)="","",IF(AND(YEAR($B63)=$B$2,YEAR(INDEX($B$5:$B$344,$A63+I$3-1))=$B$2),INDEX($B$5:$B$344,$A63+I$3)-INDEX($B$5:$B$344,$A63-1)-1,"")))</f>
        <v/>
      </c>
      <c r="J63" s="11">
        <f>IF(OR($A63=1,$B63="",$A63+J$3&gt;340),"",IF(INDEX($B$5:$B$344,$A63+J$3)="","",IF(AND(YEAR($B63)=$B$2,YEAR(INDEX($B$5:$B$344,$A63+J$3-1))=$B$2),INDEX($B$5:$B$344,$A63+J$3)-INDEX($B$5:$B$344,$A63-1)-1,"")))</f>
        <v/>
      </c>
      <c r="K63" s="11">
        <f>IF(OR($A63=1,$B63="",$A63+K$3&gt;340),"",IF(INDEX($B$5:$B$344,$A63+K$3)="","",IF(AND(YEAR($B63)=$B$2,YEAR(INDEX($B$5:$B$344,$A63+K$3-1))=$B$2),INDEX($B$5:$B$344,$A63+K$3)-INDEX($B$5:$B$344,$A63-1)-1,"")))</f>
        <v/>
      </c>
      <c r="L63" s="11">
        <f>IF(OR($A63=1,$B63="",$A63+L$3&gt;340),"",IF(INDEX($B$5:$B$344,$A63+L$3)="","",IF(AND(YEAR($B63)=$B$2,YEAR(INDEX($B$5:$B$344,$A63+L$3-1))=$B$2),INDEX($B$5:$B$344,$A63+L$3)-INDEX($B$5:$B$344,$A63-1)-1,"")))</f>
        <v/>
      </c>
      <c r="M63" s="11">
        <f>IF(OR($A63=1,$B63="",$A63+M$3&gt;340),"",IF(INDEX($B$5:$B$344,$A63+M$3)="","",IF(AND(YEAR($B63)=$B$2,YEAR(INDEX($B$5:$B$344,$A63+M$3-1))=$B$2),INDEX($B$5:$B$344,$A63+M$3)-INDEX($B$5:$B$344,$A63-1)-1,"")))</f>
        <v/>
      </c>
    </row>
    <row r="64">
      <c r="A64" s="11" t="n">
        <v>60</v>
      </c>
      <c r="B64" s="10">
        <f>IFERROR(INDEX('2_暦'!$A$7:$A$433,MATCH(A64,'2_暦'!$K$7:$K$433,0)),"")</f>
        <v/>
      </c>
      <c r="C64" s="11">
        <f>IF(OR($A64=1,$B64=""),"",IF(OR(YEAR($B64-1)=$B$2,YEAR(INDEX($B$5:$B$344,$A64-1)+1)=$B$2),$B64-INDEX($B$5:$B$344,$A64-1)-1,""))</f>
        <v/>
      </c>
      <c r="D64" s="11">
        <f>IF(OR($A64=1,$B64="",$A64+D$3&gt;340),"",IF(INDEX($B$5:$B$344,$A64+D$3)="","",IF(AND(YEAR($B64)=$B$2,YEAR(INDEX($B$5:$B$344,$A64+D$3-1))=$B$2),INDEX($B$5:$B$344,$A64+D$3)-INDEX($B$5:$B$344,$A64-1)-1,"")))</f>
        <v/>
      </c>
      <c r="E64" s="11">
        <f>IF(OR($A64=1,$B64="",$A64+E$3&gt;340),"",IF(INDEX($B$5:$B$344,$A64+E$3)="","",IF(AND(YEAR($B64)=$B$2,YEAR(INDEX($B$5:$B$344,$A64+E$3-1))=$B$2),INDEX($B$5:$B$344,$A64+E$3)-INDEX($B$5:$B$344,$A64-1)-1,"")))</f>
        <v/>
      </c>
      <c r="F64" s="11">
        <f>IF(OR($A64=1,$B64="",$A64+F$3&gt;340),"",IF(INDEX($B$5:$B$344,$A64+F$3)="","",IF(AND(YEAR($B64)=$B$2,YEAR(INDEX($B$5:$B$344,$A64+F$3-1))=$B$2),INDEX($B$5:$B$344,$A64+F$3)-INDEX($B$5:$B$344,$A64-1)-1,"")))</f>
        <v/>
      </c>
      <c r="G64" s="11">
        <f>IF(OR($A64=1,$B64="",$A64+G$3&gt;340),"",IF(INDEX($B$5:$B$344,$A64+G$3)="","",IF(AND(YEAR($B64)=$B$2,YEAR(INDEX($B$5:$B$344,$A64+G$3-1))=$B$2),INDEX($B$5:$B$344,$A64+G$3)-INDEX($B$5:$B$344,$A64-1)-1,"")))</f>
        <v/>
      </c>
      <c r="H64" s="11">
        <f>IF(OR($A64=1,$B64="",$A64+H$3&gt;340),"",IF(INDEX($B$5:$B$344,$A64+H$3)="","",IF(AND(YEAR($B64)=$B$2,YEAR(INDEX($B$5:$B$344,$A64+H$3-1))=$B$2),INDEX($B$5:$B$344,$A64+H$3)-INDEX($B$5:$B$344,$A64-1)-1,"")))</f>
        <v/>
      </c>
      <c r="I64" s="11">
        <f>IF(OR($A64=1,$B64="",$A64+I$3&gt;340),"",IF(INDEX($B$5:$B$344,$A64+I$3)="","",IF(AND(YEAR($B64)=$B$2,YEAR(INDEX($B$5:$B$344,$A64+I$3-1))=$B$2),INDEX($B$5:$B$344,$A64+I$3)-INDEX($B$5:$B$344,$A64-1)-1,"")))</f>
        <v/>
      </c>
      <c r="J64" s="11">
        <f>IF(OR($A64=1,$B64="",$A64+J$3&gt;340),"",IF(INDEX($B$5:$B$344,$A64+J$3)="","",IF(AND(YEAR($B64)=$B$2,YEAR(INDEX($B$5:$B$344,$A64+J$3-1))=$B$2),INDEX($B$5:$B$344,$A64+J$3)-INDEX($B$5:$B$344,$A64-1)-1,"")))</f>
        <v/>
      </c>
      <c r="K64" s="11">
        <f>IF(OR($A64=1,$B64="",$A64+K$3&gt;340),"",IF(INDEX($B$5:$B$344,$A64+K$3)="","",IF(AND(YEAR($B64)=$B$2,YEAR(INDEX($B$5:$B$344,$A64+K$3-1))=$B$2),INDEX($B$5:$B$344,$A64+K$3)-INDEX($B$5:$B$344,$A64-1)-1,"")))</f>
        <v/>
      </c>
      <c r="L64" s="11">
        <f>IF(OR($A64=1,$B64="",$A64+L$3&gt;340),"",IF(INDEX($B$5:$B$344,$A64+L$3)="","",IF(AND(YEAR($B64)=$B$2,YEAR(INDEX($B$5:$B$344,$A64+L$3-1))=$B$2),INDEX($B$5:$B$344,$A64+L$3)-INDEX($B$5:$B$344,$A64-1)-1,"")))</f>
        <v/>
      </c>
      <c r="M64" s="11">
        <f>IF(OR($A64=1,$B64="",$A64+M$3&gt;340),"",IF(INDEX($B$5:$B$344,$A64+M$3)="","",IF(AND(YEAR($B64)=$B$2,YEAR(INDEX($B$5:$B$344,$A64+M$3-1))=$B$2),INDEX($B$5:$B$344,$A64+M$3)-INDEX($B$5:$B$344,$A64-1)-1,"")))</f>
        <v/>
      </c>
    </row>
    <row r="65">
      <c r="A65" s="11" t="n">
        <v>61</v>
      </c>
      <c r="B65" s="10">
        <f>IFERROR(INDEX('2_暦'!$A$7:$A$433,MATCH(A65,'2_暦'!$K$7:$K$433,0)),"")</f>
        <v/>
      </c>
      <c r="C65" s="11">
        <f>IF(OR($A65=1,$B65=""),"",IF(OR(YEAR($B65-1)=$B$2,YEAR(INDEX($B$5:$B$344,$A65-1)+1)=$B$2),$B65-INDEX($B$5:$B$344,$A65-1)-1,""))</f>
        <v/>
      </c>
      <c r="D65" s="11">
        <f>IF(OR($A65=1,$B65="",$A65+D$3&gt;340),"",IF(INDEX($B$5:$B$344,$A65+D$3)="","",IF(AND(YEAR($B65)=$B$2,YEAR(INDEX($B$5:$B$344,$A65+D$3-1))=$B$2),INDEX($B$5:$B$344,$A65+D$3)-INDEX($B$5:$B$344,$A65-1)-1,"")))</f>
        <v/>
      </c>
      <c r="E65" s="11">
        <f>IF(OR($A65=1,$B65="",$A65+E$3&gt;340),"",IF(INDEX($B$5:$B$344,$A65+E$3)="","",IF(AND(YEAR($B65)=$B$2,YEAR(INDEX($B$5:$B$344,$A65+E$3-1))=$B$2),INDEX($B$5:$B$344,$A65+E$3)-INDEX($B$5:$B$344,$A65-1)-1,"")))</f>
        <v/>
      </c>
      <c r="F65" s="11">
        <f>IF(OR($A65=1,$B65="",$A65+F$3&gt;340),"",IF(INDEX($B$5:$B$344,$A65+F$3)="","",IF(AND(YEAR($B65)=$B$2,YEAR(INDEX($B$5:$B$344,$A65+F$3-1))=$B$2),INDEX($B$5:$B$344,$A65+F$3)-INDEX($B$5:$B$344,$A65-1)-1,"")))</f>
        <v/>
      </c>
      <c r="G65" s="11">
        <f>IF(OR($A65=1,$B65="",$A65+G$3&gt;340),"",IF(INDEX($B$5:$B$344,$A65+G$3)="","",IF(AND(YEAR($B65)=$B$2,YEAR(INDEX($B$5:$B$344,$A65+G$3-1))=$B$2),INDEX($B$5:$B$344,$A65+G$3)-INDEX($B$5:$B$344,$A65-1)-1,"")))</f>
        <v/>
      </c>
      <c r="H65" s="11">
        <f>IF(OR($A65=1,$B65="",$A65+H$3&gt;340),"",IF(INDEX($B$5:$B$344,$A65+H$3)="","",IF(AND(YEAR($B65)=$B$2,YEAR(INDEX($B$5:$B$344,$A65+H$3-1))=$B$2),INDEX($B$5:$B$344,$A65+H$3)-INDEX($B$5:$B$344,$A65-1)-1,"")))</f>
        <v/>
      </c>
      <c r="I65" s="11">
        <f>IF(OR($A65=1,$B65="",$A65+I$3&gt;340),"",IF(INDEX($B$5:$B$344,$A65+I$3)="","",IF(AND(YEAR($B65)=$B$2,YEAR(INDEX($B$5:$B$344,$A65+I$3-1))=$B$2),INDEX($B$5:$B$344,$A65+I$3)-INDEX($B$5:$B$344,$A65-1)-1,"")))</f>
        <v/>
      </c>
      <c r="J65" s="11">
        <f>IF(OR($A65=1,$B65="",$A65+J$3&gt;340),"",IF(INDEX($B$5:$B$344,$A65+J$3)="","",IF(AND(YEAR($B65)=$B$2,YEAR(INDEX($B$5:$B$344,$A65+J$3-1))=$B$2),INDEX($B$5:$B$344,$A65+J$3)-INDEX($B$5:$B$344,$A65-1)-1,"")))</f>
        <v/>
      </c>
      <c r="K65" s="11">
        <f>IF(OR($A65=1,$B65="",$A65+K$3&gt;340),"",IF(INDEX($B$5:$B$344,$A65+K$3)="","",IF(AND(YEAR($B65)=$B$2,YEAR(INDEX($B$5:$B$344,$A65+K$3-1))=$B$2),INDEX($B$5:$B$344,$A65+K$3)-INDEX($B$5:$B$344,$A65-1)-1,"")))</f>
        <v/>
      </c>
      <c r="L65" s="11">
        <f>IF(OR($A65=1,$B65="",$A65+L$3&gt;340),"",IF(INDEX($B$5:$B$344,$A65+L$3)="","",IF(AND(YEAR($B65)=$B$2,YEAR(INDEX($B$5:$B$344,$A65+L$3-1))=$B$2),INDEX($B$5:$B$344,$A65+L$3)-INDEX($B$5:$B$344,$A65-1)-1,"")))</f>
        <v/>
      </c>
      <c r="M65" s="11">
        <f>IF(OR($A65=1,$B65="",$A65+M$3&gt;340),"",IF(INDEX($B$5:$B$344,$A65+M$3)="","",IF(AND(YEAR($B65)=$B$2,YEAR(INDEX($B$5:$B$344,$A65+M$3-1))=$B$2),INDEX($B$5:$B$344,$A65+M$3)-INDEX($B$5:$B$344,$A65-1)-1,"")))</f>
        <v/>
      </c>
    </row>
    <row r="66">
      <c r="A66" s="11" t="n">
        <v>62</v>
      </c>
      <c r="B66" s="10">
        <f>IFERROR(INDEX('2_暦'!$A$7:$A$433,MATCH(A66,'2_暦'!$K$7:$K$433,0)),"")</f>
        <v/>
      </c>
      <c r="C66" s="11">
        <f>IF(OR($A66=1,$B66=""),"",IF(OR(YEAR($B66-1)=$B$2,YEAR(INDEX($B$5:$B$344,$A66-1)+1)=$B$2),$B66-INDEX($B$5:$B$344,$A66-1)-1,""))</f>
        <v/>
      </c>
      <c r="D66" s="11">
        <f>IF(OR($A66=1,$B66="",$A66+D$3&gt;340),"",IF(INDEX($B$5:$B$344,$A66+D$3)="","",IF(AND(YEAR($B66)=$B$2,YEAR(INDEX($B$5:$B$344,$A66+D$3-1))=$B$2),INDEX($B$5:$B$344,$A66+D$3)-INDEX($B$5:$B$344,$A66-1)-1,"")))</f>
        <v/>
      </c>
      <c r="E66" s="11">
        <f>IF(OR($A66=1,$B66="",$A66+E$3&gt;340),"",IF(INDEX($B$5:$B$344,$A66+E$3)="","",IF(AND(YEAR($B66)=$B$2,YEAR(INDEX($B$5:$B$344,$A66+E$3-1))=$B$2),INDEX($B$5:$B$344,$A66+E$3)-INDEX($B$5:$B$344,$A66-1)-1,"")))</f>
        <v/>
      </c>
      <c r="F66" s="11">
        <f>IF(OR($A66=1,$B66="",$A66+F$3&gt;340),"",IF(INDEX($B$5:$B$344,$A66+F$3)="","",IF(AND(YEAR($B66)=$B$2,YEAR(INDEX($B$5:$B$344,$A66+F$3-1))=$B$2),INDEX($B$5:$B$344,$A66+F$3)-INDEX($B$5:$B$344,$A66-1)-1,"")))</f>
        <v/>
      </c>
      <c r="G66" s="11">
        <f>IF(OR($A66=1,$B66="",$A66+G$3&gt;340),"",IF(INDEX($B$5:$B$344,$A66+G$3)="","",IF(AND(YEAR($B66)=$B$2,YEAR(INDEX($B$5:$B$344,$A66+G$3-1))=$B$2),INDEX($B$5:$B$344,$A66+G$3)-INDEX($B$5:$B$344,$A66-1)-1,"")))</f>
        <v/>
      </c>
      <c r="H66" s="11">
        <f>IF(OR($A66=1,$B66="",$A66+H$3&gt;340),"",IF(INDEX($B$5:$B$344,$A66+H$3)="","",IF(AND(YEAR($B66)=$B$2,YEAR(INDEX($B$5:$B$344,$A66+H$3-1))=$B$2),INDEX($B$5:$B$344,$A66+H$3)-INDEX($B$5:$B$344,$A66-1)-1,"")))</f>
        <v/>
      </c>
      <c r="I66" s="11">
        <f>IF(OR($A66=1,$B66="",$A66+I$3&gt;340),"",IF(INDEX($B$5:$B$344,$A66+I$3)="","",IF(AND(YEAR($B66)=$B$2,YEAR(INDEX($B$5:$B$344,$A66+I$3-1))=$B$2),INDEX($B$5:$B$344,$A66+I$3)-INDEX($B$5:$B$344,$A66-1)-1,"")))</f>
        <v/>
      </c>
      <c r="J66" s="11">
        <f>IF(OR($A66=1,$B66="",$A66+J$3&gt;340),"",IF(INDEX($B$5:$B$344,$A66+J$3)="","",IF(AND(YEAR($B66)=$B$2,YEAR(INDEX($B$5:$B$344,$A66+J$3-1))=$B$2),INDEX($B$5:$B$344,$A66+J$3)-INDEX($B$5:$B$344,$A66-1)-1,"")))</f>
        <v/>
      </c>
      <c r="K66" s="11">
        <f>IF(OR($A66=1,$B66="",$A66+K$3&gt;340),"",IF(INDEX($B$5:$B$344,$A66+K$3)="","",IF(AND(YEAR($B66)=$B$2,YEAR(INDEX($B$5:$B$344,$A66+K$3-1))=$B$2),INDEX($B$5:$B$344,$A66+K$3)-INDEX($B$5:$B$344,$A66-1)-1,"")))</f>
        <v/>
      </c>
      <c r="L66" s="11">
        <f>IF(OR($A66=1,$B66="",$A66+L$3&gt;340),"",IF(INDEX($B$5:$B$344,$A66+L$3)="","",IF(AND(YEAR($B66)=$B$2,YEAR(INDEX($B$5:$B$344,$A66+L$3-1))=$B$2),INDEX($B$5:$B$344,$A66+L$3)-INDEX($B$5:$B$344,$A66-1)-1,"")))</f>
        <v/>
      </c>
      <c r="M66" s="11">
        <f>IF(OR($A66=1,$B66="",$A66+M$3&gt;340),"",IF(INDEX($B$5:$B$344,$A66+M$3)="","",IF(AND(YEAR($B66)=$B$2,YEAR(INDEX($B$5:$B$344,$A66+M$3-1))=$B$2),INDEX($B$5:$B$344,$A66+M$3)-INDEX($B$5:$B$344,$A66-1)-1,"")))</f>
        <v/>
      </c>
    </row>
    <row r="67">
      <c r="A67" s="11" t="n">
        <v>63</v>
      </c>
      <c r="B67" s="10">
        <f>IFERROR(INDEX('2_暦'!$A$7:$A$433,MATCH(A67,'2_暦'!$K$7:$K$433,0)),"")</f>
        <v/>
      </c>
      <c r="C67" s="11">
        <f>IF(OR($A67=1,$B67=""),"",IF(OR(YEAR($B67-1)=$B$2,YEAR(INDEX($B$5:$B$344,$A67-1)+1)=$B$2),$B67-INDEX($B$5:$B$344,$A67-1)-1,""))</f>
        <v/>
      </c>
      <c r="D67" s="11">
        <f>IF(OR($A67=1,$B67="",$A67+D$3&gt;340),"",IF(INDEX($B$5:$B$344,$A67+D$3)="","",IF(AND(YEAR($B67)=$B$2,YEAR(INDEX($B$5:$B$344,$A67+D$3-1))=$B$2),INDEX($B$5:$B$344,$A67+D$3)-INDEX($B$5:$B$344,$A67-1)-1,"")))</f>
        <v/>
      </c>
      <c r="E67" s="11">
        <f>IF(OR($A67=1,$B67="",$A67+E$3&gt;340),"",IF(INDEX($B$5:$B$344,$A67+E$3)="","",IF(AND(YEAR($B67)=$B$2,YEAR(INDEX($B$5:$B$344,$A67+E$3-1))=$B$2),INDEX($B$5:$B$344,$A67+E$3)-INDEX($B$5:$B$344,$A67-1)-1,"")))</f>
        <v/>
      </c>
      <c r="F67" s="11">
        <f>IF(OR($A67=1,$B67="",$A67+F$3&gt;340),"",IF(INDEX($B$5:$B$344,$A67+F$3)="","",IF(AND(YEAR($B67)=$B$2,YEAR(INDEX($B$5:$B$344,$A67+F$3-1))=$B$2),INDEX($B$5:$B$344,$A67+F$3)-INDEX($B$5:$B$344,$A67-1)-1,"")))</f>
        <v/>
      </c>
      <c r="G67" s="11">
        <f>IF(OR($A67=1,$B67="",$A67+G$3&gt;340),"",IF(INDEX($B$5:$B$344,$A67+G$3)="","",IF(AND(YEAR($B67)=$B$2,YEAR(INDEX($B$5:$B$344,$A67+G$3-1))=$B$2),INDEX($B$5:$B$344,$A67+G$3)-INDEX($B$5:$B$344,$A67-1)-1,"")))</f>
        <v/>
      </c>
      <c r="H67" s="11">
        <f>IF(OR($A67=1,$B67="",$A67+H$3&gt;340),"",IF(INDEX($B$5:$B$344,$A67+H$3)="","",IF(AND(YEAR($B67)=$B$2,YEAR(INDEX($B$5:$B$344,$A67+H$3-1))=$B$2),INDEX($B$5:$B$344,$A67+H$3)-INDEX($B$5:$B$344,$A67-1)-1,"")))</f>
        <v/>
      </c>
      <c r="I67" s="11">
        <f>IF(OR($A67=1,$B67="",$A67+I$3&gt;340),"",IF(INDEX($B$5:$B$344,$A67+I$3)="","",IF(AND(YEAR($B67)=$B$2,YEAR(INDEX($B$5:$B$344,$A67+I$3-1))=$B$2),INDEX($B$5:$B$344,$A67+I$3)-INDEX($B$5:$B$344,$A67-1)-1,"")))</f>
        <v/>
      </c>
      <c r="J67" s="11">
        <f>IF(OR($A67=1,$B67="",$A67+J$3&gt;340),"",IF(INDEX($B$5:$B$344,$A67+J$3)="","",IF(AND(YEAR($B67)=$B$2,YEAR(INDEX($B$5:$B$344,$A67+J$3-1))=$B$2),INDEX($B$5:$B$344,$A67+J$3)-INDEX($B$5:$B$344,$A67-1)-1,"")))</f>
        <v/>
      </c>
      <c r="K67" s="11">
        <f>IF(OR($A67=1,$B67="",$A67+K$3&gt;340),"",IF(INDEX($B$5:$B$344,$A67+K$3)="","",IF(AND(YEAR($B67)=$B$2,YEAR(INDEX($B$5:$B$344,$A67+K$3-1))=$B$2),INDEX($B$5:$B$344,$A67+K$3)-INDEX($B$5:$B$344,$A67-1)-1,"")))</f>
        <v/>
      </c>
      <c r="L67" s="11">
        <f>IF(OR($A67=1,$B67="",$A67+L$3&gt;340),"",IF(INDEX($B$5:$B$344,$A67+L$3)="","",IF(AND(YEAR($B67)=$B$2,YEAR(INDEX($B$5:$B$344,$A67+L$3-1))=$B$2),INDEX($B$5:$B$344,$A67+L$3)-INDEX($B$5:$B$344,$A67-1)-1,"")))</f>
        <v/>
      </c>
      <c r="M67" s="11">
        <f>IF(OR($A67=1,$B67="",$A67+M$3&gt;340),"",IF(INDEX($B$5:$B$344,$A67+M$3)="","",IF(AND(YEAR($B67)=$B$2,YEAR(INDEX($B$5:$B$344,$A67+M$3-1))=$B$2),INDEX($B$5:$B$344,$A67+M$3)-INDEX($B$5:$B$344,$A67-1)-1,"")))</f>
        <v/>
      </c>
    </row>
    <row r="68">
      <c r="A68" s="11" t="n">
        <v>64</v>
      </c>
      <c r="B68" s="10">
        <f>IFERROR(INDEX('2_暦'!$A$7:$A$433,MATCH(A68,'2_暦'!$K$7:$K$433,0)),"")</f>
        <v/>
      </c>
      <c r="C68" s="11">
        <f>IF(OR($A68=1,$B68=""),"",IF(OR(YEAR($B68-1)=$B$2,YEAR(INDEX($B$5:$B$344,$A68-1)+1)=$B$2),$B68-INDEX($B$5:$B$344,$A68-1)-1,""))</f>
        <v/>
      </c>
      <c r="D68" s="11">
        <f>IF(OR($A68=1,$B68="",$A68+D$3&gt;340),"",IF(INDEX($B$5:$B$344,$A68+D$3)="","",IF(AND(YEAR($B68)=$B$2,YEAR(INDEX($B$5:$B$344,$A68+D$3-1))=$B$2),INDEX($B$5:$B$344,$A68+D$3)-INDEX($B$5:$B$344,$A68-1)-1,"")))</f>
        <v/>
      </c>
      <c r="E68" s="11">
        <f>IF(OR($A68=1,$B68="",$A68+E$3&gt;340),"",IF(INDEX($B$5:$B$344,$A68+E$3)="","",IF(AND(YEAR($B68)=$B$2,YEAR(INDEX($B$5:$B$344,$A68+E$3-1))=$B$2),INDEX($B$5:$B$344,$A68+E$3)-INDEX($B$5:$B$344,$A68-1)-1,"")))</f>
        <v/>
      </c>
      <c r="F68" s="11">
        <f>IF(OR($A68=1,$B68="",$A68+F$3&gt;340),"",IF(INDEX($B$5:$B$344,$A68+F$3)="","",IF(AND(YEAR($B68)=$B$2,YEAR(INDEX($B$5:$B$344,$A68+F$3-1))=$B$2),INDEX($B$5:$B$344,$A68+F$3)-INDEX($B$5:$B$344,$A68-1)-1,"")))</f>
        <v/>
      </c>
      <c r="G68" s="11">
        <f>IF(OR($A68=1,$B68="",$A68+G$3&gt;340),"",IF(INDEX($B$5:$B$344,$A68+G$3)="","",IF(AND(YEAR($B68)=$B$2,YEAR(INDEX($B$5:$B$344,$A68+G$3-1))=$B$2),INDEX($B$5:$B$344,$A68+G$3)-INDEX($B$5:$B$344,$A68-1)-1,"")))</f>
        <v/>
      </c>
      <c r="H68" s="11">
        <f>IF(OR($A68=1,$B68="",$A68+H$3&gt;340),"",IF(INDEX($B$5:$B$344,$A68+H$3)="","",IF(AND(YEAR($B68)=$B$2,YEAR(INDEX($B$5:$B$344,$A68+H$3-1))=$B$2),INDEX($B$5:$B$344,$A68+H$3)-INDEX($B$5:$B$344,$A68-1)-1,"")))</f>
        <v/>
      </c>
      <c r="I68" s="11">
        <f>IF(OR($A68=1,$B68="",$A68+I$3&gt;340),"",IF(INDEX($B$5:$B$344,$A68+I$3)="","",IF(AND(YEAR($B68)=$B$2,YEAR(INDEX($B$5:$B$344,$A68+I$3-1))=$B$2),INDEX($B$5:$B$344,$A68+I$3)-INDEX($B$5:$B$344,$A68-1)-1,"")))</f>
        <v/>
      </c>
      <c r="J68" s="11">
        <f>IF(OR($A68=1,$B68="",$A68+J$3&gt;340),"",IF(INDEX($B$5:$B$344,$A68+J$3)="","",IF(AND(YEAR($B68)=$B$2,YEAR(INDEX($B$5:$B$344,$A68+J$3-1))=$B$2),INDEX($B$5:$B$344,$A68+J$3)-INDEX($B$5:$B$344,$A68-1)-1,"")))</f>
        <v/>
      </c>
      <c r="K68" s="11">
        <f>IF(OR($A68=1,$B68="",$A68+K$3&gt;340),"",IF(INDEX($B$5:$B$344,$A68+K$3)="","",IF(AND(YEAR($B68)=$B$2,YEAR(INDEX($B$5:$B$344,$A68+K$3-1))=$B$2),INDEX($B$5:$B$344,$A68+K$3)-INDEX($B$5:$B$344,$A68-1)-1,"")))</f>
        <v/>
      </c>
      <c r="L68" s="11">
        <f>IF(OR($A68=1,$B68="",$A68+L$3&gt;340),"",IF(INDEX($B$5:$B$344,$A68+L$3)="","",IF(AND(YEAR($B68)=$B$2,YEAR(INDEX($B$5:$B$344,$A68+L$3-1))=$B$2),INDEX($B$5:$B$344,$A68+L$3)-INDEX($B$5:$B$344,$A68-1)-1,"")))</f>
        <v/>
      </c>
      <c r="M68" s="11">
        <f>IF(OR($A68=1,$B68="",$A68+M$3&gt;340),"",IF(INDEX($B$5:$B$344,$A68+M$3)="","",IF(AND(YEAR($B68)=$B$2,YEAR(INDEX($B$5:$B$344,$A68+M$3-1))=$B$2),INDEX($B$5:$B$344,$A68+M$3)-INDEX($B$5:$B$344,$A68-1)-1,"")))</f>
        <v/>
      </c>
    </row>
    <row r="69">
      <c r="A69" s="11" t="n">
        <v>65</v>
      </c>
      <c r="B69" s="10">
        <f>IFERROR(INDEX('2_暦'!$A$7:$A$433,MATCH(A69,'2_暦'!$K$7:$K$433,0)),"")</f>
        <v/>
      </c>
      <c r="C69" s="11">
        <f>IF(OR($A69=1,$B69=""),"",IF(OR(YEAR($B69-1)=$B$2,YEAR(INDEX($B$5:$B$344,$A69-1)+1)=$B$2),$B69-INDEX($B$5:$B$344,$A69-1)-1,""))</f>
        <v/>
      </c>
      <c r="D69" s="11">
        <f>IF(OR($A69=1,$B69="",$A69+D$3&gt;340),"",IF(INDEX($B$5:$B$344,$A69+D$3)="","",IF(AND(YEAR($B69)=$B$2,YEAR(INDEX($B$5:$B$344,$A69+D$3-1))=$B$2),INDEX($B$5:$B$344,$A69+D$3)-INDEX($B$5:$B$344,$A69-1)-1,"")))</f>
        <v/>
      </c>
      <c r="E69" s="11">
        <f>IF(OR($A69=1,$B69="",$A69+E$3&gt;340),"",IF(INDEX($B$5:$B$344,$A69+E$3)="","",IF(AND(YEAR($B69)=$B$2,YEAR(INDEX($B$5:$B$344,$A69+E$3-1))=$B$2),INDEX($B$5:$B$344,$A69+E$3)-INDEX($B$5:$B$344,$A69-1)-1,"")))</f>
        <v/>
      </c>
      <c r="F69" s="11">
        <f>IF(OR($A69=1,$B69="",$A69+F$3&gt;340),"",IF(INDEX($B$5:$B$344,$A69+F$3)="","",IF(AND(YEAR($B69)=$B$2,YEAR(INDEX($B$5:$B$344,$A69+F$3-1))=$B$2),INDEX($B$5:$B$344,$A69+F$3)-INDEX($B$5:$B$344,$A69-1)-1,"")))</f>
        <v/>
      </c>
      <c r="G69" s="11">
        <f>IF(OR($A69=1,$B69="",$A69+G$3&gt;340),"",IF(INDEX($B$5:$B$344,$A69+G$3)="","",IF(AND(YEAR($B69)=$B$2,YEAR(INDEX($B$5:$B$344,$A69+G$3-1))=$B$2),INDEX($B$5:$B$344,$A69+G$3)-INDEX($B$5:$B$344,$A69-1)-1,"")))</f>
        <v/>
      </c>
      <c r="H69" s="11">
        <f>IF(OR($A69=1,$B69="",$A69+H$3&gt;340),"",IF(INDEX($B$5:$B$344,$A69+H$3)="","",IF(AND(YEAR($B69)=$B$2,YEAR(INDEX($B$5:$B$344,$A69+H$3-1))=$B$2),INDEX($B$5:$B$344,$A69+H$3)-INDEX($B$5:$B$344,$A69-1)-1,"")))</f>
        <v/>
      </c>
      <c r="I69" s="11">
        <f>IF(OR($A69=1,$B69="",$A69+I$3&gt;340),"",IF(INDEX($B$5:$B$344,$A69+I$3)="","",IF(AND(YEAR($B69)=$B$2,YEAR(INDEX($B$5:$B$344,$A69+I$3-1))=$B$2),INDEX($B$5:$B$344,$A69+I$3)-INDEX($B$5:$B$344,$A69-1)-1,"")))</f>
        <v/>
      </c>
      <c r="J69" s="11">
        <f>IF(OR($A69=1,$B69="",$A69+J$3&gt;340),"",IF(INDEX($B$5:$B$344,$A69+J$3)="","",IF(AND(YEAR($B69)=$B$2,YEAR(INDEX($B$5:$B$344,$A69+J$3-1))=$B$2),INDEX($B$5:$B$344,$A69+J$3)-INDEX($B$5:$B$344,$A69-1)-1,"")))</f>
        <v/>
      </c>
      <c r="K69" s="11">
        <f>IF(OR($A69=1,$B69="",$A69+K$3&gt;340),"",IF(INDEX($B$5:$B$344,$A69+K$3)="","",IF(AND(YEAR($B69)=$B$2,YEAR(INDEX($B$5:$B$344,$A69+K$3-1))=$B$2),INDEX($B$5:$B$344,$A69+K$3)-INDEX($B$5:$B$344,$A69-1)-1,"")))</f>
        <v/>
      </c>
      <c r="L69" s="11">
        <f>IF(OR($A69=1,$B69="",$A69+L$3&gt;340),"",IF(INDEX($B$5:$B$344,$A69+L$3)="","",IF(AND(YEAR($B69)=$B$2,YEAR(INDEX($B$5:$B$344,$A69+L$3-1))=$B$2),INDEX($B$5:$B$344,$A69+L$3)-INDEX($B$5:$B$344,$A69-1)-1,"")))</f>
        <v/>
      </c>
      <c r="M69" s="11">
        <f>IF(OR($A69=1,$B69="",$A69+M$3&gt;340),"",IF(INDEX($B$5:$B$344,$A69+M$3)="","",IF(AND(YEAR($B69)=$B$2,YEAR(INDEX($B$5:$B$344,$A69+M$3-1))=$B$2),INDEX($B$5:$B$344,$A69+M$3)-INDEX($B$5:$B$344,$A69-1)-1,"")))</f>
        <v/>
      </c>
    </row>
    <row r="70">
      <c r="A70" s="11" t="n">
        <v>66</v>
      </c>
      <c r="B70" s="10">
        <f>IFERROR(INDEX('2_暦'!$A$7:$A$433,MATCH(A70,'2_暦'!$K$7:$K$433,0)),"")</f>
        <v/>
      </c>
      <c r="C70" s="11">
        <f>IF(OR($A70=1,$B70=""),"",IF(OR(YEAR($B70-1)=$B$2,YEAR(INDEX($B$5:$B$344,$A70-1)+1)=$B$2),$B70-INDEX($B$5:$B$344,$A70-1)-1,""))</f>
        <v/>
      </c>
      <c r="D70" s="11">
        <f>IF(OR($A70=1,$B70="",$A70+D$3&gt;340),"",IF(INDEX($B$5:$B$344,$A70+D$3)="","",IF(AND(YEAR($B70)=$B$2,YEAR(INDEX($B$5:$B$344,$A70+D$3-1))=$B$2),INDEX($B$5:$B$344,$A70+D$3)-INDEX($B$5:$B$344,$A70-1)-1,"")))</f>
        <v/>
      </c>
      <c r="E70" s="11">
        <f>IF(OR($A70=1,$B70="",$A70+E$3&gt;340),"",IF(INDEX($B$5:$B$344,$A70+E$3)="","",IF(AND(YEAR($B70)=$B$2,YEAR(INDEX($B$5:$B$344,$A70+E$3-1))=$B$2),INDEX($B$5:$B$344,$A70+E$3)-INDEX($B$5:$B$344,$A70-1)-1,"")))</f>
        <v/>
      </c>
      <c r="F70" s="11">
        <f>IF(OR($A70=1,$B70="",$A70+F$3&gt;340),"",IF(INDEX($B$5:$B$344,$A70+F$3)="","",IF(AND(YEAR($B70)=$B$2,YEAR(INDEX($B$5:$B$344,$A70+F$3-1))=$B$2),INDEX($B$5:$B$344,$A70+F$3)-INDEX($B$5:$B$344,$A70-1)-1,"")))</f>
        <v/>
      </c>
      <c r="G70" s="11">
        <f>IF(OR($A70=1,$B70="",$A70+G$3&gt;340),"",IF(INDEX($B$5:$B$344,$A70+G$3)="","",IF(AND(YEAR($B70)=$B$2,YEAR(INDEX($B$5:$B$344,$A70+G$3-1))=$B$2),INDEX($B$5:$B$344,$A70+G$3)-INDEX($B$5:$B$344,$A70-1)-1,"")))</f>
        <v/>
      </c>
      <c r="H70" s="11">
        <f>IF(OR($A70=1,$B70="",$A70+H$3&gt;340),"",IF(INDEX($B$5:$B$344,$A70+H$3)="","",IF(AND(YEAR($B70)=$B$2,YEAR(INDEX($B$5:$B$344,$A70+H$3-1))=$B$2),INDEX($B$5:$B$344,$A70+H$3)-INDEX($B$5:$B$344,$A70-1)-1,"")))</f>
        <v/>
      </c>
      <c r="I70" s="11">
        <f>IF(OR($A70=1,$B70="",$A70+I$3&gt;340),"",IF(INDEX($B$5:$B$344,$A70+I$3)="","",IF(AND(YEAR($B70)=$B$2,YEAR(INDEX($B$5:$B$344,$A70+I$3-1))=$B$2),INDEX($B$5:$B$344,$A70+I$3)-INDEX($B$5:$B$344,$A70-1)-1,"")))</f>
        <v/>
      </c>
      <c r="J70" s="11">
        <f>IF(OR($A70=1,$B70="",$A70+J$3&gt;340),"",IF(INDEX($B$5:$B$344,$A70+J$3)="","",IF(AND(YEAR($B70)=$B$2,YEAR(INDEX($B$5:$B$344,$A70+J$3-1))=$B$2),INDEX($B$5:$B$344,$A70+J$3)-INDEX($B$5:$B$344,$A70-1)-1,"")))</f>
        <v/>
      </c>
      <c r="K70" s="11">
        <f>IF(OR($A70=1,$B70="",$A70+K$3&gt;340),"",IF(INDEX($B$5:$B$344,$A70+K$3)="","",IF(AND(YEAR($B70)=$B$2,YEAR(INDEX($B$5:$B$344,$A70+K$3-1))=$B$2),INDEX($B$5:$B$344,$A70+K$3)-INDEX($B$5:$B$344,$A70-1)-1,"")))</f>
        <v/>
      </c>
      <c r="L70" s="11">
        <f>IF(OR($A70=1,$B70="",$A70+L$3&gt;340),"",IF(INDEX($B$5:$B$344,$A70+L$3)="","",IF(AND(YEAR($B70)=$B$2,YEAR(INDEX($B$5:$B$344,$A70+L$3-1))=$B$2),INDEX($B$5:$B$344,$A70+L$3)-INDEX($B$5:$B$344,$A70-1)-1,"")))</f>
        <v/>
      </c>
      <c r="M70" s="11">
        <f>IF(OR($A70=1,$B70="",$A70+M$3&gt;340),"",IF(INDEX($B$5:$B$344,$A70+M$3)="","",IF(AND(YEAR($B70)=$B$2,YEAR(INDEX($B$5:$B$344,$A70+M$3-1))=$B$2),INDEX($B$5:$B$344,$A70+M$3)-INDEX($B$5:$B$344,$A70-1)-1,"")))</f>
        <v/>
      </c>
    </row>
    <row r="71">
      <c r="A71" s="11" t="n">
        <v>67</v>
      </c>
      <c r="B71" s="10">
        <f>IFERROR(INDEX('2_暦'!$A$7:$A$433,MATCH(A71,'2_暦'!$K$7:$K$433,0)),"")</f>
        <v/>
      </c>
      <c r="C71" s="11">
        <f>IF(OR($A71=1,$B71=""),"",IF(OR(YEAR($B71-1)=$B$2,YEAR(INDEX($B$5:$B$344,$A71-1)+1)=$B$2),$B71-INDEX($B$5:$B$344,$A71-1)-1,""))</f>
        <v/>
      </c>
      <c r="D71" s="11">
        <f>IF(OR($A71=1,$B71="",$A71+D$3&gt;340),"",IF(INDEX($B$5:$B$344,$A71+D$3)="","",IF(AND(YEAR($B71)=$B$2,YEAR(INDEX($B$5:$B$344,$A71+D$3-1))=$B$2),INDEX($B$5:$B$344,$A71+D$3)-INDEX($B$5:$B$344,$A71-1)-1,"")))</f>
        <v/>
      </c>
      <c r="E71" s="11">
        <f>IF(OR($A71=1,$B71="",$A71+E$3&gt;340),"",IF(INDEX($B$5:$B$344,$A71+E$3)="","",IF(AND(YEAR($B71)=$B$2,YEAR(INDEX($B$5:$B$344,$A71+E$3-1))=$B$2),INDEX($B$5:$B$344,$A71+E$3)-INDEX($B$5:$B$344,$A71-1)-1,"")))</f>
        <v/>
      </c>
      <c r="F71" s="11">
        <f>IF(OR($A71=1,$B71="",$A71+F$3&gt;340),"",IF(INDEX($B$5:$B$344,$A71+F$3)="","",IF(AND(YEAR($B71)=$B$2,YEAR(INDEX($B$5:$B$344,$A71+F$3-1))=$B$2),INDEX($B$5:$B$344,$A71+F$3)-INDEX($B$5:$B$344,$A71-1)-1,"")))</f>
        <v/>
      </c>
      <c r="G71" s="11">
        <f>IF(OR($A71=1,$B71="",$A71+G$3&gt;340),"",IF(INDEX($B$5:$B$344,$A71+G$3)="","",IF(AND(YEAR($B71)=$B$2,YEAR(INDEX($B$5:$B$344,$A71+G$3-1))=$B$2),INDEX($B$5:$B$344,$A71+G$3)-INDEX($B$5:$B$344,$A71-1)-1,"")))</f>
        <v/>
      </c>
      <c r="H71" s="11">
        <f>IF(OR($A71=1,$B71="",$A71+H$3&gt;340),"",IF(INDEX($B$5:$B$344,$A71+H$3)="","",IF(AND(YEAR($B71)=$B$2,YEAR(INDEX($B$5:$B$344,$A71+H$3-1))=$B$2),INDEX($B$5:$B$344,$A71+H$3)-INDEX($B$5:$B$344,$A71-1)-1,"")))</f>
        <v/>
      </c>
      <c r="I71" s="11">
        <f>IF(OR($A71=1,$B71="",$A71+I$3&gt;340),"",IF(INDEX($B$5:$B$344,$A71+I$3)="","",IF(AND(YEAR($B71)=$B$2,YEAR(INDEX($B$5:$B$344,$A71+I$3-1))=$B$2),INDEX($B$5:$B$344,$A71+I$3)-INDEX($B$5:$B$344,$A71-1)-1,"")))</f>
        <v/>
      </c>
      <c r="J71" s="11">
        <f>IF(OR($A71=1,$B71="",$A71+J$3&gt;340),"",IF(INDEX($B$5:$B$344,$A71+J$3)="","",IF(AND(YEAR($B71)=$B$2,YEAR(INDEX($B$5:$B$344,$A71+J$3-1))=$B$2),INDEX($B$5:$B$344,$A71+J$3)-INDEX($B$5:$B$344,$A71-1)-1,"")))</f>
        <v/>
      </c>
      <c r="K71" s="11">
        <f>IF(OR($A71=1,$B71="",$A71+K$3&gt;340),"",IF(INDEX($B$5:$B$344,$A71+K$3)="","",IF(AND(YEAR($B71)=$B$2,YEAR(INDEX($B$5:$B$344,$A71+K$3-1))=$B$2),INDEX($B$5:$B$344,$A71+K$3)-INDEX($B$5:$B$344,$A71-1)-1,"")))</f>
        <v/>
      </c>
      <c r="L71" s="11">
        <f>IF(OR($A71=1,$B71="",$A71+L$3&gt;340),"",IF(INDEX($B$5:$B$344,$A71+L$3)="","",IF(AND(YEAR($B71)=$B$2,YEAR(INDEX($B$5:$B$344,$A71+L$3-1))=$B$2),INDEX($B$5:$B$344,$A71+L$3)-INDEX($B$5:$B$344,$A71-1)-1,"")))</f>
        <v/>
      </c>
      <c r="M71" s="11">
        <f>IF(OR($A71=1,$B71="",$A71+M$3&gt;340),"",IF(INDEX($B$5:$B$344,$A71+M$3)="","",IF(AND(YEAR($B71)=$B$2,YEAR(INDEX($B$5:$B$344,$A71+M$3-1))=$B$2),INDEX($B$5:$B$344,$A71+M$3)-INDEX($B$5:$B$344,$A71-1)-1,"")))</f>
        <v/>
      </c>
    </row>
    <row r="72">
      <c r="A72" s="11" t="n">
        <v>68</v>
      </c>
      <c r="B72" s="10">
        <f>IFERROR(INDEX('2_暦'!$A$7:$A$433,MATCH(A72,'2_暦'!$K$7:$K$433,0)),"")</f>
        <v/>
      </c>
      <c r="C72" s="11">
        <f>IF(OR($A72=1,$B72=""),"",IF(OR(YEAR($B72-1)=$B$2,YEAR(INDEX($B$5:$B$344,$A72-1)+1)=$B$2),$B72-INDEX($B$5:$B$344,$A72-1)-1,""))</f>
        <v/>
      </c>
      <c r="D72" s="11">
        <f>IF(OR($A72=1,$B72="",$A72+D$3&gt;340),"",IF(INDEX($B$5:$B$344,$A72+D$3)="","",IF(AND(YEAR($B72)=$B$2,YEAR(INDEX($B$5:$B$344,$A72+D$3-1))=$B$2),INDEX($B$5:$B$344,$A72+D$3)-INDEX($B$5:$B$344,$A72-1)-1,"")))</f>
        <v/>
      </c>
      <c r="E72" s="11">
        <f>IF(OR($A72=1,$B72="",$A72+E$3&gt;340),"",IF(INDEX($B$5:$B$344,$A72+E$3)="","",IF(AND(YEAR($B72)=$B$2,YEAR(INDEX($B$5:$B$344,$A72+E$3-1))=$B$2),INDEX($B$5:$B$344,$A72+E$3)-INDEX($B$5:$B$344,$A72-1)-1,"")))</f>
        <v/>
      </c>
      <c r="F72" s="11">
        <f>IF(OR($A72=1,$B72="",$A72+F$3&gt;340),"",IF(INDEX($B$5:$B$344,$A72+F$3)="","",IF(AND(YEAR($B72)=$B$2,YEAR(INDEX($B$5:$B$344,$A72+F$3-1))=$B$2),INDEX($B$5:$B$344,$A72+F$3)-INDEX($B$5:$B$344,$A72-1)-1,"")))</f>
        <v/>
      </c>
      <c r="G72" s="11">
        <f>IF(OR($A72=1,$B72="",$A72+G$3&gt;340),"",IF(INDEX($B$5:$B$344,$A72+G$3)="","",IF(AND(YEAR($B72)=$B$2,YEAR(INDEX($B$5:$B$344,$A72+G$3-1))=$B$2),INDEX($B$5:$B$344,$A72+G$3)-INDEX($B$5:$B$344,$A72-1)-1,"")))</f>
        <v/>
      </c>
      <c r="H72" s="11">
        <f>IF(OR($A72=1,$B72="",$A72+H$3&gt;340),"",IF(INDEX($B$5:$B$344,$A72+H$3)="","",IF(AND(YEAR($B72)=$B$2,YEAR(INDEX($B$5:$B$344,$A72+H$3-1))=$B$2),INDEX($B$5:$B$344,$A72+H$3)-INDEX($B$5:$B$344,$A72-1)-1,"")))</f>
        <v/>
      </c>
      <c r="I72" s="11">
        <f>IF(OR($A72=1,$B72="",$A72+I$3&gt;340),"",IF(INDEX($B$5:$B$344,$A72+I$3)="","",IF(AND(YEAR($B72)=$B$2,YEAR(INDEX($B$5:$B$344,$A72+I$3-1))=$B$2),INDEX($B$5:$B$344,$A72+I$3)-INDEX($B$5:$B$344,$A72-1)-1,"")))</f>
        <v/>
      </c>
      <c r="J72" s="11">
        <f>IF(OR($A72=1,$B72="",$A72+J$3&gt;340),"",IF(INDEX($B$5:$B$344,$A72+J$3)="","",IF(AND(YEAR($B72)=$B$2,YEAR(INDEX($B$5:$B$344,$A72+J$3-1))=$B$2),INDEX($B$5:$B$344,$A72+J$3)-INDEX($B$5:$B$344,$A72-1)-1,"")))</f>
        <v/>
      </c>
      <c r="K72" s="11">
        <f>IF(OR($A72=1,$B72="",$A72+K$3&gt;340),"",IF(INDEX($B$5:$B$344,$A72+K$3)="","",IF(AND(YEAR($B72)=$B$2,YEAR(INDEX($B$5:$B$344,$A72+K$3-1))=$B$2),INDEX($B$5:$B$344,$A72+K$3)-INDEX($B$5:$B$344,$A72-1)-1,"")))</f>
        <v/>
      </c>
      <c r="L72" s="11">
        <f>IF(OR($A72=1,$B72="",$A72+L$3&gt;340),"",IF(INDEX($B$5:$B$344,$A72+L$3)="","",IF(AND(YEAR($B72)=$B$2,YEAR(INDEX($B$5:$B$344,$A72+L$3-1))=$B$2),INDEX($B$5:$B$344,$A72+L$3)-INDEX($B$5:$B$344,$A72-1)-1,"")))</f>
        <v/>
      </c>
      <c r="M72" s="11">
        <f>IF(OR($A72=1,$B72="",$A72+M$3&gt;340),"",IF(INDEX($B$5:$B$344,$A72+M$3)="","",IF(AND(YEAR($B72)=$B$2,YEAR(INDEX($B$5:$B$344,$A72+M$3-1))=$B$2),INDEX($B$5:$B$344,$A72+M$3)-INDEX($B$5:$B$344,$A72-1)-1,"")))</f>
        <v/>
      </c>
    </row>
    <row r="73">
      <c r="A73" s="11" t="n">
        <v>69</v>
      </c>
      <c r="B73" s="10">
        <f>IFERROR(INDEX('2_暦'!$A$7:$A$433,MATCH(A73,'2_暦'!$K$7:$K$433,0)),"")</f>
        <v/>
      </c>
      <c r="C73" s="11">
        <f>IF(OR($A73=1,$B73=""),"",IF(OR(YEAR($B73-1)=$B$2,YEAR(INDEX($B$5:$B$344,$A73-1)+1)=$B$2),$B73-INDEX($B$5:$B$344,$A73-1)-1,""))</f>
        <v/>
      </c>
      <c r="D73" s="11">
        <f>IF(OR($A73=1,$B73="",$A73+D$3&gt;340),"",IF(INDEX($B$5:$B$344,$A73+D$3)="","",IF(AND(YEAR($B73)=$B$2,YEAR(INDEX($B$5:$B$344,$A73+D$3-1))=$B$2),INDEX($B$5:$B$344,$A73+D$3)-INDEX($B$5:$B$344,$A73-1)-1,"")))</f>
        <v/>
      </c>
      <c r="E73" s="11">
        <f>IF(OR($A73=1,$B73="",$A73+E$3&gt;340),"",IF(INDEX($B$5:$B$344,$A73+E$3)="","",IF(AND(YEAR($B73)=$B$2,YEAR(INDEX($B$5:$B$344,$A73+E$3-1))=$B$2),INDEX($B$5:$B$344,$A73+E$3)-INDEX($B$5:$B$344,$A73-1)-1,"")))</f>
        <v/>
      </c>
      <c r="F73" s="11">
        <f>IF(OR($A73=1,$B73="",$A73+F$3&gt;340),"",IF(INDEX($B$5:$B$344,$A73+F$3)="","",IF(AND(YEAR($B73)=$B$2,YEAR(INDEX($B$5:$B$344,$A73+F$3-1))=$B$2),INDEX($B$5:$B$344,$A73+F$3)-INDEX($B$5:$B$344,$A73-1)-1,"")))</f>
        <v/>
      </c>
      <c r="G73" s="11">
        <f>IF(OR($A73=1,$B73="",$A73+G$3&gt;340),"",IF(INDEX($B$5:$B$344,$A73+G$3)="","",IF(AND(YEAR($B73)=$B$2,YEAR(INDEX($B$5:$B$344,$A73+G$3-1))=$B$2),INDEX($B$5:$B$344,$A73+G$3)-INDEX($B$5:$B$344,$A73-1)-1,"")))</f>
        <v/>
      </c>
      <c r="H73" s="11">
        <f>IF(OR($A73=1,$B73="",$A73+H$3&gt;340),"",IF(INDEX($B$5:$B$344,$A73+H$3)="","",IF(AND(YEAR($B73)=$B$2,YEAR(INDEX($B$5:$B$344,$A73+H$3-1))=$B$2),INDEX($B$5:$B$344,$A73+H$3)-INDEX($B$5:$B$344,$A73-1)-1,"")))</f>
        <v/>
      </c>
      <c r="I73" s="11">
        <f>IF(OR($A73=1,$B73="",$A73+I$3&gt;340),"",IF(INDEX($B$5:$B$344,$A73+I$3)="","",IF(AND(YEAR($B73)=$B$2,YEAR(INDEX($B$5:$B$344,$A73+I$3-1))=$B$2),INDEX($B$5:$B$344,$A73+I$3)-INDEX($B$5:$B$344,$A73-1)-1,"")))</f>
        <v/>
      </c>
      <c r="J73" s="11">
        <f>IF(OR($A73=1,$B73="",$A73+J$3&gt;340),"",IF(INDEX($B$5:$B$344,$A73+J$3)="","",IF(AND(YEAR($B73)=$B$2,YEAR(INDEX($B$5:$B$344,$A73+J$3-1))=$B$2),INDEX($B$5:$B$344,$A73+J$3)-INDEX($B$5:$B$344,$A73-1)-1,"")))</f>
        <v/>
      </c>
      <c r="K73" s="11">
        <f>IF(OR($A73=1,$B73="",$A73+K$3&gt;340),"",IF(INDEX($B$5:$B$344,$A73+K$3)="","",IF(AND(YEAR($B73)=$B$2,YEAR(INDEX($B$5:$B$344,$A73+K$3-1))=$B$2),INDEX($B$5:$B$344,$A73+K$3)-INDEX($B$5:$B$344,$A73-1)-1,"")))</f>
        <v/>
      </c>
      <c r="L73" s="11">
        <f>IF(OR($A73=1,$B73="",$A73+L$3&gt;340),"",IF(INDEX($B$5:$B$344,$A73+L$3)="","",IF(AND(YEAR($B73)=$B$2,YEAR(INDEX($B$5:$B$344,$A73+L$3-1))=$B$2),INDEX($B$5:$B$344,$A73+L$3)-INDEX($B$5:$B$344,$A73-1)-1,"")))</f>
        <v/>
      </c>
      <c r="M73" s="11">
        <f>IF(OR($A73=1,$B73="",$A73+M$3&gt;340),"",IF(INDEX($B$5:$B$344,$A73+M$3)="","",IF(AND(YEAR($B73)=$B$2,YEAR(INDEX($B$5:$B$344,$A73+M$3-1))=$B$2),INDEX($B$5:$B$344,$A73+M$3)-INDEX($B$5:$B$344,$A73-1)-1,"")))</f>
        <v/>
      </c>
    </row>
    <row r="74">
      <c r="A74" s="11" t="n">
        <v>70</v>
      </c>
      <c r="B74" s="10">
        <f>IFERROR(INDEX('2_暦'!$A$7:$A$433,MATCH(A74,'2_暦'!$K$7:$K$433,0)),"")</f>
        <v/>
      </c>
      <c r="C74" s="11">
        <f>IF(OR($A74=1,$B74=""),"",IF(OR(YEAR($B74-1)=$B$2,YEAR(INDEX($B$5:$B$344,$A74-1)+1)=$B$2),$B74-INDEX($B$5:$B$344,$A74-1)-1,""))</f>
        <v/>
      </c>
      <c r="D74" s="11">
        <f>IF(OR($A74=1,$B74="",$A74+D$3&gt;340),"",IF(INDEX($B$5:$B$344,$A74+D$3)="","",IF(AND(YEAR($B74)=$B$2,YEAR(INDEX($B$5:$B$344,$A74+D$3-1))=$B$2),INDEX($B$5:$B$344,$A74+D$3)-INDEX($B$5:$B$344,$A74-1)-1,"")))</f>
        <v/>
      </c>
      <c r="E74" s="11">
        <f>IF(OR($A74=1,$B74="",$A74+E$3&gt;340),"",IF(INDEX($B$5:$B$344,$A74+E$3)="","",IF(AND(YEAR($B74)=$B$2,YEAR(INDEX($B$5:$B$344,$A74+E$3-1))=$B$2),INDEX($B$5:$B$344,$A74+E$3)-INDEX($B$5:$B$344,$A74-1)-1,"")))</f>
        <v/>
      </c>
      <c r="F74" s="11">
        <f>IF(OR($A74=1,$B74="",$A74+F$3&gt;340),"",IF(INDEX($B$5:$B$344,$A74+F$3)="","",IF(AND(YEAR($B74)=$B$2,YEAR(INDEX($B$5:$B$344,$A74+F$3-1))=$B$2),INDEX($B$5:$B$344,$A74+F$3)-INDEX($B$5:$B$344,$A74-1)-1,"")))</f>
        <v/>
      </c>
      <c r="G74" s="11">
        <f>IF(OR($A74=1,$B74="",$A74+G$3&gt;340),"",IF(INDEX($B$5:$B$344,$A74+G$3)="","",IF(AND(YEAR($B74)=$B$2,YEAR(INDEX($B$5:$B$344,$A74+G$3-1))=$B$2),INDEX($B$5:$B$344,$A74+G$3)-INDEX($B$5:$B$344,$A74-1)-1,"")))</f>
        <v/>
      </c>
      <c r="H74" s="11">
        <f>IF(OR($A74=1,$B74="",$A74+H$3&gt;340),"",IF(INDEX($B$5:$B$344,$A74+H$3)="","",IF(AND(YEAR($B74)=$B$2,YEAR(INDEX($B$5:$B$344,$A74+H$3-1))=$B$2),INDEX($B$5:$B$344,$A74+H$3)-INDEX($B$5:$B$344,$A74-1)-1,"")))</f>
        <v/>
      </c>
      <c r="I74" s="11">
        <f>IF(OR($A74=1,$B74="",$A74+I$3&gt;340),"",IF(INDEX($B$5:$B$344,$A74+I$3)="","",IF(AND(YEAR($B74)=$B$2,YEAR(INDEX($B$5:$B$344,$A74+I$3-1))=$B$2),INDEX($B$5:$B$344,$A74+I$3)-INDEX($B$5:$B$344,$A74-1)-1,"")))</f>
        <v/>
      </c>
      <c r="J74" s="11">
        <f>IF(OR($A74=1,$B74="",$A74+J$3&gt;340),"",IF(INDEX($B$5:$B$344,$A74+J$3)="","",IF(AND(YEAR($B74)=$B$2,YEAR(INDEX($B$5:$B$344,$A74+J$3-1))=$B$2),INDEX($B$5:$B$344,$A74+J$3)-INDEX($B$5:$B$344,$A74-1)-1,"")))</f>
        <v/>
      </c>
      <c r="K74" s="11">
        <f>IF(OR($A74=1,$B74="",$A74+K$3&gt;340),"",IF(INDEX($B$5:$B$344,$A74+K$3)="","",IF(AND(YEAR($B74)=$B$2,YEAR(INDEX($B$5:$B$344,$A74+K$3-1))=$B$2),INDEX($B$5:$B$344,$A74+K$3)-INDEX($B$5:$B$344,$A74-1)-1,"")))</f>
        <v/>
      </c>
      <c r="L74" s="11">
        <f>IF(OR($A74=1,$B74="",$A74+L$3&gt;340),"",IF(INDEX($B$5:$B$344,$A74+L$3)="","",IF(AND(YEAR($B74)=$B$2,YEAR(INDEX($B$5:$B$344,$A74+L$3-1))=$B$2),INDEX($B$5:$B$344,$A74+L$3)-INDEX($B$5:$B$344,$A74-1)-1,"")))</f>
        <v/>
      </c>
      <c r="M74" s="11">
        <f>IF(OR($A74=1,$B74="",$A74+M$3&gt;340),"",IF(INDEX($B$5:$B$344,$A74+M$3)="","",IF(AND(YEAR($B74)=$B$2,YEAR(INDEX($B$5:$B$344,$A74+M$3-1))=$B$2),INDEX($B$5:$B$344,$A74+M$3)-INDEX($B$5:$B$344,$A74-1)-1,"")))</f>
        <v/>
      </c>
    </row>
    <row r="75">
      <c r="A75" s="11" t="n">
        <v>71</v>
      </c>
      <c r="B75" s="10">
        <f>IFERROR(INDEX('2_暦'!$A$7:$A$433,MATCH(A75,'2_暦'!$K$7:$K$433,0)),"")</f>
        <v/>
      </c>
      <c r="C75" s="11">
        <f>IF(OR($A75=1,$B75=""),"",IF(OR(YEAR($B75-1)=$B$2,YEAR(INDEX($B$5:$B$344,$A75-1)+1)=$B$2),$B75-INDEX($B$5:$B$344,$A75-1)-1,""))</f>
        <v/>
      </c>
      <c r="D75" s="11">
        <f>IF(OR($A75=1,$B75="",$A75+D$3&gt;340),"",IF(INDEX($B$5:$B$344,$A75+D$3)="","",IF(AND(YEAR($B75)=$B$2,YEAR(INDEX($B$5:$B$344,$A75+D$3-1))=$B$2),INDEX($B$5:$B$344,$A75+D$3)-INDEX($B$5:$B$344,$A75-1)-1,"")))</f>
        <v/>
      </c>
      <c r="E75" s="11">
        <f>IF(OR($A75=1,$B75="",$A75+E$3&gt;340),"",IF(INDEX($B$5:$B$344,$A75+E$3)="","",IF(AND(YEAR($B75)=$B$2,YEAR(INDEX($B$5:$B$344,$A75+E$3-1))=$B$2),INDEX($B$5:$B$344,$A75+E$3)-INDEX($B$5:$B$344,$A75-1)-1,"")))</f>
        <v/>
      </c>
      <c r="F75" s="11">
        <f>IF(OR($A75=1,$B75="",$A75+F$3&gt;340),"",IF(INDEX($B$5:$B$344,$A75+F$3)="","",IF(AND(YEAR($B75)=$B$2,YEAR(INDEX($B$5:$B$344,$A75+F$3-1))=$B$2),INDEX($B$5:$B$344,$A75+F$3)-INDEX($B$5:$B$344,$A75-1)-1,"")))</f>
        <v/>
      </c>
      <c r="G75" s="11">
        <f>IF(OR($A75=1,$B75="",$A75+G$3&gt;340),"",IF(INDEX($B$5:$B$344,$A75+G$3)="","",IF(AND(YEAR($B75)=$B$2,YEAR(INDEX($B$5:$B$344,$A75+G$3-1))=$B$2),INDEX($B$5:$B$344,$A75+G$3)-INDEX($B$5:$B$344,$A75-1)-1,"")))</f>
        <v/>
      </c>
      <c r="H75" s="11">
        <f>IF(OR($A75=1,$B75="",$A75+H$3&gt;340),"",IF(INDEX($B$5:$B$344,$A75+H$3)="","",IF(AND(YEAR($B75)=$B$2,YEAR(INDEX($B$5:$B$344,$A75+H$3-1))=$B$2),INDEX($B$5:$B$344,$A75+H$3)-INDEX($B$5:$B$344,$A75-1)-1,"")))</f>
        <v/>
      </c>
      <c r="I75" s="11">
        <f>IF(OR($A75=1,$B75="",$A75+I$3&gt;340),"",IF(INDEX($B$5:$B$344,$A75+I$3)="","",IF(AND(YEAR($B75)=$B$2,YEAR(INDEX($B$5:$B$344,$A75+I$3-1))=$B$2),INDEX($B$5:$B$344,$A75+I$3)-INDEX($B$5:$B$344,$A75-1)-1,"")))</f>
        <v/>
      </c>
      <c r="J75" s="11">
        <f>IF(OR($A75=1,$B75="",$A75+J$3&gt;340),"",IF(INDEX($B$5:$B$344,$A75+J$3)="","",IF(AND(YEAR($B75)=$B$2,YEAR(INDEX($B$5:$B$344,$A75+J$3-1))=$B$2),INDEX($B$5:$B$344,$A75+J$3)-INDEX($B$5:$B$344,$A75-1)-1,"")))</f>
        <v/>
      </c>
      <c r="K75" s="11">
        <f>IF(OR($A75=1,$B75="",$A75+K$3&gt;340),"",IF(INDEX($B$5:$B$344,$A75+K$3)="","",IF(AND(YEAR($B75)=$B$2,YEAR(INDEX($B$5:$B$344,$A75+K$3-1))=$B$2),INDEX($B$5:$B$344,$A75+K$3)-INDEX($B$5:$B$344,$A75-1)-1,"")))</f>
        <v/>
      </c>
      <c r="L75" s="11">
        <f>IF(OR($A75=1,$B75="",$A75+L$3&gt;340),"",IF(INDEX($B$5:$B$344,$A75+L$3)="","",IF(AND(YEAR($B75)=$B$2,YEAR(INDEX($B$5:$B$344,$A75+L$3-1))=$B$2),INDEX($B$5:$B$344,$A75+L$3)-INDEX($B$5:$B$344,$A75-1)-1,"")))</f>
        <v/>
      </c>
      <c r="M75" s="11">
        <f>IF(OR($A75=1,$B75="",$A75+M$3&gt;340),"",IF(INDEX($B$5:$B$344,$A75+M$3)="","",IF(AND(YEAR($B75)=$B$2,YEAR(INDEX($B$5:$B$344,$A75+M$3-1))=$B$2),INDEX($B$5:$B$344,$A75+M$3)-INDEX($B$5:$B$344,$A75-1)-1,"")))</f>
        <v/>
      </c>
    </row>
    <row r="76">
      <c r="A76" s="11" t="n">
        <v>72</v>
      </c>
      <c r="B76" s="10">
        <f>IFERROR(INDEX('2_暦'!$A$7:$A$433,MATCH(A76,'2_暦'!$K$7:$K$433,0)),"")</f>
        <v/>
      </c>
      <c r="C76" s="11">
        <f>IF(OR($A76=1,$B76=""),"",IF(OR(YEAR($B76-1)=$B$2,YEAR(INDEX($B$5:$B$344,$A76-1)+1)=$B$2),$B76-INDEX($B$5:$B$344,$A76-1)-1,""))</f>
        <v/>
      </c>
      <c r="D76" s="11">
        <f>IF(OR($A76=1,$B76="",$A76+D$3&gt;340),"",IF(INDEX($B$5:$B$344,$A76+D$3)="","",IF(AND(YEAR($B76)=$B$2,YEAR(INDEX($B$5:$B$344,$A76+D$3-1))=$B$2),INDEX($B$5:$B$344,$A76+D$3)-INDEX($B$5:$B$344,$A76-1)-1,"")))</f>
        <v/>
      </c>
      <c r="E76" s="11">
        <f>IF(OR($A76=1,$B76="",$A76+E$3&gt;340),"",IF(INDEX($B$5:$B$344,$A76+E$3)="","",IF(AND(YEAR($B76)=$B$2,YEAR(INDEX($B$5:$B$344,$A76+E$3-1))=$B$2),INDEX($B$5:$B$344,$A76+E$3)-INDEX($B$5:$B$344,$A76-1)-1,"")))</f>
        <v/>
      </c>
      <c r="F76" s="11">
        <f>IF(OR($A76=1,$B76="",$A76+F$3&gt;340),"",IF(INDEX($B$5:$B$344,$A76+F$3)="","",IF(AND(YEAR($B76)=$B$2,YEAR(INDEX($B$5:$B$344,$A76+F$3-1))=$B$2),INDEX($B$5:$B$344,$A76+F$3)-INDEX($B$5:$B$344,$A76-1)-1,"")))</f>
        <v/>
      </c>
      <c r="G76" s="11">
        <f>IF(OR($A76=1,$B76="",$A76+G$3&gt;340),"",IF(INDEX($B$5:$B$344,$A76+G$3)="","",IF(AND(YEAR($B76)=$B$2,YEAR(INDEX($B$5:$B$344,$A76+G$3-1))=$B$2),INDEX($B$5:$B$344,$A76+G$3)-INDEX($B$5:$B$344,$A76-1)-1,"")))</f>
        <v/>
      </c>
      <c r="H76" s="11">
        <f>IF(OR($A76=1,$B76="",$A76+H$3&gt;340),"",IF(INDEX($B$5:$B$344,$A76+H$3)="","",IF(AND(YEAR($B76)=$B$2,YEAR(INDEX($B$5:$B$344,$A76+H$3-1))=$B$2),INDEX($B$5:$B$344,$A76+H$3)-INDEX($B$5:$B$344,$A76-1)-1,"")))</f>
        <v/>
      </c>
      <c r="I76" s="11">
        <f>IF(OR($A76=1,$B76="",$A76+I$3&gt;340),"",IF(INDEX($B$5:$B$344,$A76+I$3)="","",IF(AND(YEAR($B76)=$B$2,YEAR(INDEX($B$5:$B$344,$A76+I$3-1))=$B$2),INDEX($B$5:$B$344,$A76+I$3)-INDEX($B$5:$B$344,$A76-1)-1,"")))</f>
        <v/>
      </c>
      <c r="J76" s="11">
        <f>IF(OR($A76=1,$B76="",$A76+J$3&gt;340),"",IF(INDEX($B$5:$B$344,$A76+J$3)="","",IF(AND(YEAR($B76)=$B$2,YEAR(INDEX($B$5:$B$344,$A76+J$3-1))=$B$2),INDEX($B$5:$B$344,$A76+J$3)-INDEX($B$5:$B$344,$A76-1)-1,"")))</f>
        <v/>
      </c>
      <c r="K76" s="11">
        <f>IF(OR($A76=1,$B76="",$A76+K$3&gt;340),"",IF(INDEX($B$5:$B$344,$A76+K$3)="","",IF(AND(YEAR($B76)=$B$2,YEAR(INDEX($B$5:$B$344,$A76+K$3-1))=$B$2),INDEX($B$5:$B$344,$A76+K$3)-INDEX($B$5:$B$344,$A76-1)-1,"")))</f>
        <v/>
      </c>
      <c r="L76" s="11">
        <f>IF(OR($A76=1,$B76="",$A76+L$3&gt;340),"",IF(INDEX($B$5:$B$344,$A76+L$3)="","",IF(AND(YEAR($B76)=$B$2,YEAR(INDEX($B$5:$B$344,$A76+L$3-1))=$B$2),INDEX($B$5:$B$344,$A76+L$3)-INDEX($B$5:$B$344,$A76-1)-1,"")))</f>
        <v/>
      </c>
      <c r="M76" s="11">
        <f>IF(OR($A76=1,$B76="",$A76+M$3&gt;340),"",IF(INDEX($B$5:$B$344,$A76+M$3)="","",IF(AND(YEAR($B76)=$B$2,YEAR(INDEX($B$5:$B$344,$A76+M$3-1))=$B$2),INDEX($B$5:$B$344,$A76+M$3)-INDEX($B$5:$B$344,$A76-1)-1,"")))</f>
        <v/>
      </c>
    </row>
    <row r="77">
      <c r="A77" s="11" t="n">
        <v>73</v>
      </c>
      <c r="B77" s="10">
        <f>IFERROR(INDEX('2_暦'!$A$7:$A$433,MATCH(A77,'2_暦'!$K$7:$K$433,0)),"")</f>
        <v/>
      </c>
      <c r="C77" s="11">
        <f>IF(OR($A77=1,$B77=""),"",IF(OR(YEAR($B77-1)=$B$2,YEAR(INDEX($B$5:$B$344,$A77-1)+1)=$B$2),$B77-INDEX($B$5:$B$344,$A77-1)-1,""))</f>
        <v/>
      </c>
      <c r="D77" s="11">
        <f>IF(OR($A77=1,$B77="",$A77+D$3&gt;340),"",IF(INDEX($B$5:$B$344,$A77+D$3)="","",IF(AND(YEAR($B77)=$B$2,YEAR(INDEX($B$5:$B$344,$A77+D$3-1))=$B$2),INDEX($B$5:$B$344,$A77+D$3)-INDEX($B$5:$B$344,$A77-1)-1,"")))</f>
        <v/>
      </c>
      <c r="E77" s="11">
        <f>IF(OR($A77=1,$B77="",$A77+E$3&gt;340),"",IF(INDEX($B$5:$B$344,$A77+E$3)="","",IF(AND(YEAR($B77)=$B$2,YEAR(INDEX($B$5:$B$344,$A77+E$3-1))=$B$2),INDEX($B$5:$B$344,$A77+E$3)-INDEX($B$5:$B$344,$A77-1)-1,"")))</f>
        <v/>
      </c>
      <c r="F77" s="11">
        <f>IF(OR($A77=1,$B77="",$A77+F$3&gt;340),"",IF(INDEX($B$5:$B$344,$A77+F$3)="","",IF(AND(YEAR($B77)=$B$2,YEAR(INDEX($B$5:$B$344,$A77+F$3-1))=$B$2),INDEX($B$5:$B$344,$A77+F$3)-INDEX($B$5:$B$344,$A77-1)-1,"")))</f>
        <v/>
      </c>
      <c r="G77" s="11">
        <f>IF(OR($A77=1,$B77="",$A77+G$3&gt;340),"",IF(INDEX($B$5:$B$344,$A77+G$3)="","",IF(AND(YEAR($B77)=$B$2,YEAR(INDEX($B$5:$B$344,$A77+G$3-1))=$B$2),INDEX($B$5:$B$344,$A77+G$3)-INDEX($B$5:$B$344,$A77-1)-1,"")))</f>
        <v/>
      </c>
      <c r="H77" s="11">
        <f>IF(OR($A77=1,$B77="",$A77+H$3&gt;340),"",IF(INDEX($B$5:$B$344,$A77+H$3)="","",IF(AND(YEAR($B77)=$B$2,YEAR(INDEX($B$5:$B$344,$A77+H$3-1))=$B$2),INDEX($B$5:$B$344,$A77+H$3)-INDEX($B$5:$B$344,$A77-1)-1,"")))</f>
        <v/>
      </c>
      <c r="I77" s="11">
        <f>IF(OR($A77=1,$B77="",$A77+I$3&gt;340),"",IF(INDEX($B$5:$B$344,$A77+I$3)="","",IF(AND(YEAR($B77)=$B$2,YEAR(INDEX($B$5:$B$344,$A77+I$3-1))=$B$2),INDEX($B$5:$B$344,$A77+I$3)-INDEX($B$5:$B$344,$A77-1)-1,"")))</f>
        <v/>
      </c>
      <c r="J77" s="11">
        <f>IF(OR($A77=1,$B77="",$A77+J$3&gt;340),"",IF(INDEX($B$5:$B$344,$A77+J$3)="","",IF(AND(YEAR($B77)=$B$2,YEAR(INDEX($B$5:$B$344,$A77+J$3-1))=$B$2),INDEX($B$5:$B$344,$A77+J$3)-INDEX($B$5:$B$344,$A77-1)-1,"")))</f>
        <v/>
      </c>
      <c r="K77" s="11">
        <f>IF(OR($A77=1,$B77="",$A77+K$3&gt;340),"",IF(INDEX($B$5:$B$344,$A77+K$3)="","",IF(AND(YEAR($B77)=$B$2,YEAR(INDEX($B$5:$B$344,$A77+K$3-1))=$B$2),INDEX($B$5:$B$344,$A77+K$3)-INDEX($B$5:$B$344,$A77-1)-1,"")))</f>
        <v/>
      </c>
      <c r="L77" s="11">
        <f>IF(OR($A77=1,$B77="",$A77+L$3&gt;340),"",IF(INDEX($B$5:$B$344,$A77+L$3)="","",IF(AND(YEAR($B77)=$B$2,YEAR(INDEX($B$5:$B$344,$A77+L$3-1))=$B$2),INDEX($B$5:$B$344,$A77+L$3)-INDEX($B$5:$B$344,$A77-1)-1,"")))</f>
        <v/>
      </c>
      <c r="M77" s="11">
        <f>IF(OR($A77=1,$B77="",$A77+M$3&gt;340),"",IF(INDEX($B$5:$B$344,$A77+M$3)="","",IF(AND(YEAR($B77)=$B$2,YEAR(INDEX($B$5:$B$344,$A77+M$3-1))=$B$2),INDEX($B$5:$B$344,$A77+M$3)-INDEX($B$5:$B$344,$A77-1)-1,"")))</f>
        <v/>
      </c>
    </row>
    <row r="78">
      <c r="A78" s="11" t="n">
        <v>74</v>
      </c>
      <c r="B78" s="10">
        <f>IFERROR(INDEX('2_暦'!$A$7:$A$433,MATCH(A78,'2_暦'!$K$7:$K$433,0)),"")</f>
        <v/>
      </c>
      <c r="C78" s="11">
        <f>IF(OR($A78=1,$B78=""),"",IF(OR(YEAR($B78-1)=$B$2,YEAR(INDEX($B$5:$B$344,$A78-1)+1)=$B$2),$B78-INDEX($B$5:$B$344,$A78-1)-1,""))</f>
        <v/>
      </c>
      <c r="D78" s="11">
        <f>IF(OR($A78=1,$B78="",$A78+D$3&gt;340),"",IF(INDEX($B$5:$B$344,$A78+D$3)="","",IF(AND(YEAR($B78)=$B$2,YEAR(INDEX($B$5:$B$344,$A78+D$3-1))=$B$2),INDEX($B$5:$B$344,$A78+D$3)-INDEX($B$5:$B$344,$A78-1)-1,"")))</f>
        <v/>
      </c>
      <c r="E78" s="11">
        <f>IF(OR($A78=1,$B78="",$A78+E$3&gt;340),"",IF(INDEX($B$5:$B$344,$A78+E$3)="","",IF(AND(YEAR($B78)=$B$2,YEAR(INDEX($B$5:$B$344,$A78+E$3-1))=$B$2),INDEX($B$5:$B$344,$A78+E$3)-INDEX($B$5:$B$344,$A78-1)-1,"")))</f>
        <v/>
      </c>
      <c r="F78" s="11">
        <f>IF(OR($A78=1,$B78="",$A78+F$3&gt;340),"",IF(INDEX($B$5:$B$344,$A78+F$3)="","",IF(AND(YEAR($B78)=$B$2,YEAR(INDEX($B$5:$B$344,$A78+F$3-1))=$B$2),INDEX($B$5:$B$344,$A78+F$3)-INDEX($B$5:$B$344,$A78-1)-1,"")))</f>
        <v/>
      </c>
      <c r="G78" s="11">
        <f>IF(OR($A78=1,$B78="",$A78+G$3&gt;340),"",IF(INDEX($B$5:$B$344,$A78+G$3)="","",IF(AND(YEAR($B78)=$B$2,YEAR(INDEX($B$5:$B$344,$A78+G$3-1))=$B$2),INDEX($B$5:$B$344,$A78+G$3)-INDEX($B$5:$B$344,$A78-1)-1,"")))</f>
        <v/>
      </c>
      <c r="H78" s="11">
        <f>IF(OR($A78=1,$B78="",$A78+H$3&gt;340),"",IF(INDEX($B$5:$B$344,$A78+H$3)="","",IF(AND(YEAR($B78)=$B$2,YEAR(INDEX($B$5:$B$344,$A78+H$3-1))=$B$2),INDEX($B$5:$B$344,$A78+H$3)-INDEX($B$5:$B$344,$A78-1)-1,"")))</f>
        <v/>
      </c>
      <c r="I78" s="11">
        <f>IF(OR($A78=1,$B78="",$A78+I$3&gt;340),"",IF(INDEX($B$5:$B$344,$A78+I$3)="","",IF(AND(YEAR($B78)=$B$2,YEAR(INDEX($B$5:$B$344,$A78+I$3-1))=$B$2),INDEX($B$5:$B$344,$A78+I$3)-INDEX($B$5:$B$344,$A78-1)-1,"")))</f>
        <v/>
      </c>
      <c r="J78" s="11">
        <f>IF(OR($A78=1,$B78="",$A78+J$3&gt;340),"",IF(INDEX($B$5:$B$344,$A78+J$3)="","",IF(AND(YEAR($B78)=$B$2,YEAR(INDEX($B$5:$B$344,$A78+J$3-1))=$B$2),INDEX($B$5:$B$344,$A78+J$3)-INDEX($B$5:$B$344,$A78-1)-1,"")))</f>
        <v/>
      </c>
      <c r="K78" s="11">
        <f>IF(OR($A78=1,$B78="",$A78+K$3&gt;340),"",IF(INDEX($B$5:$B$344,$A78+K$3)="","",IF(AND(YEAR($B78)=$B$2,YEAR(INDEX($B$5:$B$344,$A78+K$3-1))=$B$2),INDEX($B$5:$B$344,$A78+K$3)-INDEX($B$5:$B$344,$A78-1)-1,"")))</f>
        <v/>
      </c>
      <c r="L78" s="11">
        <f>IF(OR($A78=1,$B78="",$A78+L$3&gt;340),"",IF(INDEX($B$5:$B$344,$A78+L$3)="","",IF(AND(YEAR($B78)=$B$2,YEAR(INDEX($B$5:$B$344,$A78+L$3-1))=$B$2),INDEX($B$5:$B$344,$A78+L$3)-INDEX($B$5:$B$344,$A78-1)-1,"")))</f>
        <v/>
      </c>
      <c r="M78" s="11">
        <f>IF(OR($A78=1,$B78="",$A78+M$3&gt;340),"",IF(INDEX($B$5:$B$344,$A78+M$3)="","",IF(AND(YEAR($B78)=$B$2,YEAR(INDEX($B$5:$B$344,$A78+M$3-1))=$B$2),INDEX($B$5:$B$344,$A78+M$3)-INDEX($B$5:$B$344,$A78-1)-1,"")))</f>
        <v/>
      </c>
    </row>
    <row r="79">
      <c r="A79" s="11" t="n">
        <v>75</v>
      </c>
      <c r="B79" s="10">
        <f>IFERROR(INDEX('2_暦'!$A$7:$A$433,MATCH(A79,'2_暦'!$K$7:$K$433,0)),"")</f>
        <v/>
      </c>
      <c r="C79" s="11">
        <f>IF(OR($A79=1,$B79=""),"",IF(OR(YEAR($B79-1)=$B$2,YEAR(INDEX($B$5:$B$344,$A79-1)+1)=$B$2),$B79-INDEX($B$5:$B$344,$A79-1)-1,""))</f>
        <v/>
      </c>
      <c r="D79" s="11">
        <f>IF(OR($A79=1,$B79="",$A79+D$3&gt;340),"",IF(INDEX($B$5:$B$344,$A79+D$3)="","",IF(AND(YEAR($B79)=$B$2,YEAR(INDEX($B$5:$B$344,$A79+D$3-1))=$B$2),INDEX($B$5:$B$344,$A79+D$3)-INDEX($B$5:$B$344,$A79-1)-1,"")))</f>
        <v/>
      </c>
      <c r="E79" s="11">
        <f>IF(OR($A79=1,$B79="",$A79+E$3&gt;340),"",IF(INDEX($B$5:$B$344,$A79+E$3)="","",IF(AND(YEAR($B79)=$B$2,YEAR(INDEX($B$5:$B$344,$A79+E$3-1))=$B$2),INDEX($B$5:$B$344,$A79+E$3)-INDEX($B$5:$B$344,$A79-1)-1,"")))</f>
        <v/>
      </c>
      <c r="F79" s="11">
        <f>IF(OR($A79=1,$B79="",$A79+F$3&gt;340),"",IF(INDEX($B$5:$B$344,$A79+F$3)="","",IF(AND(YEAR($B79)=$B$2,YEAR(INDEX($B$5:$B$344,$A79+F$3-1))=$B$2),INDEX($B$5:$B$344,$A79+F$3)-INDEX($B$5:$B$344,$A79-1)-1,"")))</f>
        <v/>
      </c>
      <c r="G79" s="11">
        <f>IF(OR($A79=1,$B79="",$A79+G$3&gt;340),"",IF(INDEX($B$5:$B$344,$A79+G$3)="","",IF(AND(YEAR($B79)=$B$2,YEAR(INDEX($B$5:$B$344,$A79+G$3-1))=$B$2),INDEX($B$5:$B$344,$A79+G$3)-INDEX($B$5:$B$344,$A79-1)-1,"")))</f>
        <v/>
      </c>
      <c r="H79" s="11">
        <f>IF(OR($A79=1,$B79="",$A79+H$3&gt;340),"",IF(INDEX($B$5:$B$344,$A79+H$3)="","",IF(AND(YEAR($B79)=$B$2,YEAR(INDEX($B$5:$B$344,$A79+H$3-1))=$B$2),INDEX($B$5:$B$344,$A79+H$3)-INDEX($B$5:$B$344,$A79-1)-1,"")))</f>
        <v/>
      </c>
      <c r="I79" s="11">
        <f>IF(OR($A79=1,$B79="",$A79+I$3&gt;340),"",IF(INDEX($B$5:$B$344,$A79+I$3)="","",IF(AND(YEAR($B79)=$B$2,YEAR(INDEX($B$5:$B$344,$A79+I$3-1))=$B$2),INDEX($B$5:$B$344,$A79+I$3)-INDEX($B$5:$B$344,$A79-1)-1,"")))</f>
        <v/>
      </c>
      <c r="J79" s="11">
        <f>IF(OR($A79=1,$B79="",$A79+J$3&gt;340),"",IF(INDEX($B$5:$B$344,$A79+J$3)="","",IF(AND(YEAR($B79)=$B$2,YEAR(INDEX($B$5:$B$344,$A79+J$3-1))=$B$2),INDEX($B$5:$B$344,$A79+J$3)-INDEX($B$5:$B$344,$A79-1)-1,"")))</f>
        <v/>
      </c>
      <c r="K79" s="11">
        <f>IF(OR($A79=1,$B79="",$A79+K$3&gt;340),"",IF(INDEX($B$5:$B$344,$A79+K$3)="","",IF(AND(YEAR($B79)=$B$2,YEAR(INDEX($B$5:$B$344,$A79+K$3-1))=$B$2),INDEX($B$5:$B$344,$A79+K$3)-INDEX($B$5:$B$344,$A79-1)-1,"")))</f>
        <v/>
      </c>
      <c r="L79" s="11">
        <f>IF(OR($A79=1,$B79="",$A79+L$3&gt;340),"",IF(INDEX($B$5:$B$344,$A79+L$3)="","",IF(AND(YEAR($B79)=$B$2,YEAR(INDEX($B$5:$B$344,$A79+L$3-1))=$B$2),INDEX($B$5:$B$344,$A79+L$3)-INDEX($B$5:$B$344,$A79-1)-1,"")))</f>
        <v/>
      </c>
      <c r="M79" s="11">
        <f>IF(OR($A79=1,$B79="",$A79+M$3&gt;340),"",IF(INDEX($B$5:$B$344,$A79+M$3)="","",IF(AND(YEAR($B79)=$B$2,YEAR(INDEX($B$5:$B$344,$A79+M$3-1))=$B$2),INDEX($B$5:$B$344,$A79+M$3)-INDEX($B$5:$B$344,$A79-1)-1,"")))</f>
        <v/>
      </c>
    </row>
    <row r="80">
      <c r="A80" s="11" t="n">
        <v>76</v>
      </c>
      <c r="B80" s="10">
        <f>IFERROR(INDEX('2_暦'!$A$7:$A$433,MATCH(A80,'2_暦'!$K$7:$K$433,0)),"")</f>
        <v/>
      </c>
      <c r="C80" s="11">
        <f>IF(OR($A80=1,$B80=""),"",IF(OR(YEAR($B80-1)=$B$2,YEAR(INDEX($B$5:$B$344,$A80-1)+1)=$B$2),$B80-INDEX($B$5:$B$344,$A80-1)-1,""))</f>
        <v/>
      </c>
      <c r="D80" s="11">
        <f>IF(OR($A80=1,$B80="",$A80+D$3&gt;340),"",IF(INDEX($B$5:$B$344,$A80+D$3)="","",IF(AND(YEAR($B80)=$B$2,YEAR(INDEX($B$5:$B$344,$A80+D$3-1))=$B$2),INDEX($B$5:$B$344,$A80+D$3)-INDEX($B$5:$B$344,$A80-1)-1,"")))</f>
        <v/>
      </c>
      <c r="E80" s="11">
        <f>IF(OR($A80=1,$B80="",$A80+E$3&gt;340),"",IF(INDEX($B$5:$B$344,$A80+E$3)="","",IF(AND(YEAR($B80)=$B$2,YEAR(INDEX($B$5:$B$344,$A80+E$3-1))=$B$2),INDEX($B$5:$B$344,$A80+E$3)-INDEX($B$5:$B$344,$A80-1)-1,"")))</f>
        <v/>
      </c>
      <c r="F80" s="11">
        <f>IF(OR($A80=1,$B80="",$A80+F$3&gt;340),"",IF(INDEX($B$5:$B$344,$A80+F$3)="","",IF(AND(YEAR($B80)=$B$2,YEAR(INDEX($B$5:$B$344,$A80+F$3-1))=$B$2),INDEX($B$5:$B$344,$A80+F$3)-INDEX($B$5:$B$344,$A80-1)-1,"")))</f>
        <v/>
      </c>
      <c r="G80" s="11">
        <f>IF(OR($A80=1,$B80="",$A80+G$3&gt;340),"",IF(INDEX($B$5:$B$344,$A80+G$3)="","",IF(AND(YEAR($B80)=$B$2,YEAR(INDEX($B$5:$B$344,$A80+G$3-1))=$B$2),INDEX($B$5:$B$344,$A80+G$3)-INDEX($B$5:$B$344,$A80-1)-1,"")))</f>
        <v/>
      </c>
      <c r="H80" s="11">
        <f>IF(OR($A80=1,$B80="",$A80+H$3&gt;340),"",IF(INDEX($B$5:$B$344,$A80+H$3)="","",IF(AND(YEAR($B80)=$B$2,YEAR(INDEX($B$5:$B$344,$A80+H$3-1))=$B$2),INDEX($B$5:$B$344,$A80+H$3)-INDEX($B$5:$B$344,$A80-1)-1,"")))</f>
        <v/>
      </c>
      <c r="I80" s="11">
        <f>IF(OR($A80=1,$B80="",$A80+I$3&gt;340),"",IF(INDEX($B$5:$B$344,$A80+I$3)="","",IF(AND(YEAR($B80)=$B$2,YEAR(INDEX($B$5:$B$344,$A80+I$3-1))=$B$2),INDEX($B$5:$B$344,$A80+I$3)-INDEX($B$5:$B$344,$A80-1)-1,"")))</f>
        <v/>
      </c>
      <c r="J80" s="11">
        <f>IF(OR($A80=1,$B80="",$A80+J$3&gt;340),"",IF(INDEX($B$5:$B$344,$A80+J$3)="","",IF(AND(YEAR($B80)=$B$2,YEAR(INDEX($B$5:$B$344,$A80+J$3-1))=$B$2),INDEX($B$5:$B$344,$A80+J$3)-INDEX($B$5:$B$344,$A80-1)-1,"")))</f>
        <v/>
      </c>
      <c r="K80" s="11">
        <f>IF(OR($A80=1,$B80="",$A80+K$3&gt;340),"",IF(INDEX($B$5:$B$344,$A80+K$3)="","",IF(AND(YEAR($B80)=$B$2,YEAR(INDEX($B$5:$B$344,$A80+K$3-1))=$B$2),INDEX($B$5:$B$344,$A80+K$3)-INDEX($B$5:$B$344,$A80-1)-1,"")))</f>
        <v/>
      </c>
      <c r="L80" s="11">
        <f>IF(OR($A80=1,$B80="",$A80+L$3&gt;340),"",IF(INDEX($B$5:$B$344,$A80+L$3)="","",IF(AND(YEAR($B80)=$B$2,YEAR(INDEX($B$5:$B$344,$A80+L$3-1))=$B$2),INDEX($B$5:$B$344,$A80+L$3)-INDEX($B$5:$B$344,$A80-1)-1,"")))</f>
        <v/>
      </c>
      <c r="M80" s="11">
        <f>IF(OR($A80=1,$B80="",$A80+M$3&gt;340),"",IF(INDEX($B$5:$B$344,$A80+M$3)="","",IF(AND(YEAR($B80)=$B$2,YEAR(INDEX($B$5:$B$344,$A80+M$3-1))=$B$2),INDEX($B$5:$B$344,$A80+M$3)-INDEX($B$5:$B$344,$A80-1)-1,"")))</f>
        <v/>
      </c>
    </row>
    <row r="81">
      <c r="A81" s="11" t="n">
        <v>77</v>
      </c>
      <c r="B81" s="10">
        <f>IFERROR(INDEX('2_暦'!$A$7:$A$433,MATCH(A81,'2_暦'!$K$7:$K$433,0)),"")</f>
        <v/>
      </c>
      <c r="C81" s="11">
        <f>IF(OR($A81=1,$B81=""),"",IF(OR(YEAR($B81-1)=$B$2,YEAR(INDEX($B$5:$B$344,$A81-1)+1)=$B$2),$B81-INDEX($B$5:$B$344,$A81-1)-1,""))</f>
        <v/>
      </c>
      <c r="D81" s="11">
        <f>IF(OR($A81=1,$B81="",$A81+D$3&gt;340),"",IF(INDEX($B$5:$B$344,$A81+D$3)="","",IF(AND(YEAR($B81)=$B$2,YEAR(INDEX($B$5:$B$344,$A81+D$3-1))=$B$2),INDEX($B$5:$B$344,$A81+D$3)-INDEX($B$5:$B$344,$A81-1)-1,"")))</f>
        <v/>
      </c>
      <c r="E81" s="11">
        <f>IF(OR($A81=1,$B81="",$A81+E$3&gt;340),"",IF(INDEX($B$5:$B$344,$A81+E$3)="","",IF(AND(YEAR($B81)=$B$2,YEAR(INDEX($B$5:$B$344,$A81+E$3-1))=$B$2),INDEX($B$5:$B$344,$A81+E$3)-INDEX($B$5:$B$344,$A81-1)-1,"")))</f>
        <v/>
      </c>
      <c r="F81" s="11">
        <f>IF(OR($A81=1,$B81="",$A81+F$3&gt;340),"",IF(INDEX($B$5:$B$344,$A81+F$3)="","",IF(AND(YEAR($B81)=$B$2,YEAR(INDEX($B$5:$B$344,$A81+F$3-1))=$B$2),INDEX($B$5:$B$344,$A81+F$3)-INDEX($B$5:$B$344,$A81-1)-1,"")))</f>
        <v/>
      </c>
      <c r="G81" s="11">
        <f>IF(OR($A81=1,$B81="",$A81+G$3&gt;340),"",IF(INDEX($B$5:$B$344,$A81+G$3)="","",IF(AND(YEAR($B81)=$B$2,YEAR(INDEX($B$5:$B$344,$A81+G$3-1))=$B$2),INDEX($B$5:$B$344,$A81+G$3)-INDEX($B$5:$B$344,$A81-1)-1,"")))</f>
        <v/>
      </c>
      <c r="H81" s="11">
        <f>IF(OR($A81=1,$B81="",$A81+H$3&gt;340),"",IF(INDEX($B$5:$B$344,$A81+H$3)="","",IF(AND(YEAR($B81)=$B$2,YEAR(INDEX($B$5:$B$344,$A81+H$3-1))=$B$2),INDEX($B$5:$B$344,$A81+H$3)-INDEX($B$5:$B$344,$A81-1)-1,"")))</f>
        <v/>
      </c>
      <c r="I81" s="11">
        <f>IF(OR($A81=1,$B81="",$A81+I$3&gt;340),"",IF(INDEX($B$5:$B$344,$A81+I$3)="","",IF(AND(YEAR($B81)=$B$2,YEAR(INDEX($B$5:$B$344,$A81+I$3-1))=$B$2),INDEX($B$5:$B$344,$A81+I$3)-INDEX($B$5:$B$344,$A81-1)-1,"")))</f>
        <v/>
      </c>
      <c r="J81" s="11">
        <f>IF(OR($A81=1,$B81="",$A81+J$3&gt;340),"",IF(INDEX($B$5:$B$344,$A81+J$3)="","",IF(AND(YEAR($B81)=$B$2,YEAR(INDEX($B$5:$B$344,$A81+J$3-1))=$B$2),INDEX($B$5:$B$344,$A81+J$3)-INDEX($B$5:$B$344,$A81-1)-1,"")))</f>
        <v/>
      </c>
      <c r="K81" s="11">
        <f>IF(OR($A81=1,$B81="",$A81+K$3&gt;340),"",IF(INDEX($B$5:$B$344,$A81+K$3)="","",IF(AND(YEAR($B81)=$B$2,YEAR(INDEX($B$5:$B$344,$A81+K$3-1))=$B$2),INDEX($B$5:$B$344,$A81+K$3)-INDEX($B$5:$B$344,$A81-1)-1,"")))</f>
        <v/>
      </c>
      <c r="L81" s="11">
        <f>IF(OR($A81=1,$B81="",$A81+L$3&gt;340),"",IF(INDEX($B$5:$B$344,$A81+L$3)="","",IF(AND(YEAR($B81)=$B$2,YEAR(INDEX($B$5:$B$344,$A81+L$3-1))=$B$2),INDEX($B$5:$B$344,$A81+L$3)-INDEX($B$5:$B$344,$A81-1)-1,"")))</f>
        <v/>
      </c>
      <c r="M81" s="11">
        <f>IF(OR($A81=1,$B81="",$A81+M$3&gt;340),"",IF(INDEX($B$5:$B$344,$A81+M$3)="","",IF(AND(YEAR($B81)=$B$2,YEAR(INDEX($B$5:$B$344,$A81+M$3-1))=$B$2),INDEX($B$5:$B$344,$A81+M$3)-INDEX($B$5:$B$344,$A81-1)-1,"")))</f>
        <v/>
      </c>
    </row>
    <row r="82">
      <c r="A82" s="11" t="n">
        <v>78</v>
      </c>
      <c r="B82" s="10">
        <f>IFERROR(INDEX('2_暦'!$A$7:$A$433,MATCH(A82,'2_暦'!$K$7:$K$433,0)),"")</f>
        <v/>
      </c>
      <c r="C82" s="11">
        <f>IF(OR($A82=1,$B82=""),"",IF(OR(YEAR($B82-1)=$B$2,YEAR(INDEX($B$5:$B$344,$A82-1)+1)=$B$2),$B82-INDEX($B$5:$B$344,$A82-1)-1,""))</f>
        <v/>
      </c>
      <c r="D82" s="11">
        <f>IF(OR($A82=1,$B82="",$A82+D$3&gt;340),"",IF(INDEX($B$5:$B$344,$A82+D$3)="","",IF(AND(YEAR($B82)=$B$2,YEAR(INDEX($B$5:$B$344,$A82+D$3-1))=$B$2),INDEX($B$5:$B$344,$A82+D$3)-INDEX($B$5:$B$344,$A82-1)-1,"")))</f>
        <v/>
      </c>
      <c r="E82" s="11">
        <f>IF(OR($A82=1,$B82="",$A82+E$3&gt;340),"",IF(INDEX($B$5:$B$344,$A82+E$3)="","",IF(AND(YEAR($B82)=$B$2,YEAR(INDEX($B$5:$B$344,$A82+E$3-1))=$B$2),INDEX($B$5:$B$344,$A82+E$3)-INDEX($B$5:$B$344,$A82-1)-1,"")))</f>
        <v/>
      </c>
      <c r="F82" s="11">
        <f>IF(OR($A82=1,$B82="",$A82+F$3&gt;340),"",IF(INDEX($B$5:$B$344,$A82+F$3)="","",IF(AND(YEAR($B82)=$B$2,YEAR(INDEX($B$5:$B$344,$A82+F$3-1))=$B$2),INDEX($B$5:$B$344,$A82+F$3)-INDEX($B$5:$B$344,$A82-1)-1,"")))</f>
        <v/>
      </c>
      <c r="G82" s="11">
        <f>IF(OR($A82=1,$B82="",$A82+G$3&gt;340),"",IF(INDEX($B$5:$B$344,$A82+G$3)="","",IF(AND(YEAR($B82)=$B$2,YEAR(INDEX($B$5:$B$344,$A82+G$3-1))=$B$2),INDEX($B$5:$B$344,$A82+G$3)-INDEX($B$5:$B$344,$A82-1)-1,"")))</f>
        <v/>
      </c>
      <c r="H82" s="11">
        <f>IF(OR($A82=1,$B82="",$A82+H$3&gt;340),"",IF(INDEX($B$5:$B$344,$A82+H$3)="","",IF(AND(YEAR($B82)=$B$2,YEAR(INDEX($B$5:$B$344,$A82+H$3-1))=$B$2),INDEX($B$5:$B$344,$A82+H$3)-INDEX($B$5:$B$344,$A82-1)-1,"")))</f>
        <v/>
      </c>
      <c r="I82" s="11">
        <f>IF(OR($A82=1,$B82="",$A82+I$3&gt;340),"",IF(INDEX($B$5:$B$344,$A82+I$3)="","",IF(AND(YEAR($B82)=$B$2,YEAR(INDEX($B$5:$B$344,$A82+I$3-1))=$B$2),INDEX($B$5:$B$344,$A82+I$3)-INDEX($B$5:$B$344,$A82-1)-1,"")))</f>
        <v/>
      </c>
      <c r="J82" s="11">
        <f>IF(OR($A82=1,$B82="",$A82+J$3&gt;340),"",IF(INDEX($B$5:$B$344,$A82+J$3)="","",IF(AND(YEAR($B82)=$B$2,YEAR(INDEX($B$5:$B$344,$A82+J$3-1))=$B$2),INDEX($B$5:$B$344,$A82+J$3)-INDEX($B$5:$B$344,$A82-1)-1,"")))</f>
        <v/>
      </c>
      <c r="K82" s="11">
        <f>IF(OR($A82=1,$B82="",$A82+K$3&gt;340),"",IF(INDEX($B$5:$B$344,$A82+K$3)="","",IF(AND(YEAR($B82)=$B$2,YEAR(INDEX($B$5:$B$344,$A82+K$3-1))=$B$2),INDEX($B$5:$B$344,$A82+K$3)-INDEX($B$5:$B$344,$A82-1)-1,"")))</f>
        <v/>
      </c>
      <c r="L82" s="11">
        <f>IF(OR($A82=1,$B82="",$A82+L$3&gt;340),"",IF(INDEX($B$5:$B$344,$A82+L$3)="","",IF(AND(YEAR($B82)=$B$2,YEAR(INDEX($B$5:$B$344,$A82+L$3-1))=$B$2),INDEX($B$5:$B$344,$A82+L$3)-INDEX($B$5:$B$344,$A82-1)-1,"")))</f>
        <v/>
      </c>
      <c r="M82" s="11">
        <f>IF(OR($A82=1,$B82="",$A82+M$3&gt;340),"",IF(INDEX($B$5:$B$344,$A82+M$3)="","",IF(AND(YEAR($B82)=$B$2,YEAR(INDEX($B$5:$B$344,$A82+M$3-1))=$B$2),INDEX($B$5:$B$344,$A82+M$3)-INDEX($B$5:$B$344,$A82-1)-1,"")))</f>
        <v/>
      </c>
    </row>
    <row r="83">
      <c r="A83" s="11" t="n">
        <v>79</v>
      </c>
      <c r="B83" s="10">
        <f>IFERROR(INDEX('2_暦'!$A$7:$A$433,MATCH(A83,'2_暦'!$K$7:$K$433,0)),"")</f>
        <v/>
      </c>
      <c r="C83" s="11">
        <f>IF(OR($A83=1,$B83=""),"",IF(OR(YEAR($B83-1)=$B$2,YEAR(INDEX($B$5:$B$344,$A83-1)+1)=$B$2),$B83-INDEX($B$5:$B$344,$A83-1)-1,""))</f>
        <v/>
      </c>
      <c r="D83" s="11">
        <f>IF(OR($A83=1,$B83="",$A83+D$3&gt;340),"",IF(INDEX($B$5:$B$344,$A83+D$3)="","",IF(AND(YEAR($B83)=$B$2,YEAR(INDEX($B$5:$B$344,$A83+D$3-1))=$B$2),INDEX($B$5:$B$344,$A83+D$3)-INDEX($B$5:$B$344,$A83-1)-1,"")))</f>
        <v/>
      </c>
      <c r="E83" s="11">
        <f>IF(OR($A83=1,$B83="",$A83+E$3&gt;340),"",IF(INDEX($B$5:$B$344,$A83+E$3)="","",IF(AND(YEAR($B83)=$B$2,YEAR(INDEX($B$5:$B$344,$A83+E$3-1))=$B$2),INDEX($B$5:$B$344,$A83+E$3)-INDEX($B$5:$B$344,$A83-1)-1,"")))</f>
        <v/>
      </c>
      <c r="F83" s="11">
        <f>IF(OR($A83=1,$B83="",$A83+F$3&gt;340),"",IF(INDEX($B$5:$B$344,$A83+F$3)="","",IF(AND(YEAR($B83)=$B$2,YEAR(INDEX($B$5:$B$344,$A83+F$3-1))=$B$2),INDEX($B$5:$B$344,$A83+F$3)-INDEX($B$5:$B$344,$A83-1)-1,"")))</f>
        <v/>
      </c>
      <c r="G83" s="11">
        <f>IF(OR($A83=1,$B83="",$A83+G$3&gt;340),"",IF(INDEX($B$5:$B$344,$A83+G$3)="","",IF(AND(YEAR($B83)=$B$2,YEAR(INDEX($B$5:$B$344,$A83+G$3-1))=$B$2),INDEX($B$5:$B$344,$A83+G$3)-INDEX($B$5:$B$344,$A83-1)-1,"")))</f>
        <v/>
      </c>
      <c r="H83" s="11">
        <f>IF(OR($A83=1,$B83="",$A83+H$3&gt;340),"",IF(INDEX($B$5:$B$344,$A83+H$3)="","",IF(AND(YEAR($B83)=$B$2,YEAR(INDEX($B$5:$B$344,$A83+H$3-1))=$B$2),INDEX($B$5:$B$344,$A83+H$3)-INDEX($B$5:$B$344,$A83-1)-1,"")))</f>
        <v/>
      </c>
      <c r="I83" s="11">
        <f>IF(OR($A83=1,$B83="",$A83+I$3&gt;340),"",IF(INDEX($B$5:$B$344,$A83+I$3)="","",IF(AND(YEAR($B83)=$B$2,YEAR(INDEX($B$5:$B$344,$A83+I$3-1))=$B$2),INDEX($B$5:$B$344,$A83+I$3)-INDEX($B$5:$B$344,$A83-1)-1,"")))</f>
        <v/>
      </c>
      <c r="J83" s="11">
        <f>IF(OR($A83=1,$B83="",$A83+J$3&gt;340),"",IF(INDEX($B$5:$B$344,$A83+J$3)="","",IF(AND(YEAR($B83)=$B$2,YEAR(INDEX($B$5:$B$344,$A83+J$3-1))=$B$2),INDEX($B$5:$B$344,$A83+J$3)-INDEX($B$5:$B$344,$A83-1)-1,"")))</f>
        <v/>
      </c>
      <c r="K83" s="11">
        <f>IF(OR($A83=1,$B83="",$A83+K$3&gt;340),"",IF(INDEX($B$5:$B$344,$A83+K$3)="","",IF(AND(YEAR($B83)=$B$2,YEAR(INDEX($B$5:$B$344,$A83+K$3-1))=$B$2),INDEX($B$5:$B$344,$A83+K$3)-INDEX($B$5:$B$344,$A83-1)-1,"")))</f>
        <v/>
      </c>
      <c r="L83" s="11">
        <f>IF(OR($A83=1,$B83="",$A83+L$3&gt;340),"",IF(INDEX($B$5:$B$344,$A83+L$3)="","",IF(AND(YEAR($B83)=$B$2,YEAR(INDEX($B$5:$B$344,$A83+L$3-1))=$B$2),INDEX($B$5:$B$344,$A83+L$3)-INDEX($B$5:$B$344,$A83-1)-1,"")))</f>
        <v/>
      </c>
      <c r="M83" s="11">
        <f>IF(OR($A83=1,$B83="",$A83+M$3&gt;340),"",IF(INDEX($B$5:$B$344,$A83+M$3)="","",IF(AND(YEAR($B83)=$B$2,YEAR(INDEX($B$5:$B$344,$A83+M$3-1))=$B$2),INDEX($B$5:$B$344,$A83+M$3)-INDEX($B$5:$B$344,$A83-1)-1,"")))</f>
        <v/>
      </c>
    </row>
    <row r="84">
      <c r="A84" s="11" t="n">
        <v>80</v>
      </c>
      <c r="B84" s="10">
        <f>IFERROR(INDEX('2_暦'!$A$7:$A$433,MATCH(A84,'2_暦'!$K$7:$K$433,0)),"")</f>
        <v/>
      </c>
      <c r="C84" s="11">
        <f>IF(OR($A84=1,$B84=""),"",IF(OR(YEAR($B84-1)=$B$2,YEAR(INDEX($B$5:$B$344,$A84-1)+1)=$B$2),$B84-INDEX($B$5:$B$344,$A84-1)-1,""))</f>
        <v/>
      </c>
      <c r="D84" s="11">
        <f>IF(OR($A84=1,$B84="",$A84+D$3&gt;340),"",IF(INDEX($B$5:$B$344,$A84+D$3)="","",IF(AND(YEAR($B84)=$B$2,YEAR(INDEX($B$5:$B$344,$A84+D$3-1))=$B$2),INDEX($B$5:$B$344,$A84+D$3)-INDEX($B$5:$B$344,$A84-1)-1,"")))</f>
        <v/>
      </c>
      <c r="E84" s="11">
        <f>IF(OR($A84=1,$B84="",$A84+E$3&gt;340),"",IF(INDEX($B$5:$B$344,$A84+E$3)="","",IF(AND(YEAR($B84)=$B$2,YEAR(INDEX($B$5:$B$344,$A84+E$3-1))=$B$2),INDEX($B$5:$B$344,$A84+E$3)-INDEX($B$5:$B$344,$A84-1)-1,"")))</f>
        <v/>
      </c>
      <c r="F84" s="11">
        <f>IF(OR($A84=1,$B84="",$A84+F$3&gt;340),"",IF(INDEX($B$5:$B$344,$A84+F$3)="","",IF(AND(YEAR($B84)=$B$2,YEAR(INDEX($B$5:$B$344,$A84+F$3-1))=$B$2),INDEX($B$5:$B$344,$A84+F$3)-INDEX($B$5:$B$344,$A84-1)-1,"")))</f>
        <v/>
      </c>
      <c r="G84" s="11">
        <f>IF(OR($A84=1,$B84="",$A84+G$3&gt;340),"",IF(INDEX($B$5:$B$344,$A84+G$3)="","",IF(AND(YEAR($B84)=$B$2,YEAR(INDEX($B$5:$B$344,$A84+G$3-1))=$B$2),INDEX($B$5:$B$344,$A84+G$3)-INDEX($B$5:$B$344,$A84-1)-1,"")))</f>
        <v/>
      </c>
      <c r="H84" s="11">
        <f>IF(OR($A84=1,$B84="",$A84+H$3&gt;340),"",IF(INDEX($B$5:$B$344,$A84+H$3)="","",IF(AND(YEAR($B84)=$B$2,YEAR(INDEX($B$5:$B$344,$A84+H$3-1))=$B$2),INDEX($B$5:$B$344,$A84+H$3)-INDEX($B$5:$B$344,$A84-1)-1,"")))</f>
        <v/>
      </c>
      <c r="I84" s="11">
        <f>IF(OR($A84=1,$B84="",$A84+I$3&gt;340),"",IF(INDEX($B$5:$B$344,$A84+I$3)="","",IF(AND(YEAR($B84)=$B$2,YEAR(INDEX($B$5:$B$344,$A84+I$3-1))=$B$2),INDEX($B$5:$B$344,$A84+I$3)-INDEX($B$5:$B$344,$A84-1)-1,"")))</f>
        <v/>
      </c>
      <c r="J84" s="11">
        <f>IF(OR($A84=1,$B84="",$A84+J$3&gt;340),"",IF(INDEX($B$5:$B$344,$A84+J$3)="","",IF(AND(YEAR($B84)=$B$2,YEAR(INDEX($B$5:$B$344,$A84+J$3-1))=$B$2),INDEX($B$5:$B$344,$A84+J$3)-INDEX($B$5:$B$344,$A84-1)-1,"")))</f>
        <v/>
      </c>
      <c r="K84" s="11">
        <f>IF(OR($A84=1,$B84="",$A84+K$3&gt;340),"",IF(INDEX($B$5:$B$344,$A84+K$3)="","",IF(AND(YEAR($B84)=$B$2,YEAR(INDEX($B$5:$B$344,$A84+K$3-1))=$B$2),INDEX($B$5:$B$344,$A84+K$3)-INDEX($B$5:$B$344,$A84-1)-1,"")))</f>
        <v/>
      </c>
      <c r="L84" s="11">
        <f>IF(OR($A84=1,$B84="",$A84+L$3&gt;340),"",IF(INDEX($B$5:$B$344,$A84+L$3)="","",IF(AND(YEAR($B84)=$B$2,YEAR(INDEX($B$5:$B$344,$A84+L$3-1))=$B$2),INDEX($B$5:$B$344,$A84+L$3)-INDEX($B$5:$B$344,$A84-1)-1,"")))</f>
        <v/>
      </c>
      <c r="M84" s="11">
        <f>IF(OR($A84=1,$B84="",$A84+M$3&gt;340),"",IF(INDEX($B$5:$B$344,$A84+M$3)="","",IF(AND(YEAR($B84)=$B$2,YEAR(INDEX($B$5:$B$344,$A84+M$3-1))=$B$2),INDEX($B$5:$B$344,$A84+M$3)-INDEX($B$5:$B$344,$A84-1)-1,"")))</f>
        <v/>
      </c>
    </row>
    <row r="85">
      <c r="A85" s="11" t="n">
        <v>81</v>
      </c>
      <c r="B85" s="10">
        <f>IFERROR(INDEX('2_暦'!$A$7:$A$433,MATCH(A85,'2_暦'!$K$7:$K$433,0)),"")</f>
        <v/>
      </c>
      <c r="C85" s="11">
        <f>IF(OR($A85=1,$B85=""),"",IF(OR(YEAR($B85-1)=$B$2,YEAR(INDEX($B$5:$B$344,$A85-1)+1)=$B$2),$B85-INDEX($B$5:$B$344,$A85-1)-1,""))</f>
        <v/>
      </c>
      <c r="D85" s="11">
        <f>IF(OR($A85=1,$B85="",$A85+D$3&gt;340),"",IF(INDEX($B$5:$B$344,$A85+D$3)="","",IF(AND(YEAR($B85)=$B$2,YEAR(INDEX($B$5:$B$344,$A85+D$3-1))=$B$2),INDEX($B$5:$B$344,$A85+D$3)-INDEX($B$5:$B$344,$A85-1)-1,"")))</f>
        <v/>
      </c>
      <c r="E85" s="11">
        <f>IF(OR($A85=1,$B85="",$A85+E$3&gt;340),"",IF(INDEX($B$5:$B$344,$A85+E$3)="","",IF(AND(YEAR($B85)=$B$2,YEAR(INDEX($B$5:$B$344,$A85+E$3-1))=$B$2),INDEX($B$5:$B$344,$A85+E$3)-INDEX($B$5:$B$344,$A85-1)-1,"")))</f>
        <v/>
      </c>
      <c r="F85" s="11">
        <f>IF(OR($A85=1,$B85="",$A85+F$3&gt;340),"",IF(INDEX($B$5:$B$344,$A85+F$3)="","",IF(AND(YEAR($B85)=$B$2,YEAR(INDEX($B$5:$B$344,$A85+F$3-1))=$B$2),INDEX($B$5:$B$344,$A85+F$3)-INDEX($B$5:$B$344,$A85-1)-1,"")))</f>
        <v/>
      </c>
      <c r="G85" s="11">
        <f>IF(OR($A85=1,$B85="",$A85+G$3&gt;340),"",IF(INDEX($B$5:$B$344,$A85+G$3)="","",IF(AND(YEAR($B85)=$B$2,YEAR(INDEX($B$5:$B$344,$A85+G$3-1))=$B$2),INDEX($B$5:$B$344,$A85+G$3)-INDEX($B$5:$B$344,$A85-1)-1,"")))</f>
        <v/>
      </c>
      <c r="H85" s="11">
        <f>IF(OR($A85=1,$B85="",$A85+H$3&gt;340),"",IF(INDEX($B$5:$B$344,$A85+H$3)="","",IF(AND(YEAR($B85)=$B$2,YEAR(INDEX($B$5:$B$344,$A85+H$3-1))=$B$2),INDEX($B$5:$B$344,$A85+H$3)-INDEX($B$5:$B$344,$A85-1)-1,"")))</f>
        <v/>
      </c>
      <c r="I85" s="11">
        <f>IF(OR($A85=1,$B85="",$A85+I$3&gt;340),"",IF(INDEX($B$5:$B$344,$A85+I$3)="","",IF(AND(YEAR($B85)=$B$2,YEAR(INDEX($B$5:$B$344,$A85+I$3-1))=$B$2),INDEX($B$5:$B$344,$A85+I$3)-INDEX($B$5:$B$344,$A85-1)-1,"")))</f>
        <v/>
      </c>
      <c r="J85" s="11">
        <f>IF(OR($A85=1,$B85="",$A85+J$3&gt;340),"",IF(INDEX($B$5:$B$344,$A85+J$3)="","",IF(AND(YEAR($B85)=$B$2,YEAR(INDEX($B$5:$B$344,$A85+J$3-1))=$B$2),INDEX($B$5:$B$344,$A85+J$3)-INDEX($B$5:$B$344,$A85-1)-1,"")))</f>
        <v/>
      </c>
      <c r="K85" s="11">
        <f>IF(OR($A85=1,$B85="",$A85+K$3&gt;340),"",IF(INDEX($B$5:$B$344,$A85+K$3)="","",IF(AND(YEAR($B85)=$B$2,YEAR(INDEX($B$5:$B$344,$A85+K$3-1))=$B$2),INDEX($B$5:$B$344,$A85+K$3)-INDEX($B$5:$B$344,$A85-1)-1,"")))</f>
        <v/>
      </c>
      <c r="L85" s="11">
        <f>IF(OR($A85=1,$B85="",$A85+L$3&gt;340),"",IF(INDEX($B$5:$B$344,$A85+L$3)="","",IF(AND(YEAR($B85)=$B$2,YEAR(INDEX($B$5:$B$344,$A85+L$3-1))=$B$2),INDEX($B$5:$B$344,$A85+L$3)-INDEX($B$5:$B$344,$A85-1)-1,"")))</f>
        <v/>
      </c>
      <c r="M85" s="11">
        <f>IF(OR($A85=1,$B85="",$A85+M$3&gt;340),"",IF(INDEX($B$5:$B$344,$A85+M$3)="","",IF(AND(YEAR($B85)=$B$2,YEAR(INDEX($B$5:$B$344,$A85+M$3-1))=$B$2),INDEX($B$5:$B$344,$A85+M$3)-INDEX($B$5:$B$344,$A85-1)-1,"")))</f>
        <v/>
      </c>
    </row>
    <row r="86">
      <c r="A86" s="11" t="n">
        <v>82</v>
      </c>
      <c r="B86" s="10">
        <f>IFERROR(INDEX('2_暦'!$A$7:$A$433,MATCH(A86,'2_暦'!$K$7:$K$433,0)),"")</f>
        <v/>
      </c>
      <c r="C86" s="11">
        <f>IF(OR($A86=1,$B86=""),"",IF(OR(YEAR($B86-1)=$B$2,YEAR(INDEX($B$5:$B$344,$A86-1)+1)=$B$2),$B86-INDEX($B$5:$B$344,$A86-1)-1,""))</f>
        <v/>
      </c>
      <c r="D86" s="11">
        <f>IF(OR($A86=1,$B86="",$A86+D$3&gt;340),"",IF(INDEX($B$5:$B$344,$A86+D$3)="","",IF(AND(YEAR($B86)=$B$2,YEAR(INDEX($B$5:$B$344,$A86+D$3-1))=$B$2),INDEX($B$5:$B$344,$A86+D$3)-INDEX($B$5:$B$344,$A86-1)-1,"")))</f>
        <v/>
      </c>
      <c r="E86" s="11">
        <f>IF(OR($A86=1,$B86="",$A86+E$3&gt;340),"",IF(INDEX($B$5:$B$344,$A86+E$3)="","",IF(AND(YEAR($B86)=$B$2,YEAR(INDEX($B$5:$B$344,$A86+E$3-1))=$B$2),INDEX($B$5:$B$344,$A86+E$3)-INDEX($B$5:$B$344,$A86-1)-1,"")))</f>
        <v/>
      </c>
      <c r="F86" s="11">
        <f>IF(OR($A86=1,$B86="",$A86+F$3&gt;340),"",IF(INDEX($B$5:$B$344,$A86+F$3)="","",IF(AND(YEAR($B86)=$B$2,YEAR(INDEX($B$5:$B$344,$A86+F$3-1))=$B$2),INDEX($B$5:$B$344,$A86+F$3)-INDEX($B$5:$B$344,$A86-1)-1,"")))</f>
        <v/>
      </c>
      <c r="G86" s="11">
        <f>IF(OR($A86=1,$B86="",$A86+G$3&gt;340),"",IF(INDEX($B$5:$B$344,$A86+G$3)="","",IF(AND(YEAR($B86)=$B$2,YEAR(INDEX($B$5:$B$344,$A86+G$3-1))=$B$2),INDEX($B$5:$B$344,$A86+G$3)-INDEX($B$5:$B$344,$A86-1)-1,"")))</f>
        <v/>
      </c>
      <c r="H86" s="11">
        <f>IF(OR($A86=1,$B86="",$A86+H$3&gt;340),"",IF(INDEX($B$5:$B$344,$A86+H$3)="","",IF(AND(YEAR($B86)=$B$2,YEAR(INDEX($B$5:$B$344,$A86+H$3-1))=$B$2),INDEX($B$5:$B$344,$A86+H$3)-INDEX($B$5:$B$344,$A86-1)-1,"")))</f>
        <v/>
      </c>
      <c r="I86" s="11">
        <f>IF(OR($A86=1,$B86="",$A86+I$3&gt;340),"",IF(INDEX($B$5:$B$344,$A86+I$3)="","",IF(AND(YEAR($B86)=$B$2,YEAR(INDEX($B$5:$B$344,$A86+I$3-1))=$B$2),INDEX($B$5:$B$344,$A86+I$3)-INDEX($B$5:$B$344,$A86-1)-1,"")))</f>
        <v/>
      </c>
      <c r="J86" s="11">
        <f>IF(OR($A86=1,$B86="",$A86+J$3&gt;340),"",IF(INDEX($B$5:$B$344,$A86+J$3)="","",IF(AND(YEAR($B86)=$B$2,YEAR(INDEX($B$5:$B$344,$A86+J$3-1))=$B$2),INDEX($B$5:$B$344,$A86+J$3)-INDEX($B$5:$B$344,$A86-1)-1,"")))</f>
        <v/>
      </c>
      <c r="K86" s="11">
        <f>IF(OR($A86=1,$B86="",$A86+K$3&gt;340),"",IF(INDEX($B$5:$B$344,$A86+K$3)="","",IF(AND(YEAR($B86)=$B$2,YEAR(INDEX($B$5:$B$344,$A86+K$3-1))=$B$2),INDEX($B$5:$B$344,$A86+K$3)-INDEX($B$5:$B$344,$A86-1)-1,"")))</f>
        <v/>
      </c>
      <c r="L86" s="11">
        <f>IF(OR($A86=1,$B86="",$A86+L$3&gt;340),"",IF(INDEX($B$5:$B$344,$A86+L$3)="","",IF(AND(YEAR($B86)=$B$2,YEAR(INDEX($B$5:$B$344,$A86+L$3-1))=$B$2),INDEX($B$5:$B$344,$A86+L$3)-INDEX($B$5:$B$344,$A86-1)-1,"")))</f>
        <v/>
      </c>
      <c r="M86" s="11">
        <f>IF(OR($A86=1,$B86="",$A86+M$3&gt;340),"",IF(INDEX($B$5:$B$344,$A86+M$3)="","",IF(AND(YEAR($B86)=$B$2,YEAR(INDEX($B$5:$B$344,$A86+M$3-1))=$B$2),INDEX($B$5:$B$344,$A86+M$3)-INDEX($B$5:$B$344,$A86-1)-1,"")))</f>
        <v/>
      </c>
    </row>
    <row r="87">
      <c r="A87" s="11" t="n">
        <v>83</v>
      </c>
      <c r="B87" s="10">
        <f>IFERROR(INDEX('2_暦'!$A$7:$A$433,MATCH(A87,'2_暦'!$K$7:$K$433,0)),"")</f>
        <v/>
      </c>
      <c r="C87" s="11">
        <f>IF(OR($A87=1,$B87=""),"",IF(OR(YEAR($B87-1)=$B$2,YEAR(INDEX($B$5:$B$344,$A87-1)+1)=$B$2),$B87-INDEX($B$5:$B$344,$A87-1)-1,""))</f>
        <v/>
      </c>
      <c r="D87" s="11">
        <f>IF(OR($A87=1,$B87="",$A87+D$3&gt;340),"",IF(INDEX($B$5:$B$344,$A87+D$3)="","",IF(AND(YEAR($B87)=$B$2,YEAR(INDEX($B$5:$B$344,$A87+D$3-1))=$B$2),INDEX($B$5:$B$344,$A87+D$3)-INDEX($B$5:$B$344,$A87-1)-1,"")))</f>
        <v/>
      </c>
      <c r="E87" s="11">
        <f>IF(OR($A87=1,$B87="",$A87+E$3&gt;340),"",IF(INDEX($B$5:$B$344,$A87+E$3)="","",IF(AND(YEAR($B87)=$B$2,YEAR(INDEX($B$5:$B$344,$A87+E$3-1))=$B$2),INDEX($B$5:$B$344,$A87+E$3)-INDEX($B$5:$B$344,$A87-1)-1,"")))</f>
        <v/>
      </c>
      <c r="F87" s="11">
        <f>IF(OR($A87=1,$B87="",$A87+F$3&gt;340),"",IF(INDEX($B$5:$B$344,$A87+F$3)="","",IF(AND(YEAR($B87)=$B$2,YEAR(INDEX($B$5:$B$344,$A87+F$3-1))=$B$2),INDEX($B$5:$B$344,$A87+F$3)-INDEX($B$5:$B$344,$A87-1)-1,"")))</f>
        <v/>
      </c>
      <c r="G87" s="11">
        <f>IF(OR($A87=1,$B87="",$A87+G$3&gt;340),"",IF(INDEX($B$5:$B$344,$A87+G$3)="","",IF(AND(YEAR($B87)=$B$2,YEAR(INDEX($B$5:$B$344,$A87+G$3-1))=$B$2),INDEX($B$5:$B$344,$A87+G$3)-INDEX($B$5:$B$344,$A87-1)-1,"")))</f>
        <v/>
      </c>
      <c r="H87" s="11">
        <f>IF(OR($A87=1,$B87="",$A87+H$3&gt;340),"",IF(INDEX($B$5:$B$344,$A87+H$3)="","",IF(AND(YEAR($B87)=$B$2,YEAR(INDEX($B$5:$B$344,$A87+H$3-1))=$B$2),INDEX($B$5:$B$344,$A87+H$3)-INDEX($B$5:$B$344,$A87-1)-1,"")))</f>
        <v/>
      </c>
      <c r="I87" s="11">
        <f>IF(OR($A87=1,$B87="",$A87+I$3&gt;340),"",IF(INDEX($B$5:$B$344,$A87+I$3)="","",IF(AND(YEAR($B87)=$B$2,YEAR(INDEX($B$5:$B$344,$A87+I$3-1))=$B$2),INDEX($B$5:$B$344,$A87+I$3)-INDEX($B$5:$B$344,$A87-1)-1,"")))</f>
        <v/>
      </c>
      <c r="J87" s="11">
        <f>IF(OR($A87=1,$B87="",$A87+J$3&gt;340),"",IF(INDEX($B$5:$B$344,$A87+J$3)="","",IF(AND(YEAR($B87)=$B$2,YEAR(INDEX($B$5:$B$344,$A87+J$3-1))=$B$2),INDEX($B$5:$B$344,$A87+J$3)-INDEX($B$5:$B$344,$A87-1)-1,"")))</f>
        <v/>
      </c>
      <c r="K87" s="11">
        <f>IF(OR($A87=1,$B87="",$A87+K$3&gt;340),"",IF(INDEX($B$5:$B$344,$A87+K$3)="","",IF(AND(YEAR($B87)=$B$2,YEAR(INDEX($B$5:$B$344,$A87+K$3-1))=$B$2),INDEX($B$5:$B$344,$A87+K$3)-INDEX($B$5:$B$344,$A87-1)-1,"")))</f>
        <v/>
      </c>
      <c r="L87" s="11">
        <f>IF(OR($A87=1,$B87="",$A87+L$3&gt;340),"",IF(INDEX($B$5:$B$344,$A87+L$3)="","",IF(AND(YEAR($B87)=$B$2,YEAR(INDEX($B$5:$B$344,$A87+L$3-1))=$B$2),INDEX($B$5:$B$344,$A87+L$3)-INDEX($B$5:$B$344,$A87-1)-1,"")))</f>
        <v/>
      </c>
      <c r="M87" s="11">
        <f>IF(OR($A87=1,$B87="",$A87+M$3&gt;340),"",IF(INDEX($B$5:$B$344,$A87+M$3)="","",IF(AND(YEAR($B87)=$B$2,YEAR(INDEX($B$5:$B$344,$A87+M$3-1))=$B$2),INDEX($B$5:$B$344,$A87+M$3)-INDEX($B$5:$B$344,$A87-1)-1,"")))</f>
        <v/>
      </c>
    </row>
    <row r="88">
      <c r="A88" s="11" t="n">
        <v>84</v>
      </c>
      <c r="B88" s="10">
        <f>IFERROR(INDEX('2_暦'!$A$7:$A$433,MATCH(A88,'2_暦'!$K$7:$K$433,0)),"")</f>
        <v/>
      </c>
      <c r="C88" s="11">
        <f>IF(OR($A88=1,$B88=""),"",IF(OR(YEAR($B88-1)=$B$2,YEAR(INDEX($B$5:$B$344,$A88-1)+1)=$B$2),$B88-INDEX($B$5:$B$344,$A88-1)-1,""))</f>
        <v/>
      </c>
      <c r="D88" s="11">
        <f>IF(OR($A88=1,$B88="",$A88+D$3&gt;340),"",IF(INDEX($B$5:$B$344,$A88+D$3)="","",IF(AND(YEAR($B88)=$B$2,YEAR(INDEX($B$5:$B$344,$A88+D$3-1))=$B$2),INDEX($B$5:$B$344,$A88+D$3)-INDEX($B$5:$B$344,$A88-1)-1,"")))</f>
        <v/>
      </c>
      <c r="E88" s="11">
        <f>IF(OR($A88=1,$B88="",$A88+E$3&gt;340),"",IF(INDEX($B$5:$B$344,$A88+E$3)="","",IF(AND(YEAR($B88)=$B$2,YEAR(INDEX($B$5:$B$344,$A88+E$3-1))=$B$2),INDEX($B$5:$B$344,$A88+E$3)-INDEX($B$5:$B$344,$A88-1)-1,"")))</f>
        <v/>
      </c>
      <c r="F88" s="11">
        <f>IF(OR($A88=1,$B88="",$A88+F$3&gt;340),"",IF(INDEX($B$5:$B$344,$A88+F$3)="","",IF(AND(YEAR($B88)=$B$2,YEAR(INDEX($B$5:$B$344,$A88+F$3-1))=$B$2),INDEX($B$5:$B$344,$A88+F$3)-INDEX($B$5:$B$344,$A88-1)-1,"")))</f>
        <v/>
      </c>
      <c r="G88" s="11">
        <f>IF(OR($A88=1,$B88="",$A88+G$3&gt;340),"",IF(INDEX($B$5:$B$344,$A88+G$3)="","",IF(AND(YEAR($B88)=$B$2,YEAR(INDEX($B$5:$B$344,$A88+G$3-1))=$B$2),INDEX($B$5:$B$344,$A88+G$3)-INDEX($B$5:$B$344,$A88-1)-1,"")))</f>
        <v/>
      </c>
      <c r="H88" s="11">
        <f>IF(OR($A88=1,$B88="",$A88+H$3&gt;340),"",IF(INDEX($B$5:$B$344,$A88+H$3)="","",IF(AND(YEAR($B88)=$B$2,YEAR(INDEX($B$5:$B$344,$A88+H$3-1))=$B$2),INDEX($B$5:$B$344,$A88+H$3)-INDEX($B$5:$B$344,$A88-1)-1,"")))</f>
        <v/>
      </c>
      <c r="I88" s="11">
        <f>IF(OR($A88=1,$B88="",$A88+I$3&gt;340),"",IF(INDEX($B$5:$B$344,$A88+I$3)="","",IF(AND(YEAR($B88)=$B$2,YEAR(INDEX($B$5:$B$344,$A88+I$3-1))=$B$2),INDEX($B$5:$B$344,$A88+I$3)-INDEX($B$5:$B$344,$A88-1)-1,"")))</f>
        <v/>
      </c>
      <c r="J88" s="11">
        <f>IF(OR($A88=1,$B88="",$A88+J$3&gt;340),"",IF(INDEX($B$5:$B$344,$A88+J$3)="","",IF(AND(YEAR($B88)=$B$2,YEAR(INDEX($B$5:$B$344,$A88+J$3-1))=$B$2),INDEX($B$5:$B$344,$A88+J$3)-INDEX($B$5:$B$344,$A88-1)-1,"")))</f>
        <v/>
      </c>
      <c r="K88" s="11">
        <f>IF(OR($A88=1,$B88="",$A88+K$3&gt;340),"",IF(INDEX($B$5:$B$344,$A88+K$3)="","",IF(AND(YEAR($B88)=$B$2,YEAR(INDEX($B$5:$B$344,$A88+K$3-1))=$B$2),INDEX($B$5:$B$344,$A88+K$3)-INDEX($B$5:$B$344,$A88-1)-1,"")))</f>
        <v/>
      </c>
      <c r="L88" s="11">
        <f>IF(OR($A88=1,$B88="",$A88+L$3&gt;340),"",IF(INDEX($B$5:$B$344,$A88+L$3)="","",IF(AND(YEAR($B88)=$B$2,YEAR(INDEX($B$5:$B$344,$A88+L$3-1))=$B$2),INDEX($B$5:$B$344,$A88+L$3)-INDEX($B$5:$B$344,$A88-1)-1,"")))</f>
        <v/>
      </c>
      <c r="M88" s="11">
        <f>IF(OR($A88=1,$B88="",$A88+M$3&gt;340),"",IF(INDEX($B$5:$B$344,$A88+M$3)="","",IF(AND(YEAR($B88)=$B$2,YEAR(INDEX($B$5:$B$344,$A88+M$3-1))=$B$2),INDEX($B$5:$B$344,$A88+M$3)-INDEX($B$5:$B$344,$A88-1)-1,"")))</f>
        <v/>
      </c>
    </row>
    <row r="89">
      <c r="A89" s="11" t="n">
        <v>85</v>
      </c>
      <c r="B89" s="10">
        <f>IFERROR(INDEX('2_暦'!$A$7:$A$433,MATCH(A89,'2_暦'!$K$7:$K$433,0)),"")</f>
        <v/>
      </c>
      <c r="C89" s="11">
        <f>IF(OR($A89=1,$B89=""),"",IF(OR(YEAR($B89-1)=$B$2,YEAR(INDEX($B$5:$B$344,$A89-1)+1)=$B$2),$B89-INDEX($B$5:$B$344,$A89-1)-1,""))</f>
        <v/>
      </c>
      <c r="D89" s="11">
        <f>IF(OR($A89=1,$B89="",$A89+D$3&gt;340),"",IF(INDEX($B$5:$B$344,$A89+D$3)="","",IF(AND(YEAR($B89)=$B$2,YEAR(INDEX($B$5:$B$344,$A89+D$3-1))=$B$2),INDEX($B$5:$B$344,$A89+D$3)-INDEX($B$5:$B$344,$A89-1)-1,"")))</f>
        <v/>
      </c>
      <c r="E89" s="11">
        <f>IF(OR($A89=1,$B89="",$A89+E$3&gt;340),"",IF(INDEX($B$5:$B$344,$A89+E$3)="","",IF(AND(YEAR($B89)=$B$2,YEAR(INDEX($B$5:$B$344,$A89+E$3-1))=$B$2),INDEX($B$5:$B$344,$A89+E$3)-INDEX($B$5:$B$344,$A89-1)-1,"")))</f>
        <v/>
      </c>
      <c r="F89" s="11">
        <f>IF(OR($A89=1,$B89="",$A89+F$3&gt;340),"",IF(INDEX($B$5:$B$344,$A89+F$3)="","",IF(AND(YEAR($B89)=$B$2,YEAR(INDEX($B$5:$B$344,$A89+F$3-1))=$B$2),INDEX($B$5:$B$344,$A89+F$3)-INDEX($B$5:$B$344,$A89-1)-1,"")))</f>
        <v/>
      </c>
      <c r="G89" s="11">
        <f>IF(OR($A89=1,$B89="",$A89+G$3&gt;340),"",IF(INDEX($B$5:$B$344,$A89+G$3)="","",IF(AND(YEAR($B89)=$B$2,YEAR(INDEX($B$5:$B$344,$A89+G$3-1))=$B$2),INDEX($B$5:$B$344,$A89+G$3)-INDEX($B$5:$B$344,$A89-1)-1,"")))</f>
        <v/>
      </c>
      <c r="H89" s="11">
        <f>IF(OR($A89=1,$B89="",$A89+H$3&gt;340),"",IF(INDEX($B$5:$B$344,$A89+H$3)="","",IF(AND(YEAR($B89)=$B$2,YEAR(INDEX($B$5:$B$344,$A89+H$3-1))=$B$2),INDEX($B$5:$B$344,$A89+H$3)-INDEX($B$5:$B$344,$A89-1)-1,"")))</f>
        <v/>
      </c>
      <c r="I89" s="11">
        <f>IF(OR($A89=1,$B89="",$A89+I$3&gt;340),"",IF(INDEX($B$5:$B$344,$A89+I$3)="","",IF(AND(YEAR($B89)=$B$2,YEAR(INDEX($B$5:$B$344,$A89+I$3-1))=$B$2),INDEX($B$5:$B$344,$A89+I$3)-INDEX($B$5:$B$344,$A89-1)-1,"")))</f>
        <v/>
      </c>
      <c r="J89" s="11">
        <f>IF(OR($A89=1,$B89="",$A89+J$3&gt;340),"",IF(INDEX($B$5:$B$344,$A89+J$3)="","",IF(AND(YEAR($B89)=$B$2,YEAR(INDEX($B$5:$B$344,$A89+J$3-1))=$B$2),INDEX($B$5:$B$344,$A89+J$3)-INDEX($B$5:$B$344,$A89-1)-1,"")))</f>
        <v/>
      </c>
      <c r="K89" s="11">
        <f>IF(OR($A89=1,$B89="",$A89+K$3&gt;340),"",IF(INDEX($B$5:$B$344,$A89+K$3)="","",IF(AND(YEAR($B89)=$B$2,YEAR(INDEX($B$5:$B$344,$A89+K$3-1))=$B$2),INDEX($B$5:$B$344,$A89+K$3)-INDEX($B$5:$B$344,$A89-1)-1,"")))</f>
        <v/>
      </c>
      <c r="L89" s="11">
        <f>IF(OR($A89=1,$B89="",$A89+L$3&gt;340),"",IF(INDEX($B$5:$B$344,$A89+L$3)="","",IF(AND(YEAR($B89)=$B$2,YEAR(INDEX($B$5:$B$344,$A89+L$3-1))=$B$2),INDEX($B$5:$B$344,$A89+L$3)-INDEX($B$5:$B$344,$A89-1)-1,"")))</f>
        <v/>
      </c>
      <c r="M89" s="11">
        <f>IF(OR($A89=1,$B89="",$A89+M$3&gt;340),"",IF(INDEX($B$5:$B$344,$A89+M$3)="","",IF(AND(YEAR($B89)=$B$2,YEAR(INDEX($B$5:$B$344,$A89+M$3-1))=$B$2),INDEX($B$5:$B$344,$A89+M$3)-INDEX($B$5:$B$344,$A89-1)-1,"")))</f>
        <v/>
      </c>
    </row>
    <row r="90">
      <c r="A90" s="11" t="n">
        <v>86</v>
      </c>
      <c r="B90" s="10">
        <f>IFERROR(INDEX('2_暦'!$A$7:$A$433,MATCH(A90,'2_暦'!$K$7:$K$433,0)),"")</f>
        <v/>
      </c>
      <c r="C90" s="11">
        <f>IF(OR($A90=1,$B90=""),"",IF(OR(YEAR($B90-1)=$B$2,YEAR(INDEX($B$5:$B$344,$A90-1)+1)=$B$2),$B90-INDEX($B$5:$B$344,$A90-1)-1,""))</f>
        <v/>
      </c>
      <c r="D90" s="11">
        <f>IF(OR($A90=1,$B90="",$A90+D$3&gt;340),"",IF(INDEX($B$5:$B$344,$A90+D$3)="","",IF(AND(YEAR($B90)=$B$2,YEAR(INDEX($B$5:$B$344,$A90+D$3-1))=$B$2),INDEX($B$5:$B$344,$A90+D$3)-INDEX($B$5:$B$344,$A90-1)-1,"")))</f>
        <v/>
      </c>
      <c r="E90" s="11">
        <f>IF(OR($A90=1,$B90="",$A90+E$3&gt;340),"",IF(INDEX($B$5:$B$344,$A90+E$3)="","",IF(AND(YEAR($B90)=$B$2,YEAR(INDEX($B$5:$B$344,$A90+E$3-1))=$B$2),INDEX($B$5:$B$344,$A90+E$3)-INDEX($B$5:$B$344,$A90-1)-1,"")))</f>
        <v/>
      </c>
      <c r="F90" s="11">
        <f>IF(OR($A90=1,$B90="",$A90+F$3&gt;340),"",IF(INDEX($B$5:$B$344,$A90+F$3)="","",IF(AND(YEAR($B90)=$B$2,YEAR(INDEX($B$5:$B$344,$A90+F$3-1))=$B$2),INDEX($B$5:$B$344,$A90+F$3)-INDEX($B$5:$B$344,$A90-1)-1,"")))</f>
        <v/>
      </c>
      <c r="G90" s="11">
        <f>IF(OR($A90=1,$B90="",$A90+G$3&gt;340),"",IF(INDEX($B$5:$B$344,$A90+G$3)="","",IF(AND(YEAR($B90)=$B$2,YEAR(INDEX($B$5:$B$344,$A90+G$3-1))=$B$2),INDEX($B$5:$B$344,$A90+G$3)-INDEX($B$5:$B$344,$A90-1)-1,"")))</f>
        <v/>
      </c>
      <c r="H90" s="11">
        <f>IF(OR($A90=1,$B90="",$A90+H$3&gt;340),"",IF(INDEX($B$5:$B$344,$A90+H$3)="","",IF(AND(YEAR($B90)=$B$2,YEAR(INDEX($B$5:$B$344,$A90+H$3-1))=$B$2),INDEX($B$5:$B$344,$A90+H$3)-INDEX($B$5:$B$344,$A90-1)-1,"")))</f>
        <v/>
      </c>
      <c r="I90" s="11">
        <f>IF(OR($A90=1,$B90="",$A90+I$3&gt;340),"",IF(INDEX($B$5:$B$344,$A90+I$3)="","",IF(AND(YEAR($B90)=$B$2,YEAR(INDEX($B$5:$B$344,$A90+I$3-1))=$B$2),INDEX($B$5:$B$344,$A90+I$3)-INDEX($B$5:$B$344,$A90-1)-1,"")))</f>
        <v/>
      </c>
      <c r="J90" s="11">
        <f>IF(OR($A90=1,$B90="",$A90+J$3&gt;340),"",IF(INDEX($B$5:$B$344,$A90+J$3)="","",IF(AND(YEAR($B90)=$B$2,YEAR(INDEX($B$5:$B$344,$A90+J$3-1))=$B$2),INDEX($B$5:$B$344,$A90+J$3)-INDEX($B$5:$B$344,$A90-1)-1,"")))</f>
        <v/>
      </c>
      <c r="K90" s="11">
        <f>IF(OR($A90=1,$B90="",$A90+K$3&gt;340),"",IF(INDEX($B$5:$B$344,$A90+K$3)="","",IF(AND(YEAR($B90)=$B$2,YEAR(INDEX($B$5:$B$344,$A90+K$3-1))=$B$2),INDEX($B$5:$B$344,$A90+K$3)-INDEX($B$5:$B$344,$A90-1)-1,"")))</f>
        <v/>
      </c>
      <c r="L90" s="11">
        <f>IF(OR($A90=1,$B90="",$A90+L$3&gt;340),"",IF(INDEX($B$5:$B$344,$A90+L$3)="","",IF(AND(YEAR($B90)=$B$2,YEAR(INDEX($B$5:$B$344,$A90+L$3-1))=$B$2),INDEX($B$5:$B$344,$A90+L$3)-INDEX($B$5:$B$344,$A90-1)-1,"")))</f>
        <v/>
      </c>
      <c r="M90" s="11">
        <f>IF(OR($A90=1,$B90="",$A90+M$3&gt;340),"",IF(INDEX($B$5:$B$344,$A90+M$3)="","",IF(AND(YEAR($B90)=$B$2,YEAR(INDEX($B$5:$B$344,$A90+M$3-1))=$B$2),INDEX($B$5:$B$344,$A90+M$3)-INDEX($B$5:$B$344,$A90-1)-1,"")))</f>
        <v/>
      </c>
    </row>
    <row r="91">
      <c r="A91" s="11" t="n">
        <v>87</v>
      </c>
      <c r="B91" s="10">
        <f>IFERROR(INDEX('2_暦'!$A$7:$A$433,MATCH(A91,'2_暦'!$K$7:$K$433,0)),"")</f>
        <v/>
      </c>
      <c r="C91" s="11">
        <f>IF(OR($A91=1,$B91=""),"",IF(OR(YEAR($B91-1)=$B$2,YEAR(INDEX($B$5:$B$344,$A91-1)+1)=$B$2),$B91-INDEX($B$5:$B$344,$A91-1)-1,""))</f>
        <v/>
      </c>
      <c r="D91" s="11">
        <f>IF(OR($A91=1,$B91="",$A91+D$3&gt;340),"",IF(INDEX($B$5:$B$344,$A91+D$3)="","",IF(AND(YEAR($B91)=$B$2,YEAR(INDEX($B$5:$B$344,$A91+D$3-1))=$B$2),INDEX($B$5:$B$344,$A91+D$3)-INDEX($B$5:$B$344,$A91-1)-1,"")))</f>
        <v/>
      </c>
      <c r="E91" s="11">
        <f>IF(OR($A91=1,$B91="",$A91+E$3&gt;340),"",IF(INDEX($B$5:$B$344,$A91+E$3)="","",IF(AND(YEAR($B91)=$B$2,YEAR(INDEX($B$5:$B$344,$A91+E$3-1))=$B$2),INDEX($B$5:$B$344,$A91+E$3)-INDEX($B$5:$B$344,$A91-1)-1,"")))</f>
        <v/>
      </c>
      <c r="F91" s="11">
        <f>IF(OR($A91=1,$B91="",$A91+F$3&gt;340),"",IF(INDEX($B$5:$B$344,$A91+F$3)="","",IF(AND(YEAR($B91)=$B$2,YEAR(INDEX($B$5:$B$344,$A91+F$3-1))=$B$2),INDEX($B$5:$B$344,$A91+F$3)-INDEX($B$5:$B$344,$A91-1)-1,"")))</f>
        <v/>
      </c>
      <c r="G91" s="11">
        <f>IF(OR($A91=1,$B91="",$A91+G$3&gt;340),"",IF(INDEX($B$5:$B$344,$A91+G$3)="","",IF(AND(YEAR($B91)=$B$2,YEAR(INDEX($B$5:$B$344,$A91+G$3-1))=$B$2),INDEX($B$5:$B$344,$A91+G$3)-INDEX($B$5:$B$344,$A91-1)-1,"")))</f>
        <v/>
      </c>
      <c r="H91" s="11">
        <f>IF(OR($A91=1,$B91="",$A91+H$3&gt;340),"",IF(INDEX($B$5:$B$344,$A91+H$3)="","",IF(AND(YEAR($B91)=$B$2,YEAR(INDEX($B$5:$B$344,$A91+H$3-1))=$B$2),INDEX($B$5:$B$344,$A91+H$3)-INDEX($B$5:$B$344,$A91-1)-1,"")))</f>
        <v/>
      </c>
      <c r="I91" s="11">
        <f>IF(OR($A91=1,$B91="",$A91+I$3&gt;340),"",IF(INDEX($B$5:$B$344,$A91+I$3)="","",IF(AND(YEAR($B91)=$B$2,YEAR(INDEX($B$5:$B$344,$A91+I$3-1))=$B$2),INDEX($B$5:$B$344,$A91+I$3)-INDEX($B$5:$B$344,$A91-1)-1,"")))</f>
        <v/>
      </c>
      <c r="J91" s="11">
        <f>IF(OR($A91=1,$B91="",$A91+J$3&gt;340),"",IF(INDEX($B$5:$B$344,$A91+J$3)="","",IF(AND(YEAR($B91)=$B$2,YEAR(INDEX($B$5:$B$344,$A91+J$3-1))=$B$2),INDEX($B$5:$B$344,$A91+J$3)-INDEX($B$5:$B$344,$A91-1)-1,"")))</f>
        <v/>
      </c>
      <c r="K91" s="11">
        <f>IF(OR($A91=1,$B91="",$A91+K$3&gt;340),"",IF(INDEX($B$5:$B$344,$A91+K$3)="","",IF(AND(YEAR($B91)=$B$2,YEAR(INDEX($B$5:$B$344,$A91+K$3-1))=$B$2),INDEX($B$5:$B$344,$A91+K$3)-INDEX($B$5:$B$344,$A91-1)-1,"")))</f>
        <v/>
      </c>
      <c r="L91" s="11">
        <f>IF(OR($A91=1,$B91="",$A91+L$3&gt;340),"",IF(INDEX($B$5:$B$344,$A91+L$3)="","",IF(AND(YEAR($B91)=$B$2,YEAR(INDEX($B$5:$B$344,$A91+L$3-1))=$B$2),INDEX($B$5:$B$344,$A91+L$3)-INDEX($B$5:$B$344,$A91-1)-1,"")))</f>
        <v/>
      </c>
      <c r="M91" s="11">
        <f>IF(OR($A91=1,$B91="",$A91+M$3&gt;340),"",IF(INDEX($B$5:$B$344,$A91+M$3)="","",IF(AND(YEAR($B91)=$B$2,YEAR(INDEX($B$5:$B$344,$A91+M$3-1))=$B$2),INDEX($B$5:$B$344,$A91+M$3)-INDEX($B$5:$B$344,$A91-1)-1,"")))</f>
        <v/>
      </c>
    </row>
    <row r="92">
      <c r="A92" s="11" t="n">
        <v>88</v>
      </c>
      <c r="B92" s="10">
        <f>IFERROR(INDEX('2_暦'!$A$7:$A$433,MATCH(A92,'2_暦'!$K$7:$K$433,0)),"")</f>
        <v/>
      </c>
      <c r="C92" s="11">
        <f>IF(OR($A92=1,$B92=""),"",IF(OR(YEAR($B92-1)=$B$2,YEAR(INDEX($B$5:$B$344,$A92-1)+1)=$B$2),$B92-INDEX($B$5:$B$344,$A92-1)-1,""))</f>
        <v/>
      </c>
      <c r="D92" s="11">
        <f>IF(OR($A92=1,$B92="",$A92+D$3&gt;340),"",IF(INDEX($B$5:$B$344,$A92+D$3)="","",IF(AND(YEAR($B92)=$B$2,YEAR(INDEX($B$5:$B$344,$A92+D$3-1))=$B$2),INDEX($B$5:$B$344,$A92+D$3)-INDEX($B$5:$B$344,$A92-1)-1,"")))</f>
        <v/>
      </c>
      <c r="E92" s="11">
        <f>IF(OR($A92=1,$B92="",$A92+E$3&gt;340),"",IF(INDEX($B$5:$B$344,$A92+E$3)="","",IF(AND(YEAR($B92)=$B$2,YEAR(INDEX($B$5:$B$344,$A92+E$3-1))=$B$2),INDEX($B$5:$B$344,$A92+E$3)-INDEX($B$5:$B$344,$A92-1)-1,"")))</f>
        <v/>
      </c>
      <c r="F92" s="11">
        <f>IF(OR($A92=1,$B92="",$A92+F$3&gt;340),"",IF(INDEX($B$5:$B$344,$A92+F$3)="","",IF(AND(YEAR($B92)=$B$2,YEAR(INDEX($B$5:$B$344,$A92+F$3-1))=$B$2),INDEX($B$5:$B$344,$A92+F$3)-INDEX($B$5:$B$344,$A92-1)-1,"")))</f>
        <v/>
      </c>
      <c r="G92" s="11">
        <f>IF(OR($A92=1,$B92="",$A92+G$3&gt;340),"",IF(INDEX($B$5:$B$344,$A92+G$3)="","",IF(AND(YEAR($B92)=$B$2,YEAR(INDEX($B$5:$B$344,$A92+G$3-1))=$B$2),INDEX($B$5:$B$344,$A92+G$3)-INDEX($B$5:$B$344,$A92-1)-1,"")))</f>
        <v/>
      </c>
      <c r="H92" s="11">
        <f>IF(OR($A92=1,$B92="",$A92+H$3&gt;340),"",IF(INDEX($B$5:$B$344,$A92+H$3)="","",IF(AND(YEAR($B92)=$B$2,YEAR(INDEX($B$5:$B$344,$A92+H$3-1))=$B$2),INDEX($B$5:$B$344,$A92+H$3)-INDEX($B$5:$B$344,$A92-1)-1,"")))</f>
        <v/>
      </c>
      <c r="I92" s="11">
        <f>IF(OR($A92=1,$B92="",$A92+I$3&gt;340),"",IF(INDEX($B$5:$B$344,$A92+I$3)="","",IF(AND(YEAR($B92)=$B$2,YEAR(INDEX($B$5:$B$344,$A92+I$3-1))=$B$2),INDEX($B$5:$B$344,$A92+I$3)-INDEX($B$5:$B$344,$A92-1)-1,"")))</f>
        <v/>
      </c>
      <c r="J92" s="11">
        <f>IF(OR($A92=1,$B92="",$A92+J$3&gt;340),"",IF(INDEX($B$5:$B$344,$A92+J$3)="","",IF(AND(YEAR($B92)=$B$2,YEAR(INDEX($B$5:$B$344,$A92+J$3-1))=$B$2),INDEX($B$5:$B$344,$A92+J$3)-INDEX($B$5:$B$344,$A92-1)-1,"")))</f>
        <v/>
      </c>
      <c r="K92" s="11">
        <f>IF(OR($A92=1,$B92="",$A92+K$3&gt;340),"",IF(INDEX($B$5:$B$344,$A92+K$3)="","",IF(AND(YEAR($B92)=$B$2,YEAR(INDEX($B$5:$B$344,$A92+K$3-1))=$B$2),INDEX($B$5:$B$344,$A92+K$3)-INDEX($B$5:$B$344,$A92-1)-1,"")))</f>
        <v/>
      </c>
      <c r="L92" s="11">
        <f>IF(OR($A92=1,$B92="",$A92+L$3&gt;340),"",IF(INDEX($B$5:$B$344,$A92+L$3)="","",IF(AND(YEAR($B92)=$B$2,YEAR(INDEX($B$5:$B$344,$A92+L$3-1))=$B$2),INDEX($B$5:$B$344,$A92+L$3)-INDEX($B$5:$B$344,$A92-1)-1,"")))</f>
        <v/>
      </c>
      <c r="M92" s="11">
        <f>IF(OR($A92=1,$B92="",$A92+M$3&gt;340),"",IF(INDEX($B$5:$B$344,$A92+M$3)="","",IF(AND(YEAR($B92)=$B$2,YEAR(INDEX($B$5:$B$344,$A92+M$3-1))=$B$2),INDEX($B$5:$B$344,$A92+M$3)-INDEX($B$5:$B$344,$A92-1)-1,"")))</f>
        <v/>
      </c>
    </row>
    <row r="93">
      <c r="A93" s="11" t="n">
        <v>89</v>
      </c>
      <c r="B93" s="10">
        <f>IFERROR(INDEX('2_暦'!$A$7:$A$433,MATCH(A93,'2_暦'!$K$7:$K$433,0)),"")</f>
        <v/>
      </c>
      <c r="C93" s="11">
        <f>IF(OR($A93=1,$B93=""),"",IF(OR(YEAR($B93-1)=$B$2,YEAR(INDEX($B$5:$B$344,$A93-1)+1)=$B$2),$B93-INDEX($B$5:$B$344,$A93-1)-1,""))</f>
        <v/>
      </c>
      <c r="D93" s="11">
        <f>IF(OR($A93=1,$B93="",$A93+D$3&gt;340),"",IF(INDEX($B$5:$B$344,$A93+D$3)="","",IF(AND(YEAR($B93)=$B$2,YEAR(INDEX($B$5:$B$344,$A93+D$3-1))=$B$2),INDEX($B$5:$B$344,$A93+D$3)-INDEX($B$5:$B$344,$A93-1)-1,"")))</f>
        <v/>
      </c>
      <c r="E93" s="11">
        <f>IF(OR($A93=1,$B93="",$A93+E$3&gt;340),"",IF(INDEX($B$5:$B$344,$A93+E$3)="","",IF(AND(YEAR($B93)=$B$2,YEAR(INDEX($B$5:$B$344,$A93+E$3-1))=$B$2),INDEX($B$5:$B$344,$A93+E$3)-INDEX($B$5:$B$344,$A93-1)-1,"")))</f>
        <v/>
      </c>
      <c r="F93" s="11">
        <f>IF(OR($A93=1,$B93="",$A93+F$3&gt;340),"",IF(INDEX($B$5:$B$344,$A93+F$3)="","",IF(AND(YEAR($B93)=$B$2,YEAR(INDEX($B$5:$B$344,$A93+F$3-1))=$B$2),INDEX($B$5:$B$344,$A93+F$3)-INDEX($B$5:$B$344,$A93-1)-1,"")))</f>
        <v/>
      </c>
      <c r="G93" s="11">
        <f>IF(OR($A93=1,$B93="",$A93+G$3&gt;340),"",IF(INDEX($B$5:$B$344,$A93+G$3)="","",IF(AND(YEAR($B93)=$B$2,YEAR(INDEX($B$5:$B$344,$A93+G$3-1))=$B$2),INDEX($B$5:$B$344,$A93+G$3)-INDEX($B$5:$B$344,$A93-1)-1,"")))</f>
        <v/>
      </c>
      <c r="H93" s="11">
        <f>IF(OR($A93=1,$B93="",$A93+H$3&gt;340),"",IF(INDEX($B$5:$B$344,$A93+H$3)="","",IF(AND(YEAR($B93)=$B$2,YEAR(INDEX($B$5:$B$344,$A93+H$3-1))=$B$2),INDEX($B$5:$B$344,$A93+H$3)-INDEX($B$5:$B$344,$A93-1)-1,"")))</f>
        <v/>
      </c>
      <c r="I93" s="11">
        <f>IF(OR($A93=1,$B93="",$A93+I$3&gt;340),"",IF(INDEX($B$5:$B$344,$A93+I$3)="","",IF(AND(YEAR($B93)=$B$2,YEAR(INDEX($B$5:$B$344,$A93+I$3-1))=$B$2),INDEX($B$5:$B$344,$A93+I$3)-INDEX($B$5:$B$344,$A93-1)-1,"")))</f>
        <v/>
      </c>
      <c r="J93" s="11">
        <f>IF(OR($A93=1,$B93="",$A93+J$3&gt;340),"",IF(INDEX($B$5:$B$344,$A93+J$3)="","",IF(AND(YEAR($B93)=$B$2,YEAR(INDEX($B$5:$B$344,$A93+J$3-1))=$B$2),INDEX($B$5:$B$344,$A93+J$3)-INDEX($B$5:$B$344,$A93-1)-1,"")))</f>
        <v/>
      </c>
      <c r="K93" s="11">
        <f>IF(OR($A93=1,$B93="",$A93+K$3&gt;340),"",IF(INDEX($B$5:$B$344,$A93+K$3)="","",IF(AND(YEAR($B93)=$B$2,YEAR(INDEX($B$5:$B$344,$A93+K$3-1))=$B$2),INDEX($B$5:$B$344,$A93+K$3)-INDEX($B$5:$B$344,$A93-1)-1,"")))</f>
        <v/>
      </c>
      <c r="L93" s="11">
        <f>IF(OR($A93=1,$B93="",$A93+L$3&gt;340),"",IF(INDEX($B$5:$B$344,$A93+L$3)="","",IF(AND(YEAR($B93)=$B$2,YEAR(INDEX($B$5:$B$344,$A93+L$3-1))=$B$2),INDEX($B$5:$B$344,$A93+L$3)-INDEX($B$5:$B$344,$A93-1)-1,"")))</f>
        <v/>
      </c>
      <c r="M93" s="11">
        <f>IF(OR($A93=1,$B93="",$A93+M$3&gt;340),"",IF(INDEX($B$5:$B$344,$A93+M$3)="","",IF(AND(YEAR($B93)=$B$2,YEAR(INDEX($B$5:$B$344,$A93+M$3-1))=$B$2),INDEX($B$5:$B$344,$A93+M$3)-INDEX($B$5:$B$344,$A93-1)-1,"")))</f>
        <v/>
      </c>
    </row>
    <row r="94">
      <c r="A94" s="11" t="n">
        <v>90</v>
      </c>
      <c r="B94" s="10">
        <f>IFERROR(INDEX('2_暦'!$A$7:$A$433,MATCH(A94,'2_暦'!$K$7:$K$433,0)),"")</f>
        <v/>
      </c>
      <c r="C94" s="11">
        <f>IF(OR($A94=1,$B94=""),"",IF(OR(YEAR($B94-1)=$B$2,YEAR(INDEX($B$5:$B$344,$A94-1)+1)=$B$2),$B94-INDEX($B$5:$B$344,$A94-1)-1,""))</f>
        <v/>
      </c>
      <c r="D94" s="11">
        <f>IF(OR($A94=1,$B94="",$A94+D$3&gt;340),"",IF(INDEX($B$5:$B$344,$A94+D$3)="","",IF(AND(YEAR($B94)=$B$2,YEAR(INDEX($B$5:$B$344,$A94+D$3-1))=$B$2),INDEX($B$5:$B$344,$A94+D$3)-INDEX($B$5:$B$344,$A94-1)-1,"")))</f>
        <v/>
      </c>
      <c r="E94" s="11">
        <f>IF(OR($A94=1,$B94="",$A94+E$3&gt;340),"",IF(INDEX($B$5:$B$344,$A94+E$3)="","",IF(AND(YEAR($B94)=$B$2,YEAR(INDEX($B$5:$B$344,$A94+E$3-1))=$B$2),INDEX($B$5:$B$344,$A94+E$3)-INDEX($B$5:$B$344,$A94-1)-1,"")))</f>
        <v/>
      </c>
      <c r="F94" s="11">
        <f>IF(OR($A94=1,$B94="",$A94+F$3&gt;340),"",IF(INDEX($B$5:$B$344,$A94+F$3)="","",IF(AND(YEAR($B94)=$B$2,YEAR(INDEX($B$5:$B$344,$A94+F$3-1))=$B$2),INDEX($B$5:$B$344,$A94+F$3)-INDEX($B$5:$B$344,$A94-1)-1,"")))</f>
        <v/>
      </c>
      <c r="G94" s="11">
        <f>IF(OR($A94=1,$B94="",$A94+G$3&gt;340),"",IF(INDEX($B$5:$B$344,$A94+G$3)="","",IF(AND(YEAR($B94)=$B$2,YEAR(INDEX($B$5:$B$344,$A94+G$3-1))=$B$2),INDEX($B$5:$B$344,$A94+G$3)-INDEX($B$5:$B$344,$A94-1)-1,"")))</f>
        <v/>
      </c>
      <c r="H94" s="11">
        <f>IF(OR($A94=1,$B94="",$A94+H$3&gt;340),"",IF(INDEX($B$5:$B$344,$A94+H$3)="","",IF(AND(YEAR($B94)=$B$2,YEAR(INDEX($B$5:$B$344,$A94+H$3-1))=$B$2),INDEX($B$5:$B$344,$A94+H$3)-INDEX($B$5:$B$344,$A94-1)-1,"")))</f>
        <v/>
      </c>
      <c r="I94" s="11">
        <f>IF(OR($A94=1,$B94="",$A94+I$3&gt;340),"",IF(INDEX($B$5:$B$344,$A94+I$3)="","",IF(AND(YEAR($B94)=$B$2,YEAR(INDEX($B$5:$B$344,$A94+I$3-1))=$B$2),INDEX($B$5:$B$344,$A94+I$3)-INDEX($B$5:$B$344,$A94-1)-1,"")))</f>
        <v/>
      </c>
      <c r="J94" s="11">
        <f>IF(OR($A94=1,$B94="",$A94+J$3&gt;340),"",IF(INDEX($B$5:$B$344,$A94+J$3)="","",IF(AND(YEAR($B94)=$B$2,YEAR(INDEX($B$5:$B$344,$A94+J$3-1))=$B$2),INDEX($B$5:$B$344,$A94+J$3)-INDEX($B$5:$B$344,$A94-1)-1,"")))</f>
        <v/>
      </c>
      <c r="K94" s="11">
        <f>IF(OR($A94=1,$B94="",$A94+K$3&gt;340),"",IF(INDEX($B$5:$B$344,$A94+K$3)="","",IF(AND(YEAR($B94)=$B$2,YEAR(INDEX($B$5:$B$344,$A94+K$3-1))=$B$2),INDEX($B$5:$B$344,$A94+K$3)-INDEX($B$5:$B$344,$A94-1)-1,"")))</f>
        <v/>
      </c>
      <c r="L94" s="11">
        <f>IF(OR($A94=1,$B94="",$A94+L$3&gt;340),"",IF(INDEX($B$5:$B$344,$A94+L$3)="","",IF(AND(YEAR($B94)=$B$2,YEAR(INDEX($B$5:$B$344,$A94+L$3-1))=$B$2),INDEX($B$5:$B$344,$A94+L$3)-INDEX($B$5:$B$344,$A94-1)-1,"")))</f>
        <v/>
      </c>
      <c r="M94" s="11">
        <f>IF(OR($A94=1,$B94="",$A94+M$3&gt;340),"",IF(INDEX($B$5:$B$344,$A94+M$3)="","",IF(AND(YEAR($B94)=$B$2,YEAR(INDEX($B$5:$B$344,$A94+M$3-1))=$B$2),INDEX($B$5:$B$344,$A94+M$3)-INDEX($B$5:$B$344,$A94-1)-1,"")))</f>
        <v/>
      </c>
    </row>
    <row r="95">
      <c r="A95" s="11" t="n">
        <v>91</v>
      </c>
      <c r="B95" s="10">
        <f>IFERROR(INDEX('2_暦'!$A$7:$A$433,MATCH(A95,'2_暦'!$K$7:$K$433,0)),"")</f>
        <v/>
      </c>
      <c r="C95" s="11">
        <f>IF(OR($A95=1,$B95=""),"",IF(OR(YEAR($B95-1)=$B$2,YEAR(INDEX($B$5:$B$344,$A95-1)+1)=$B$2),$B95-INDEX($B$5:$B$344,$A95-1)-1,""))</f>
        <v/>
      </c>
      <c r="D95" s="11">
        <f>IF(OR($A95=1,$B95="",$A95+D$3&gt;340),"",IF(INDEX($B$5:$B$344,$A95+D$3)="","",IF(AND(YEAR($B95)=$B$2,YEAR(INDEX($B$5:$B$344,$A95+D$3-1))=$B$2),INDEX($B$5:$B$344,$A95+D$3)-INDEX($B$5:$B$344,$A95-1)-1,"")))</f>
        <v/>
      </c>
      <c r="E95" s="11">
        <f>IF(OR($A95=1,$B95="",$A95+E$3&gt;340),"",IF(INDEX($B$5:$B$344,$A95+E$3)="","",IF(AND(YEAR($B95)=$B$2,YEAR(INDEX($B$5:$B$344,$A95+E$3-1))=$B$2),INDEX($B$5:$B$344,$A95+E$3)-INDEX($B$5:$B$344,$A95-1)-1,"")))</f>
        <v/>
      </c>
      <c r="F95" s="11">
        <f>IF(OR($A95=1,$B95="",$A95+F$3&gt;340),"",IF(INDEX($B$5:$B$344,$A95+F$3)="","",IF(AND(YEAR($B95)=$B$2,YEAR(INDEX($B$5:$B$344,$A95+F$3-1))=$B$2),INDEX($B$5:$B$344,$A95+F$3)-INDEX($B$5:$B$344,$A95-1)-1,"")))</f>
        <v/>
      </c>
      <c r="G95" s="11">
        <f>IF(OR($A95=1,$B95="",$A95+G$3&gt;340),"",IF(INDEX($B$5:$B$344,$A95+G$3)="","",IF(AND(YEAR($B95)=$B$2,YEAR(INDEX($B$5:$B$344,$A95+G$3-1))=$B$2),INDEX($B$5:$B$344,$A95+G$3)-INDEX($B$5:$B$344,$A95-1)-1,"")))</f>
        <v/>
      </c>
      <c r="H95" s="11">
        <f>IF(OR($A95=1,$B95="",$A95+H$3&gt;340),"",IF(INDEX($B$5:$B$344,$A95+H$3)="","",IF(AND(YEAR($B95)=$B$2,YEAR(INDEX($B$5:$B$344,$A95+H$3-1))=$B$2),INDEX($B$5:$B$344,$A95+H$3)-INDEX($B$5:$B$344,$A95-1)-1,"")))</f>
        <v/>
      </c>
      <c r="I95" s="11">
        <f>IF(OR($A95=1,$B95="",$A95+I$3&gt;340),"",IF(INDEX($B$5:$B$344,$A95+I$3)="","",IF(AND(YEAR($B95)=$B$2,YEAR(INDEX($B$5:$B$344,$A95+I$3-1))=$B$2),INDEX($B$5:$B$344,$A95+I$3)-INDEX($B$5:$B$344,$A95-1)-1,"")))</f>
        <v/>
      </c>
      <c r="J95" s="11">
        <f>IF(OR($A95=1,$B95="",$A95+J$3&gt;340),"",IF(INDEX($B$5:$B$344,$A95+J$3)="","",IF(AND(YEAR($B95)=$B$2,YEAR(INDEX($B$5:$B$344,$A95+J$3-1))=$B$2),INDEX($B$5:$B$344,$A95+J$3)-INDEX($B$5:$B$344,$A95-1)-1,"")))</f>
        <v/>
      </c>
      <c r="K95" s="11">
        <f>IF(OR($A95=1,$B95="",$A95+K$3&gt;340),"",IF(INDEX($B$5:$B$344,$A95+K$3)="","",IF(AND(YEAR($B95)=$B$2,YEAR(INDEX($B$5:$B$344,$A95+K$3-1))=$B$2),INDEX($B$5:$B$344,$A95+K$3)-INDEX($B$5:$B$344,$A95-1)-1,"")))</f>
        <v/>
      </c>
      <c r="L95" s="11">
        <f>IF(OR($A95=1,$B95="",$A95+L$3&gt;340),"",IF(INDEX($B$5:$B$344,$A95+L$3)="","",IF(AND(YEAR($B95)=$B$2,YEAR(INDEX($B$5:$B$344,$A95+L$3-1))=$B$2),INDEX($B$5:$B$344,$A95+L$3)-INDEX($B$5:$B$344,$A95-1)-1,"")))</f>
        <v/>
      </c>
      <c r="M95" s="11">
        <f>IF(OR($A95=1,$B95="",$A95+M$3&gt;340),"",IF(INDEX($B$5:$B$344,$A95+M$3)="","",IF(AND(YEAR($B95)=$B$2,YEAR(INDEX($B$5:$B$344,$A95+M$3-1))=$B$2),INDEX($B$5:$B$344,$A95+M$3)-INDEX($B$5:$B$344,$A95-1)-1,"")))</f>
        <v/>
      </c>
    </row>
    <row r="96">
      <c r="A96" s="11" t="n">
        <v>92</v>
      </c>
      <c r="B96" s="10">
        <f>IFERROR(INDEX('2_暦'!$A$7:$A$433,MATCH(A96,'2_暦'!$K$7:$K$433,0)),"")</f>
        <v/>
      </c>
      <c r="C96" s="11">
        <f>IF(OR($A96=1,$B96=""),"",IF(OR(YEAR($B96-1)=$B$2,YEAR(INDEX($B$5:$B$344,$A96-1)+1)=$B$2),$B96-INDEX($B$5:$B$344,$A96-1)-1,""))</f>
        <v/>
      </c>
      <c r="D96" s="11">
        <f>IF(OR($A96=1,$B96="",$A96+D$3&gt;340),"",IF(INDEX($B$5:$B$344,$A96+D$3)="","",IF(AND(YEAR($B96)=$B$2,YEAR(INDEX($B$5:$B$344,$A96+D$3-1))=$B$2),INDEX($B$5:$B$344,$A96+D$3)-INDEX($B$5:$B$344,$A96-1)-1,"")))</f>
        <v/>
      </c>
      <c r="E96" s="11">
        <f>IF(OR($A96=1,$B96="",$A96+E$3&gt;340),"",IF(INDEX($B$5:$B$344,$A96+E$3)="","",IF(AND(YEAR($B96)=$B$2,YEAR(INDEX($B$5:$B$344,$A96+E$3-1))=$B$2),INDEX($B$5:$B$344,$A96+E$3)-INDEX($B$5:$B$344,$A96-1)-1,"")))</f>
        <v/>
      </c>
      <c r="F96" s="11">
        <f>IF(OR($A96=1,$B96="",$A96+F$3&gt;340),"",IF(INDEX($B$5:$B$344,$A96+F$3)="","",IF(AND(YEAR($B96)=$B$2,YEAR(INDEX($B$5:$B$344,$A96+F$3-1))=$B$2),INDEX($B$5:$B$344,$A96+F$3)-INDEX($B$5:$B$344,$A96-1)-1,"")))</f>
        <v/>
      </c>
      <c r="G96" s="11">
        <f>IF(OR($A96=1,$B96="",$A96+G$3&gt;340),"",IF(INDEX($B$5:$B$344,$A96+G$3)="","",IF(AND(YEAR($B96)=$B$2,YEAR(INDEX($B$5:$B$344,$A96+G$3-1))=$B$2),INDEX($B$5:$B$344,$A96+G$3)-INDEX($B$5:$B$344,$A96-1)-1,"")))</f>
        <v/>
      </c>
      <c r="H96" s="11">
        <f>IF(OR($A96=1,$B96="",$A96+H$3&gt;340),"",IF(INDEX($B$5:$B$344,$A96+H$3)="","",IF(AND(YEAR($B96)=$B$2,YEAR(INDEX($B$5:$B$344,$A96+H$3-1))=$B$2),INDEX($B$5:$B$344,$A96+H$3)-INDEX($B$5:$B$344,$A96-1)-1,"")))</f>
        <v/>
      </c>
      <c r="I96" s="11">
        <f>IF(OR($A96=1,$B96="",$A96+I$3&gt;340),"",IF(INDEX($B$5:$B$344,$A96+I$3)="","",IF(AND(YEAR($B96)=$B$2,YEAR(INDEX($B$5:$B$344,$A96+I$3-1))=$B$2),INDEX($B$5:$B$344,$A96+I$3)-INDEX($B$5:$B$344,$A96-1)-1,"")))</f>
        <v/>
      </c>
      <c r="J96" s="11">
        <f>IF(OR($A96=1,$B96="",$A96+J$3&gt;340),"",IF(INDEX($B$5:$B$344,$A96+J$3)="","",IF(AND(YEAR($B96)=$B$2,YEAR(INDEX($B$5:$B$344,$A96+J$3-1))=$B$2),INDEX($B$5:$B$344,$A96+J$3)-INDEX($B$5:$B$344,$A96-1)-1,"")))</f>
        <v/>
      </c>
      <c r="K96" s="11">
        <f>IF(OR($A96=1,$B96="",$A96+K$3&gt;340),"",IF(INDEX($B$5:$B$344,$A96+K$3)="","",IF(AND(YEAR($B96)=$B$2,YEAR(INDEX($B$5:$B$344,$A96+K$3-1))=$B$2),INDEX($B$5:$B$344,$A96+K$3)-INDEX($B$5:$B$344,$A96-1)-1,"")))</f>
        <v/>
      </c>
      <c r="L96" s="11">
        <f>IF(OR($A96=1,$B96="",$A96+L$3&gt;340),"",IF(INDEX($B$5:$B$344,$A96+L$3)="","",IF(AND(YEAR($B96)=$B$2,YEAR(INDEX($B$5:$B$344,$A96+L$3-1))=$B$2),INDEX($B$5:$B$344,$A96+L$3)-INDEX($B$5:$B$344,$A96-1)-1,"")))</f>
        <v/>
      </c>
      <c r="M96" s="11">
        <f>IF(OR($A96=1,$B96="",$A96+M$3&gt;340),"",IF(INDEX($B$5:$B$344,$A96+M$3)="","",IF(AND(YEAR($B96)=$B$2,YEAR(INDEX($B$5:$B$344,$A96+M$3-1))=$B$2),INDEX($B$5:$B$344,$A96+M$3)-INDEX($B$5:$B$344,$A96-1)-1,"")))</f>
        <v/>
      </c>
    </row>
    <row r="97">
      <c r="A97" s="11" t="n">
        <v>93</v>
      </c>
      <c r="B97" s="10">
        <f>IFERROR(INDEX('2_暦'!$A$7:$A$433,MATCH(A97,'2_暦'!$K$7:$K$433,0)),"")</f>
        <v/>
      </c>
      <c r="C97" s="11">
        <f>IF(OR($A97=1,$B97=""),"",IF(OR(YEAR($B97-1)=$B$2,YEAR(INDEX($B$5:$B$344,$A97-1)+1)=$B$2),$B97-INDEX($B$5:$B$344,$A97-1)-1,""))</f>
        <v/>
      </c>
      <c r="D97" s="11">
        <f>IF(OR($A97=1,$B97="",$A97+D$3&gt;340),"",IF(INDEX($B$5:$B$344,$A97+D$3)="","",IF(AND(YEAR($B97)=$B$2,YEAR(INDEX($B$5:$B$344,$A97+D$3-1))=$B$2),INDEX($B$5:$B$344,$A97+D$3)-INDEX($B$5:$B$344,$A97-1)-1,"")))</f>
        <v/>
      </c>
      <c r="E97" s="11">
        <f>IF(OR($A97=1,$B97="",$A97+E$3&gt;340),"",IF(INDEX($B$5:$B$344,$A97+E$3)="","",IF(AND(YEAR($B97)=$B$2,YEAR(INDEX($B$5:$B$344,$A97+E$3-1))=$B$2),INDEX($B$5:$B$344,$A97+E$3)-INDEX($B$5:$B$344,$A97-1)-1,"")))</f>
        <v/>
      </c>
      <c r="F97" s="11">
        <f>IF(OR($A97=1,$B97="",$A97+F$3&gt;340),"",IF(INDEX($B$5:$B$344,$A97+F$3)="","",IF(AND(YEAR($B97)=$B$2,YEAR(INDEX($B$5:$B$344,$A97+F$3-1))=$B$2),INDEX($B$5:$B$344,$A97+F$3)-INDEX($B$5:$B$344,$A97-1)-1,"")))</f>
        <v/>
      </c>
      <c r="G97" s="11">
        <f>IF(OR($A97=1,$B97="",$A97+G$3&gt;340),"",IF(INDEX($B$5:$B$344,$A97+G$3)="","",IF(AND(YEAR($B97)=$B$2,YEAR(INDEX($B$5:$B$344,$A97+G$3-1))=$B$2),INDEX($B$5:$B$344,$A97+G$3)-INDEX($B$5:$B$344,$A97-1)-1,"")))</f>
        <v/>
      </c>
      <c r="H97" s="11">
        <f>IF(OR($A97=1,$B97="",$A97+H$3&gt;340),"",IF(INDEX($B$5:$B$344,$A97+H$3)="","",IF(AND(YEAR($B97)=$B$2,YEAR(INDEX($B$5:$B$344,$A97+H$3-1))=$B$2),INDEX($B$5:$B$344,$A97+H$3)-INDEX($B$5:$B$344,$A97-1)-1,"")))</f>
        <v/>
      </c>
      <c r="I97" s="11">
        <f>IF(OR($A97=1,$B97="",$A97+I$3&gt;340),"",IF(INDEX($B$5:$B$344,$A97+I$3)="","",IF(AND(YEAR($B97)=$B$2,YEAR(INDEX($B$5:$B$344,$A97+I$3-1))=$B$2),INDEX($B$5:$B$344,$A97+I$3)-INDEX($B$5:$B$344,$A97-1)-1,"")))</f>
        <v/>
      </c>
      <c r="J97" s="11">
        <f>IF(OR($A97=1,$B97="",$A97+J$3&gt;340),"",IF(INDEX($B$5:$B$344,$A97+J$3)="","",IF(AND(YEAR($B97)=$B$2,YEAR(INDEX($B$5:$B$344,$A97+J$3-1))=$B$2),INDEX($B$5:$B$344,$A97+J$3)-INDEX($B$5:$B$344,$A97-1)-1,"")))</f>
        <v/>
      </c>
      <c r="K97" s="11">
        <f>IF(OR($A97=1,$B97="",$A97+K$3&gt;340),"",IF(INDEX($B$5:$B$344,$A97+K$3)="","",IF(AND(YEAR($B97)=$B$2,YEAR(INDEX($B$5:$B$344,$A97+K$3-1))=$B$2),INDEX($B$5:$B$344,$A97+K$3)-INDEX($B$5:$B$344,$A97-1)-1,"")))</f>
        <v/>
      </c>
      <c r="L97" s="11">
        <f>IF(OR($A97=1,$B97="",$A97+L$3&gt;340),"",IF(INDEX($B$5:$B$344,$A97+L$3)="","",IF(AND(YEAR($B97)=$B$2,YEAR(INDEX($B$5:$B$344,$A97+L$3-1))=$B$2),INDEX($B$5:$B$344,$A97+L$3)-INDEX($B$5:$B$344,$A97-1)-1,"")))</f>
        <v/>
      </c>
      <c r="M97" s="11">
        <f>IF(OR($A97=1,$B97="",$A97+M$3&gt;340),"",IF(INDEX($B$5:$B$344,$A97+M$3)="","",IF(AND(YEAR($B97)=$B$2,YEAR(INDEX($B$5:$B$344,$A97+M$3-1))=$B$2),INDEX($B$5:$B$344,$A97+M$3)-INDEX($B$5:$B$344,$A97-1)-1,"")))</f>
        <v/>
      </c>
    </row>
    <row r="98">
      <c r="A98" s="11" t="n">
        <v>94</v>
      </c>
      <c r="B98" s="10">
        <f>IFERROR(INDEX('2_暦'!$A$7:$A$433,MATCH(A98,'2_暦'!$K$7:$K$433,0)),"")</f>
        <v/>
      </c>
      <c r="C98" s="11">
        <f>IF(OR($A98=1,$B98=""),"",IF(OR(YEAR($B98-1)=$B$2,YEAR(INDEX($B$5:$B$344,$A98-1)+1)=$B$2),$B98-INDEX($B$5:$B$344,$A98-1)-1,""))</f>
        <v/>
      </c>
      <c r="D98" s="11">
        <f>IF(OR($A98=1,$B98="",$A98+D$3&gt;340),"",IF(INDEX($B$5:$B$344,$A98+D$3)="","",IF(AND(YEAR($B98)=$B$2,YEAR(INDEX($B$5:$B$344,$A98+D$3-1))=$B$2),INDEX($B$5:$B$344,$A98+D$3)-INDEX($B$5:$B$344,$A98-1)-1,"")))</f>
        <v/>
      </c>
      <c r="E98" s="11">
        <f>IF(OR($A98=1,$B98="",$A98+E$3&gt;340),"",IF(INDEX($B$5:$B$344,$A98+E$3)="","",IF(AND(YEAR($B98)=$B$2,YEAR(INDEX($B$5:$B$344,$A98+E$3-1))=$B$2),INDEX($B$5:$B$344,$A98+E$3)-INDEX($B$5:$B$344,$A98-1)-1,"")))</f>
        <v/>
      </c>
      <c r="F98" s="11">
        <f>IF(OR($A98=1,$B98="",$A98+F$3&gt;340),"",IF(INDEX($B$5:$B$344,$A98+F$3)="","",IF(AND(YEAR($B98)=$B$2,YEAR(INDEX($B$5:$B$344,$A98+F$3-1))=$B$2),INDEX($B$5:$B$344,$A98+F$3)-INDEX($B$5:$B$344,$A98-1)-1,"")))</f>
        <v/>
      </c>
      <c r="G98" s="11">
        <f>IF(OR($A98=1,$B98="",$A98+G$3&gt;340),"",IF(INDEX($B$5:$B$344,$A98+G$3)="","",IF(AND(YEAR($B98)=$B$2,YEAR(INDEX($B$5:$B$344,$A98+G$3-1))=$B$2),INDEX($B$5:$B$344,$A98+G$3)-INDEX($B$5:$B$344,$A98-1)-1,"")))</f>
        <v/>
      </c>
      <c r="H98" s="11">
        <f>IF(OR($A98=1,$B98="",$A98+H$3&gt;340),"",IF(INDEX($B$5:$B$344,$A98+H$3)="","",IF(AND(YEAR($B98)=$B$2,YEAR(INDEX($B$5:$B$344,$A98+H$3-1))=$B$2),INDEX($B$5:$B$344,$A98+H$3)-INDEX($B$5:$B$344,$A98-1)-1,"")))</f>
        <v/>
      </c>
      <c r="I98" s="11">
        <f>IF(OR($A98=1,$B98="",$A98+I$3&gt;340),"",IF(INDEX($B$5:$B$344,$A98+I$3)="","",IF(AND(YEAR($B98)=$B$2,YEAR(INDEX($B$5:$B$344,$A98+I$3-1))=$B$2),INDEX($B$5:$B$344,$A98+I$3)-INDEX($B$5:$B$344,$A98-1)-1,"")))</f>
        <v/>
      </c>
      <c r="J98" s="11">
        <f>IF(OR($A98=1,$B98="",$A98+J$3&gt;340),"",IF(INDEX($B$5:$B$344,$A98+J$3)="","",IF(AND(YEAR($B98)=$B$2,YEAR(INDEX($B$5:$B$344,$A98+J$3-1))=$B$2),INDEX($B$5:$B$344,$A98+J$3)-INDEX($B$5:$B$344,$A98-1)-1,"")))</f>
        <v/>
      </c>
      <c r="K98" s="11">
        <f>IF(OR($A98=1,$B98="",$A98+K$3&gt;340),"",IF(INDEX($B$5:$B$344,$A98+K$3)="","",IF(AND(YEAR($B98)=$B$2,YEAR(INDEX($B$5:$B$344,$A98+K$3-1))=$B$2),INDEX($B$5:$B$344,$A98+K$3)-INDEX($B$5:$B$344,$A98-1)-1,"")))</f>
        <v/>
      </c>
      <c r="L98" s="11">
        <f>IF(OR($A98=1,$B98="",$A98+L$3&gt;340),"",IF(INDEX($B$5:$B$344,$A98+L$3)="","",IF(AND(YEAR($B98)=$B$2,YEAR(INDEX($B$5:$B$344,$A98+L$3-1))=$B$2),INDEX($B$5:$B$344,$A98+L$3)-INDEX($B$5:$B$344,$A98-1)-1,"")))</f>
        <v/>
      </c>
      <c r="M98" s="11">
        <f>IF(OR($A98=1,$B98="",$A98+M$3&gt;340),"",IF(INDEX($B$5:$B$344,$A98+M$3)="","",IF(AND(YEAR($B98)=$B$2,YEAR(INDEX($B$5:$B$344,$A98+M$3-1))=$B$2),INDEX($B$5:$B$344,$A98+M$3)-INDEX($B$5:$B$344,$A98-1)-1,"")))</f>
        <v/>
      </c>
    </row>
    <row r="99">
      <c r="A99" s="11" t="n">
        <v>95</v>
      </c>
      <c r="B99" s="10">
        <f>IFERROR(INDEX('2_暦'!$A$7:$A$433,MATCH(A99,'2_暦'!$K$7:$K$433,0)),"")</f>
        <v/>
      </c>
      <c r="C99" s="11">
        <f>IF(OR($A99=1,$B99=""),"",IF(OR(YEAR($B99-1)=$B$2,YEAR(INDEX($B$5:$B$344,$A99-1)+1)=$B$2),$B99-INDEX($B$5:$B$344,$A99-1)-1,""))</f>
        <v/>
      </c>
      <c r="D99" s="11">
        <f>IF(OR($A99=1,$B99="",$A99+D$3&gt;340),"",IF(INDEX($B$5:$B$344,$A99+D$3)="","",IF(AND(YEAR($B99)=$B$2,YEAR(INDEX($B$5:$B$344,$A99+D$3-1))=$B$2),INDEX($B$5:$B$344,$A99+D$3)-INDEX($B$5:$B$344,$A99-1)-1,"")))</f>
        <v/>
      </c>
      <c r="E99" s="11">
        <f>IF(OR($A99=1,$B99="",$A99+E$3&gt;340),"",IF(INDEX($B$5:$B$344,$A99+E$3)="","",IF(AND(YEAR($B99)=$B$2,YEAR(INDEX($B$5:$B$344,$A99+E$3-1))=$B$2),INDEX($B$5:$B$344,$A99+E$3)-INDEX($B$5:$B$344,$A99-1)-1,"")))</f>
        <v/>
      </c>
      <c r="F99" s="11">
        <f>IF(OR($A99=1,$B99="",$A99+F$3&gt;340),"",IF(INDEX($B$5:$B$344,$A99+F$3)="","",IF(AND(YEAR($B99)=$B$2,YEAR(INDEX($B$5:$B$344,$A99+F$3-1))=$B$2),INDEX($B$5:$B$344,$A99+F$3)-INDEX($B$5:$B$344,$A99-1)-1,"")))</f>
        <v/>
      </c>
      <c r="G99" s="11">
        <f>IF(OR($A99=1,$B99="",$A99+G$3&gt;340),"",IF(INDEX($B$5:$B$344,$A99+G$3)="","",IF(AND(YEAR($B99)=$B$2,YEAR(INDEX($B$5:$B$344,$A99+G$3-1))=$B$2),INDEX($B$5:$B$344,$A99+G$3)-INDEX($B$5:$B$344,$A99-1)-1,"")))</f>
        <v/>
      </c>
      <c r="H99" s="11">
        <f>IF(OR($A99=1,$B99="",$A99+H$3&gt;340),"",IF(INDEX($B$5:$B$344,$A99+H$3)="","",IF(AND(YEAR($B99)=$B$2,YEAR(INDEX($B$5:$B$344,$A99+H$3-1))=$B$2),INDEX($B$5:$B$344,$A99+H$3)-INDEX($B$5:$B$344,$A99-1)-1,"")))</f>
        <v/>
      </c>
      <c r="I99" s="11">
        <f>IF(OR($A99=1,$B99="",$A99+I$3&gt;340),"",IF(INDEX($B$5:$B$344,$A99+I$3)="","",IF(AND(YEAR($B99)=$B$2,YEAR(INDEX($B$5:$B$344,$A99+I$3-1))=$B$2),INDEX($B$5:$B$344,$A99+I$3)-INDEX($B$5:$B$344,$A99-1)-1,"")))</f>
        <v/>
      </c>
      <c r="J99" s="11">
        <f>IF(OR($A99=1,$B99="",$A99+J$3&gt;340),"",IF(INDEX($B$5:$B$344,$A99+J$3)="","",IF(AND(YEAR($B99)=$B$2,YEAR(INDEX($B$5:$B$344,$A99+J$3-1))=$B$2),INDEX($B$5:$B$344,$A99+J$3)-INDEX($B$5:$B$344,$A99-1)-1,"")))</f>
        <v/>
      </c>
      <c r="K99" s="11">
        <f>IF(OR($A99=1,$B99="",$A99+K$3&gt;340),"",IF(INDEX($B$5:$B$344,$A99+K$3)="","",IF(AND(YEAR($B99)=$B$2,YEAR(INDEX($B$5:$B$344,$A99+K$3-1))=$B$2),INDEX($B$5:$B$344,$A99+K$3)-INDEX($B$5:$B$344,$A99-1)-1,"")))</f>
        <v/>
      </c>
      <c r="L99" s="11">
        <f>IF(OR($A99=1,$B99="",$A99+L$3&gt;340),"",IF(INDEX($B$5:$B$344,$A99+L$3)="","",IF(AND(YEAR($B99)=$B$2,YEAR(INDEX($B$5:$B$344,$A99+L$3-1))=$B$2),INDEX($B$5:$B$344,$A99+L$3)-INDEX($B$5:$B$344,$A99-1)-1,"")))</f>
        <v/>
      </c>
      <c r="M99" s="11">
        <f>IF(OR($A99=1,$B99="",$A99+M$3&gt;340),"",IF(INDEX($B$5:$B$344,$A99+M$3)="","",IF(AND(YEAR($B99)=$B$2,YEAR(INDEX($B$5:$B$344,$A99+M$3-1))=$B$2),INDEX($B$5:$B$344,$A99+M$3)-INDEX($B$5:$B$344,$A99-1)-1,"")))</f>
        <v/>
      </c>
    </row>
    <row r="100">
      <c r="A100" s="11" t="n">
        <v>96</v>
      </c>
      <c r="B100" s="10">
        <f>IFERROR(INDEX('2_暦'!$A$7:$A$433,MATCH(A100,'2_暦'!$K$7:$K$433,0)),"")</f>
        <v/>
      </c>
      <c r="C100" s="11">
        <f>IF(OR($A100=1,$B100=""),"",IF(OR(YEAR($B100-1)=$B$2,YEAR(INDEX($B$5:$B$344,$A100-1)+1)=$B$2),$B100-INDEX($B$5:$B$344,$A100-1)-1,""))</f>
        <v/>
      </c>
      <c r="D100" s="11">
        <f>IF(OR($A100=1,$B100="",$A100+D$3&gt;340),"",IF(INDEX($B$5:$B$344,$A100+D$3)="","",IF(AND(YEAR($B100)=$B$2,YEAR(INDEX($B$5:$B$344,$A100+D$3-1))=$B$2),INDEX($B$5:$B$344,$A100+D$3)-INDEX($B$5:$B$344,$A100-1)-1,"")))</f>
        <v/>
      </c>
      <c r="E100" s="11">
        <f>IF(OR($A100=1,$B100="",$A100+E$3&gt;340),"",IF(INDEX($B$5:$B$344,$A100+E$3)="","",IF(AND(YEAR($B100)=$B$2,YEAR(INDEX($B$5:$B$344,$A100+E$3-1))=$B$2),INDEX($B$5:$B$344,$A100+E$3)-INDEX($B$5:$B$344,$A100-1)-1,"")))</f>
        <v/>
      </c>
      <c r="F100" s="11">
        <f>IF(OR($A100=1,$B100="",$A100+F$3&gt;340),"",IF(INDEX($B$5:$B$344,$A100+F$3)="","",IF(AND(YEAR($B100)=$B$2,YEAR(INDEX($B$5:$B$344,$A100+F$3-1))=$B$2),INDEX($B$5:$B$344,$A100+F$3)-INDEX($B$5:$B$344,$A100-1)-1,"")))</f>
        <v/>
      </c>
      <c r="G100" s="11">
        <f>IF(OR($A100=1,$B100="",$A100+G$3&gt;340),"",IF(INDEX($B$5:$B$344,$A100+G$3)="","",IF(AND(YEAR($B100)=$B$2,YEAR(INDEX($B$5:$B$344,$A100+G$3-1))=$B$2),INDEX($B$5:$B$344,$A100+G$3)-INDEX($B$5:$B$344,$A100-1)-1,"")))</f>
        <v/>
      </c>
      <c r="H100" s="11">
        <f>IF(OR($A100=1,$B100="",$A100+H$3&gt;340),"",IF(INDEX($B$5:$B$344,$A100+H$3)="","",IF(AND(YEAR($B100)=$B$2,YEAR(INDEX($B$5:$B$344,$A100+H$3-1))=$B$2),INDEX($B$5:$B$344,$A100+H$3)-INDEX($B$5:$B$344,$A100-1)-1,"")))</f>
        <v/>
      </c>
      <c r="I100" s="11">
        <f>IF(OR($A100=1,$B100="",$A100+I$3&gt;340),"",IF(INDEX($B$5:$B$344,$A100+I$3)="","",IF(AND(YEAR($B100)=$B$2,YEAR(INDEX($B$5:$B$344,$A100+I$3-1))=$B$2),INDEX($B$5:$B$344,$A100+I$3)-INDEX($B$5:$B$344,$A100-1)-1,"")))</f>
        <v/>
      </c>
      <c r="J100" s="11">
        <f>IF(OR($A100=1,$B100="",$A100+J$3&gt;340),"",IF(INDEX($B$5:$B$344,$A100+J$3)="","",IF(AND(YEAR($B100)=$B$2,YEAR(INDEX($B$5:$B$344,$A100+J$3-1))=$B$2),INDEX($B$5:$B$344,$A100+J$3)-INDEX($B$5:$B$344,$A100-1)-1,"")))</f>
        <v/>
      </c>
      <c r="K100" s="11">
        <f>IF(OR($A100=1,$B100="",$A100+K$3&gt;340),"",IF(INDEX($B$5:$B$344,$A100+K$3)="","",IF(AND(YEAR($B100)=$B$2,YEAR(INDEX($B$5:$B$344,$A100+K$3-1))=$B$2),INDEX($B$5:$B$344,$A100+K$3)-INDEX($B$5:$B$344,$A100-1)-1,"")))</f>
        <v/>
      </c>
      <c r="L100" s="11">
        <f>IF(OR($A100=1,$B100="",$A100+L$3&gt;340),"",IF(INDEX($B$5:$B$344,$A100+L$3)="","",IF(AND(YEAR($B100)=$B$2,YEAR(INDEX($B$5:$B$344,$A100+L$3-1))=$B$2),INDEX($B$5:$B$344,$A100+L$3)-INDEX($B$5:$B$344,$A100-1)-1,"")))</f>
        <v/>
      </c>
      <c r="M100" s="11">
        <f>IF(OR($A100=1,$B100="",$A100+M$3&gt;340),"",IF(INDEX($B$5:$B$344,$A100+M$3)="","",IF(AND(YEAR($B100)=$B$2,YEAR(INDEX($B$5:$B$344,$A100+M$3-1))=$B$2),INDEX($B$5:$B$344,$A100+M$3)-INDEX($B$5:$B$344,$A100-1)-1,"")))</f>
        <v/>
      </c>
    </row>
    <row r="101">
      <c r="A101" s="11" t="n">
        <v>97</v>
      </c>
      <c r="B101" s="10">
        <f>IFERROR(INDEX('2_暦'!$A$7:$A$433,MATCH(A101,'2_暦'!$K$7:$K$433,0)),"")</f>
        <v/>
      </c>
      <c r="C101" s="11">
        <f>IF(OR($A101=1,$B101=""),"",IF(OR(YEAR($B101-1)=$B$2,YEAR(INDEX($B$5:$B$344,$A101-1)+1)=$B$2),$B101-INDEX($B$5:$B$344,$A101-1)-1,""))</f>
        <v/>
      </c>
      <c r="D101" s="11">
        <f>IF(OR($A101=1,$B101="",$A101+D$3&gt;340),"",IF(INDEX($B$5:$B$344,$A101+D$3)="","",IF(AND(YEAR($B101)=$B$2,YEAR(INDEX($B$5:$B$344,$A101+D$3-1))=$B$2),INDEX($B$5:$B$344,$A101+D$3)-INDEX($B$5:$B$344,$A101-1)-1,"")))</f>
        <v/>
      </c>
      <c r="E101" s="11">
        <f>IF(OR($A101=1,$B101="",$A101+E$3&gt;340),"",IF(INDEX($B$5:$B$344,$A101+E$3)="","",IF(AND(YEAR($B101)=$B$2,YEAR(INDEX($B$5:$B$344,$A101+E$3-1))=$B$2),INDEX($B$5:$B$344,$A101+E$3)-INDEX($B$5:$B$344,$A101-1)-1,"")))</f>
        <v/>
      </c>
      <c r="F101" s="11">
        <f>IF(OR($A101=1,$B101="",$A101+F$3&gt;340),"",IF(INDEX($B$5:$B$344,$A101+F$3)="","",IF(AND(YEAR($B101)=$B$2,YEAR(INDEX($B$5:$B$344,$A101+F$3-1))=$B$2),INDEX($B$5:$B$344,$A101+F$3)-INDEX($B$5:$B$344,$A101-1)-1,"")))</f>
        <v/>
      </c>
      <c r="G101" s="11">
        <f>IF(OR($A101=1,$B101="",$A101+G$3&gt;340),"",IF(INDEX($B$5:$B$344,$A101+G$3)="","",IF(AND(YEAR($B101)=$B$2,YEAR(INDEX($B$5:$B$344,$A101+G$3-1))=$B$2),INDEX($B$5:$B$344,$A101+G$3)-INDEX($B$5:$B$344,$A101-1)-1,"")))</f>
        <v/>
      </c>
      <c r="H101" s="11">
        <f>IF(OR($A101=1,$B101="",$A101+H$3&gt;340),"",IF(INDEX($B$5:$B$344,$A101+H$3)="","",IF(AND(YEAR($B101)=$B$2,YEAR(INDEX($B$5:$B$344,$A101+H$3-1))=$B$2),INDEX($B$5:$B$344,$A101+H$3)-INDEX($B$5:$B$344,$A101-1)-1,"")))</f>
        <v/>
      </c>
      <c r="I101" s="11">
        <f>IF(OR($A101=1,$B101="",$A101+I$3&gt;340),"",IF(INDEX($B$5:$B$344,$A101+I$3)="","",IF(AND(YEAR($B101)=$B$2,YEAR(INDEX($B$5:$B$344,$A101+I$3-1))=$B$2),INDEX($B$5:$B$344,$A101+I$3)-INDEX($B$5:$B$344,$A101-1)-1,"")))</f>
        <v/>
      </c>
      <c r="J101" s="11">
        <f>IF(OR($A101=1,$B101="",$A101+J$3&gt;340),"",IF(INDEX($B$5:$B$344,$A101+J$3)="","",IF(AND(YEAR($B101)=$B$2,YEAR(INDEX($B$5:$B$344,$A101+J$3-1))=$B$2),INDEX($B$5:$B$344,$A101+J$3)-INDEX($B$5:$B$344,$A101-1)-1,"")))</f>
        <v/>
      </c>
      <c r="K101" s="11">
        <f>IF(OR($A101=1,$B101="",$A101+K$3&gt;340),"",IF(INDEX($B$5:$B$344,$A101+K$3)="","",IF(AND(YEAR($B101)=$B$2,YEAR(INDEX($B$5:$B$344,$A101+K$3-1))=$B$2),INDEX($B$5:$B$344,$A101+K$3)-INDEX($B$5:$B$344,$A101-1)-1,"")))</f>
        <v/>
      </c>
      <c r="L101" s="11">
        <f>IF(OR($A101=1,$B101="",$A101+L$3&gt;340),"",IF(INDEX($B$5:$B$344,$A101+L$3)="","",IF(AND(YEAR($B101)=$B$2,YEAR(INDEX($B$5:$B$344,$A101+L$3-1))=$B$2),INDEX($B$5:$B$344,$A101+L$3)-INDEX($B$5:$B$344,$A101-1)-1,"")))</f>
        <v/>
      </c>
      <c r="M101" s="11">
        <f>IF(OR($A101=1,$B101="",$A101+M$3&gt;340),"",IF(INDEX($B$5:$B$344,$A101+M$3)="","",IF(AND(YEAR($B101)=$B$2,YEAR(INDEX($B$5:$B$344,$A101+M$3-1))=$B$2),INDEX($B$5:$B$344,$A101+M$3)-INDEX($B$5:$B$344,$A101-1)-1,"")))</f>
        <v/>
      </c>
    </row>
    <row r="102">
      <c r="A102" s="11" t="n">
        <v>98</v>
      </c>
      <c r="B102" s="10">
        <f>IFERROR(INDEX('2_暦'!$A$7:$A$433,MATCH(A102,'2_暦'!$K$7:$K$433,0)),"")</f>
        <v/>
      </c>
      <c r="C102" s="11">
        <f>IF(OR($A102=1,$B102=""),"",IF(OR(YEAR($B102-1)=$B$2,YEAR(INDEX($B$5:$B$344,$A102-1)+1)=$B$2),$B102-INDEX($B$5:$B$344,$A102-1)-1,""))</f>
        <v/>
      </c>
      <c r="D102" s="11">
        <f>IF(OR($A102=1,$B102="",$A102+D$3&gt;340),"",IF(INDEX($B$5:$B$344,$A102+D$3)="","",IF(AND(YEAR($B102)=$B$2,YEAR(INDEX($B$5:$B$344,$A102+D$3-1))=$B$2),INDEX($B$5:$B$344,$A102+D$3)-INDEX($B$5:$B$344,$A102-1)-1,"")))</f>
        <v/>
      </c>
      <c r="E102" s="11">
        <f>IF(OR($A102=1,$B102="",$A102+E$3&gt;340),"",IF(INDEX($B$5:$B$344,$A102+E$3)="","",IF(AND(YEAR($B102)=$B$2,YEAR(INDEX($B$5:$B$344,$A102+E$3-1))=$B$2),INDEX($B$5:$B$344,$A102+E$3)-INDEX($B$5:$B$344,$A102-1)-1,"")))</f>
        <v/>
      </c>
      <c r="F102" s="11">
        <f>IF(OR($A102=1,$B102="",$A102+F$3&gt;340),"",IF(INDEX($B$5:$B$344,$A102+F$3)="","",IF(AND(YEAR($B102)=$B$2,YEAR(INDEX($B$5:$B$344,$A102+F$3-1))=$B$2),INDEX($B$5:$B$344,$A102+F$3)-INDEX($B$5:$B$344,$A102-1)-1,"")))</f>
        <v/>
      </c>
      <c r="G102" s="11">
        <f>IF(OR($A102=1,$B102="",$A102+G$3&gt;340),"",IF(INDEX($B$5:$B$344,$A102+G$3)="","",IF(AND(YEAR($B102)=$B$2,YEAR(INDEX($B$5:$B$344,$A102+G$3-1))=$B$2),INDEX($B$5:$B$344,$A102+G$3)-INDEX($B$5:$B$344,$A102-1)-1,"")))</f>
        <v/>
      </c>
      <c r="H102" s="11">
        <f>IF(OR($A102=1,$B102="",$A102+H$3&gt;340),"",IF(INDEX($B$5:$B$344,$A102+H$3)="","",IF(AND(YEAR($B102)=$B$2,YEAR(INDEX($B$5:$B$344,$A102+H$3-1))=$B$2),INDEX($B$5:$B$344,$A102+H$3)-INDEX($B$5:$B$344,$A102-1)-1,"")))</f>
        <v/>
      </c>
      <c r="I102" s="11">
        <f>IF(OR($A102=1,$B102="",$A102+I$3&gt;340),"",IF(INDEX($B$5:$B$344,$A102+I$3)="","",IF(AND(YEAR($B102)=$B$2,YEAR(INDEX($B$5:$B$344,$A102+I$3-1))=$B$2),INDEX($B$5:$B$344,$A102+I$3)-INDEX($B$5:$B$344,$A102-1)-1,"")))</f>
        <v/>
      </c>
      <c r="J102" s="11">
        <f>IF(OR($A102=1,$B102="",$A102+J$3&gt;340),"",IF(INDEX($B$5:$B$344,$A102+J$3)="","",IF(AND(YEAR($B102)=$B$2,YEAR(INDEX($B$5:$B$344,$A102+J$3-1))=$B$2),INDEX($B$5:$B$344,$A102+J$3)-INDEX($B$5:$B$344,$A102-1)-1,"")))</f>
        <v/>
      </c>
      <c r="K102" s="11">
        <f>IF(OR($A102=1,$B102="",$A102+K$3&gt;340),"",IF(INDEX($B$5:$B$344,$A102+K$3)="","",IF(AND(YEAR($B102)=$B$2,YEAR(INDEX($B$5:$B$344,$A102+K$3-1))=$B$2),INDEX($B$5:$B$344,$A102+K$3)-INDEX($B$5:$B$344,$A102-1)-1,"")))</f>
        <v/>
      </c>
      <c r="L102" s="11">
        <f>IF(OR($A102=1,$B102="",$A102+L$3&gt;340),"",IF(INDEX($B$5:$B$344,$A102+L$3)="","",IF(AND(YEAR($B102)=$B$2,YEAR(INDEX($B$5:$B$344,$A102+L$3-1))=$B$2),INDEX($B$5:$B$344,$A102+L$3)-INDEX($B$5:$B$344,$A102-1)-1,"")))</f>
        <v/>
      </c>
      <c r="M102" s="11">
        <f>IF(OR($A102=1,$B102="",$A102+M$3&gt;340),"",IF(INDEX($B$5:$B$344,$A102+M$3)="","",IF(AND(YEAR($B102)=$B$2,YEAR(INDEX($B$5:$B$344,$A102+M$3-1))=$B$2),INDEX($B$5:$B$344,$A102+M$3)-INDEX($B$5:$B$344,$A102-1)-1,"")))</f>
        <v/>
      </c>
    </row>
    <row r="103">
      <c r="A103" s="11" t="n">
        <v>99</v>
      </c>
      <c r="B103" s="10">
        <f>IFERROR(INDEX('2_暦'!$A$7:$A$433,MATCH(A103,'2_暦'!$K$7:$K$433,0)),"")</f>
        <v/>
      </c>
      <c r="C103" s="11">
        <f>IF(OR($A103=1,$B103=""),"",IF(OR(YEAR($B103-1)=$B$2,YEAR(INDEX($B$5:$B$344,$A103-1)+1)=$B$2),$B103-INDEX($B$5:$B$344,$A103-1)-1,""))</f>
        <v/>
      </c>
      <c r="D103" s="11">
        <f>IF(OR($A103=1,$B103="",$A103+D$3&gt;340),"",IF(INDEX($B$5:$B$344,$A103+D$3)="","",IF(AND(YEAR($B103)=$B$2,YEAR(INDEX($B$5:$B$344,$A103+D$3-1))=$B$2),INDEX($B$5:$B$344,$A103+D$3)-INDEX($B$5:$B$344,$A103-1)-1,"")))</f>
        <v/>
      </c>
      <c r="E103" s="11">
        <f>IF(OR($A103=1,$B103="",$A103+E$3&gt;340),"",IF(INDEX($B$5:$B$344,$A103+E$3)="","",IF(AND(YEAR($B103)=$B$2,YEAR(INDEX($B$5:$B$344,$A103+E$3-1))=$B$2),INDEX($B$5:$B$344,$A103+E$3)-INDEX($B$5:$B$344,$A103-1)-1,"")))</f>
        <v/>
      </c>
      <c r="F103" s="11">
        <f>IF(OR($A103=1,$B103="",$A103+F$3&gt;340),"",IF(INDEX($B$5:$B$344,$A103+F$3)="","",IF(AND(YEAR($B103)=$B$2,YEAR(INDEX($B$5:$B$344,$A103+F$3-1))=$B$2),INDEX($B$5:$B$344,$A103+F$3)-INDEX($B$5:$B$344,$A103-1)-1,"")))</f>
        <v/>
      </c>
      <c r="G103" s="11">
        <f>IF(OR($A103=1,$B103="",$A103+G$3&gt;340),"",IF(INDEX($B$5:$B$344,$A103+G$3)="","",IF(AND(YEAR($B103)=$B$2,YEAR(INDEX($B$5:$B$344,$A103+G$3-1))=$B$2),INDEX($B$5:$B$344,$A103+G$3)-INDEX($B$5:$B$344,$A103-1)-1,"")))</f>
        <v/>
      </c>
      <c r="H103" s="11">
        <f>IF(OR($A103=1,$B103="",$A103+H$3&gt;340),"",IF(INDEX($B$5:$B$344,$A103+H$3)="","",IF(AND(YEAR($B103)=$B$2,YEAR(INDEX($B$5:$B$344,$A103+H$3-1))=$B$2),INDEX($B$5:$B$344,$A103+H$3)-INDEX($B$5:$B$344,$A103-1)-1,"")))</f>
        <v/>
      </c>
      <c r="I103" s="11">
        <f>IF(OR($A103=1,$B103="",$A103+I$3&gt;340),"",IF(INDEX($B$5:$B$344,$A103+I$3)="","",IF(AND(YEAR($B103)=$B$2,YEAR(INDEX($B$5:$B$344,$A103+I$3-1))=$B$2),INDEX($B$5:$B$344,$A103+I$3)-INDEX($B$5:$B$344,$A103-1)-1,"")))</f>
        <v/>
      </c>
      <c r="J103" s="11">
        <f>IF(OR($A103=1,$B103="",$A103+J$3&gt;340),"",IF(INDEX($B$5:$B$344,$A103+J$3)="","",IF(AND(YEAR($B103)=$B$2,YEAR(INDEX($B$5:$B$344,$A103+J$3-1))=$B$2),INDEX($B$5:$B$344,$A103+J$3)-INDEX($B$5:$B$344,$A103-1)-1,"")))</f>
        <v/>
      </c>
      <c r="K103" s="11">
        <f>IF(OR($A103=1,$B103="",$A103+K$3&gt;340),"",IF(INDEX($B$5:$B$344,$A103+K$3)="","",IF(AND(YEAR($B103)=$B$2,YEAR(INDEX($B$5:$B$344,$A103+K$3-1))=$B$2),INDEX($B$5:$B$344,$A103+K$3)-INDEX($B$5:$B$344,$A103-1)-1,"")))</f>
        <v/>
      </c>
      <c r="L103" s="11">
        <f>IF(OR($A103=1,$B103="",$A103+L$3&gt;340),"",IF(INDEX($B$5:$B$344,$A103+L$3)="","",IF(AND(YEAR($B103)=$B$2,YEAR(INDEX($B$5:$B$344,$A103+L$3-1))=$B$2),INDEX($B$5:$B$344,$A103+L$3)-INDEX($B$5:$B$344,$A103-1)-1,"")))</f>
        <v/>
      </c>
      <c r="M103" s="11">
        <f>IF(OR($A103=1,$B103="",$A103+M$3&gt;340),"",IF(INDEX($B$5:$B$344,$A103+M$3)="","",IF(AND(YEAR($B103)=$B$2,YEAR(INDEX($B$5:$B$344,$A103+M$3-1))=$B$2),INDEX($B$5:$B$344,$A103+M$3)-INDEX($B$5:$B$344,$A103-1)-1,"")))</f>
        <v/>
      </c>
    </row>
    <row r="104">
      <c r="A104" s="11" t="n">
        <v>100</v>
      </c>
      <c r="B104" s="10">
        <f>IFERROR(INDEX('2_暦'!$A$7:$A$433,MATCH(A104,'2_暦'!$K$7:$K$433,0)),"")</f>
        <v/>
      </c>
      <c r="C104" s="11">
        <f>IF(OR($A104=1,$B104=""),"",IF(OR(YEAR($B104-1)=$B$2,YEAR(INDEX($B$5:$B$344,$A104-1)+1)=$B$2),$B104-INDEX($B$5:$B$344,$A104-1)-1,""))</f>
        <v/>
      </c>
      <c r="D104" s="11">
        <f>IF(OR($A104=1,$B104="",$A104+D$3&gt;340),"",IF(INDEX($B$5:$B$344,$A104+D$3)="","",IF(AND(YEAR($B104)=$B$2,YEAR(INDEX($B$5:$B$344,$A104+D$3-1))=$B$2),INDEX($B$5:$B$344,$A104+D$3)-INDEX($B$5:$B$344,$A104-1)-1,"")))</f>
        <v/>
      </c>
      <c r="E104" s="11">
        <f>IF(OR($A104=1,$B104="",$A104+E$3&gt;340),"",IF(INDEX($B$5:$B$344,$A104+E$3)="","",IF(AND(YEAR($B104)=$B$2,YEAR(INDEX($B$5:$B$344,$A104+E$3-1))=$B$2),INDEX($B$5:$B$344,$A104+E$3)-INDEX($B$5:$B$344,$A104-1)-1,"")))</f>
        <v/>
      </c>
      <c r="F104" s="11">
        <f>IF(OR($A104=1,$B104="",$A104+F$3&gt;340),"",IF(INDEX($B$5:$B$344,$A104+F$3)="","",IF(AND(YEAR($B104)=$B$2,YEAR(INDEX($B$5:$B$344,$A104+F$3-1))=$B$2),INDEX($B$5:$B$344,$A104+F$3)-INDEX($B$5:$B$344,$A104-1)-1,"")))</f>
        <v/>
      </c>
      <c r="G104" s="11">
        <f>IF(OR($A104=1,$B104="",$A104+G$3&gt;340),"",IF(INDEX($B$5:$B$344,$A104+G$3)="","",IF(AND(YEAR($B104)=$B$2,YEAR(INDEX($B$5:$B$344,$A104+G$3-1))=$B$2),INDEX($B$5:$B$344,$A104+G$3)-INDEX($B$5:$B$344,$A104-1)-1,"")))</f>
        <v/>
      </c>
      <c r="H104" s="11">
        <f>IF(OR($A104=1,$B104="",$A104+H$3&gt;340),"",IF(INDEX($B$5:$B$344,$A104+H$3)="","",IF(AND(YEAR($B104)=$B$2,YEAR(INDEX($B$5:$B$344,$A104+H$3-1))=$B$2),INDEX($B$5:$B$344,$A104+H$3)-INDEX($B$5:$B$344,$A104-1)-1,"")))</f>
        <v/>
      </c>
      <c r="I104" s="11">
        <f>IF(OR($A104=1,$B104="",$A104+I$3&gt;340),"",IF(INDEX($B$5:$B$344,$A104+I$3)="","",IF(AND(YEAR($B104)=$B$2,YEAR(INDEX($B$5:$B$344,$A104+I$3-1))=$B$2),INDEX($B$5:$B$344,$A104+I$3)-INDEX($B$5:$B$344,$A104-1)-1,"")))</f>
        <v/>
      </c>
      <c r="J104" s="11">
        <f>IF(OR($A104=1,$B104="",$A104+J$3&gt;340),"",IF(INDEX($B$5:$B$344,$A104+J$3)="","",IF(AND(YEAR($B104)=$B$2,YEAR(INDEX($B$5:$B$344,$A104+J$3-1))=$B$2),INDEX($B$5:$B$344,$A104+J$3)-INDEX($B$5:$B$344,$A104-1)-1,"")))</f>
        <v/>
      </c>
      <c r="K104" s="11">
        <f>IF(OR($A104=1,$B104="",$A104+K$3&gt;340),"",IF(INDEX($B$5:$B$344,$A104+K$3)="","",IF(AND(YEAR($B104)=$B$2,YEAR(INDEX($B$5:$B$344,$A104+K$3-1))=$B$2),INDEX($B$5:$B$344,$A104+K$3)-INDEX($B$5:$B$344,$A104-1)-1,"")))</f>
        <v/>
      </c>
      <c r="L104" s="11">
        <f>IF(OR($A104=1,$B104="",$A104+L$3&gt;340),"",IF(INDEX($B$5:$B$344,$A104+L$3)="","",IF(AND(YEAR($B104)=$B$2,YEAR(INDEX($B$5:$B$344,$A104+L$3-1))=$B$2),INDEX($B$5:$B$344,$A104+L$3)-INDEX($B$5:$B$344,$A104-1)-1,"")))</f>
        <v/>
      </c>
      <c r="M104" s="11">
        <f>IF(OR($A104=1,$B104="",$A104+M$3&gt;340),"",IF(INDEX($B$5:$B$344,$A104+M$3)="","",IF(AND(YEAR($B104)=$B$2,YEAR(INDEX($B$5:$B$344,$A104+M$3-1))=$B$2),INDEX($B$5:$B$344,$A104+M$3)-INDEX($B$5:$B$344,$A104-1)-1,"")))</f>
        <v/>
      </c>
    </row>
    <row r="105">
      <c r="A105" s="11" t="n">
        <v>101</v>
      </c>
      <c r="B105" s="10">
        <f>IFERROR(INDEX('2_暦'!$A$7:$A$433,MATCH(A105,'2_暦'!$K$7:$K$433,0)),"")</f>
        <v/>
      </c>
      <c r="C105" s="11">
        <f>IF(OR($A105=1,$B105=""),"",IF(OR(YEAR($B105-1)=$B$2,YEAR(INDEX($B$5:$B$344,$A105-1)+1)=$B$2),$B105-INDEX($B$5:$B$344,$A105-1)-1,""))</f>
        <v/>
      </c>
      <c r="D105" s="11">
        <f>IF(OR($A105=1,$B105="",$A105+D$3&gt;340),"",IF(INDEX($B$5:$B$344,$A105+D$3)="","",IF(AND(YEAR($B105)=$B$2,YEAR(INDEX($B$5:$B$344,$A105+D$3-1))=$B$2),INDEX($B$5:$B$344,$A105+D$3)-INDEX($B$5:$B$344,$A105-1)-1,"")))</f>
        <v/>
      </c>
      <c r="E105" s="11">
        <f>IF(OR($A105=1,$B105="",$A105+E$3&gt;340),"",IF(INDEX($B$5:$B$344,$A105+E$3)="","",IF(AND(YEAR($B105)=$B$2,YEAR(INDEX($B$5:$B$344,$A105+E$3-1))=$B$2),INDEX($B$5:$B$344,$A105+E$3)-INDEX($B$5:$B$344,$A105-1)-1,"")))</f>
        <v/>
      </c>
      <c r="F105" s="11">
        <f>IF(OR($A105=1,$B105="",$A105+F$3&gt;340),"",IF(INDEX($B$5:$B$344,$A105+F$3)="","",IF(AND(YEAR($B105)=$B$2,YEAR(INDEX($B$5:$B$344,$A105+F$3-1))=$B$2),INDEX($B$5:$B$344,$A105+F$3)-INDEX($B$5:$B$344,$A105-1)-1,"")))</f>
        <v/>
      </c>
      <c r="G105" s="11">
        <f>IF(OR($A105=1,$B105="",$A105+G$3&gt;340),"",IF(INDEX($B$5:$B$344,$A105+G$3)="","",IF(AND(YEAR($B105)=$B$2,YEAR(INDEX($B$5:$B$344,$A105+G$3-1))=$B$2),INDEX($B$5:$B$344,$A105+G$3)-INDEX($B$5:$B$344,$A105-1)-1,"")))</f>
        <v/>
      </c>
      <c r="H105" s="11">
        <f>IF(OR($A105=1,$B105="",$A105+H$3&gt;340),"",IF(INDEX($B$5:$B$344,$A105+H$3)="","",IF(AND(YEAR($B105)=$B$2,YEAR(INDEX($B$5:$B$344,$A105+H$3-1))=$B$2),INDEX($B$5:$B$344,$A105+H$3)-INDEX($B$5:$B$344,$A105-1)-1,"")))</f>
        <v/>
      </c>
      <c r="I105" s="11">
        <f>IF(OR($A105=1,$B105="",$A105+I$3&gt;340),"",IF(INDEX($B$5:$B$344,$A105+I$3)="","",IF(AND(YEAR($B105)=$B$2,YEAR(INDEX($B$5:$B$344,$A105+I$3-1))=$B$2),INDEX($B$5:$B$344,$A105+I$3)-INDEX($B$5:$B$344,$A105-1)-1,"")))</f>
        <v/>
      </c>
      <c r="J105" s="11">
        <f>IF(OR($A105=1,$B105="",$A105+J$3&gt;340),"",IF(INDEX($B$5:$B$344,$A105+J$3)="","",IF(AND(YEAR($B105)=$B$2,YEAR(INDEX($B$5:$B$344,$A105+J$3-1))=$B$2),INDEX($B$5:$B$344,$A105+J$3)-INDEX($B$5:$B$344,$A105-1)-1,"")))</f>
        <v/>
      </c>
      <c r="K105" s="11">
        <f>IF(OR($A105=1,$B105="",$A105+K$3&gt;340),"",IF(INDEX($B$5:$B$344,$A105+K$3)="","",IF(AND(YEAR($B105)=$B$2,YEAR(INDEX($B$5:$B$344,$A105+K$3-1))=$B$2),INDEX($B$5:$B$344,$A105+K$3)-INDEX($B$5:$B$344,$A105-1)-1,"")))</f>
        <v/>
      </c>
      <c r="L105" s="11">
        <f>IF(OR($A105=1,$B105="",$A105+L$3&gt;340),"",IF(INDEX($B$5:$B$344,$A105+L$3)="","",IF(AND(YEAR($B105)=$B$2,YEAR(INDEX($B$5:$B$344,$A105+L$3-1))=$B$2),INDEX($B$5:$B$344,$A105+L$3)-INDEX($B$5:$B$344,$A105-1)-1,"")))</f>
        <v/>
      </c>
      <c r="M105" s="11">
        <f>IF(OR($A105=1,$B105="",$A105+M$3&gt;340),"",IF(INDEX($B$5:$B$344,$A105+M$3)="","",IF(AND(YEAR($B105)=$B$2,YEAR(INDEX($B$5:$B$344,$A105+M$3-1))=$B$2),INDEX($B$5:$B$344,$A105+M$3)-INDEX($B$5:$B$344,$A105-1)-1,"")))</f>
        <v/>
      </c>
    </row>
    <row r="106">
      <c r="A106" s="11" t="n">
        <v>102</v>
      </c>
      <c r="B106" s="10">
        <f>IFERROR(INDEX('2_暦'!$A$7:$A$433,MATCH(A106,'2_暦'!$K$7:$K$433,0)),"")</f>
        <v/>
      </c>
      <c r="C106" s="11">
        <f>IF(OR($A106=1,$B106=""),"",IF(OR(YEAR($B106-1)=$B$2,YEAR(INDEX($B$5:$B$344,$A106-1)+1)=$B$2),$B106-INDEX($B$5:$B$344,$A106-1)-1,""))</f>
        <v/>
      </c>
      <c r="D106" s="11">
        <f>IF(OR($A106=1,$B106="",$A106+D$3&gt;340),"",IF(INDEX($B$5:$B$344,$A106+D$3)="","",IF(AND(YEAR($B106)=$B$2,YEAR(INDEX($B$5:$B$344,$A106+D$3-1))=$B$2),INDEX($B$5:$B$344,$A106+D$3)-INDEX($B$5:$B$344,$A106-1)-1,"")))</f>
        <v/>
      </c>
      <c r="E106" s="11">
        <f>IF(OR($A106=1,$B106="",$A106+E$3&gt;340),"",IF(INDEX($B$5:$B$344,$A106+E$3)="","",IF(AND(YEAR($B106)=$B$2,YEAR(INDEX($B$5:$B$344,$A106+E$3-1))=$B$2),INDEX($B$5:$B$344,$A106+E$3)-INDEX($B$5:$B$344,$A106-1)-1,"")))</f>
        <v/>
      </c>
      <c r="F106" s="11">
        <f>IF(OR($A106=1,$B106="",$A106+F$3&gt;340),"",IF(INDEX($B$5:$B$344,$A106+F$3)="","",IF(AND(YEAR($B106)=$B$2,YEAR(INDEX($B$5:$B$344,$A106+F$3-1))=$B$2),INDEX($B$5:$B$344,$A106+F$3)-INDEX($B$5:$B$344,$A106-1)-1,"")))</f>
        <v/>
      </c>
      <c r="G106" s="11">
        <f>IF(OR($A106=1,$B106="",$A106+G$3&gt;340),"",IF(INDEX($B$5:$B$344,$A106+G$3)="","",IF(AND(YEAR($B106)=$B$2,YEAR(INDEX($B$5:$B$344,$A106+G$3-1))=$B$2),INDEX($B$5:$B$344,$A106+G$3)-INDEX($B$5:$B$344,$A106-1)-1,"")))</f>
        <v/>
      </c>
      <c r="H106" s="11">
        <f>IF(OR($A106=1,$B106="",$A106+H$3&gt;340),"",IF(INDEX($B$5:$B$344,$A106+H$3)="","",IF(AND(YEAR($B106)=$B$2,YEAR(INDEX($B$5:$B$344,$A106+H$3-1))=$B$2),INDEX($B$5:$B$344,$A106+H$3)-INDEX($B$5:$B$344,$A106-1)-1,"")))</f>
        <v/>
      </c>
      <c r="I106" s="11">
        <f>IF(OR($A106=1,$B106="",$A106+I$3&gt;340),"",IF(INDEX($B$5:$B$344,$A106+I$3)="","",IF(AND(YEAR($B106)=$B$2,YEAR(INDEX($B$5:$B$344,$A106+I$3-1))=$B$2),INDEX($B$5:$B$344,$A106+I$3)-INDEX($B$5:$B$344,$A106-1)-1,"")))</f>
        <v/>
      </c>
      <c r="J106" s="11">
        <f>IF(OR($A106=1,$B106="",$A106+J$3&gt;340),"",IF(INDEX($B$5:$B$344,$A106+J$3)="","",IF(AND(YEAR($B106)=$B$2,YEAR(INDEX($B$5:$B$344,$A106+J$3-1))=$B$2),INDEX($B$5:$B$344,$A106+J$3)-INDEX($B$5:$B$344,$A106-1)-1,"")))</f>
        <v/>
      </c>
      <c r="K106" s="11">
        <f>IF(OR($A106=1,$B106="",$A106+K$3&gt;340),"",IF(INDEX($B$5:$B$344,$A106+K$3)="","",IF(AND(YEAR($B106)=$B$2,YEAR(INDEX($B$5:$B$344,$A106+K$3-1))=$B$2),INDEX($B$5:$B$344,$A106+K$3)-INDEX($B$5:$B$344,$A106-1)-1,"")))</f>
        <v/>
      </c>
      <c r="L106" s="11">
        <f>IF(OR($A106=1,$B106="",$A106+L$3&gt;340),"",IF(INDEX($B$5:$B$344,$A106+L$3)="","",IF(AND(YEAR($B106)=$B$2,YEAR(INDEX($B$5:$B$344,$A106+L$3-1))=$B$2),INDEX($B$5:$B$344,$A106+L$3)-INDEX($B$5:$B$344,$A106-1)-1,"")))</f>
        <v/>
      </c>
      <c r="M106" s="11">
        <f>IF(OR($A106=1,$B106="",$A106+M$3&gt;340),"",IF(INDEX($B$5:$B$344,$A106+M$3)="","",IF(AND(YEAR($B106)=$B$2,YEAR(INDEX($B$5:$B$344,$A106+M$3-1))=$B$2),INDEX($B$5:$B$344,$A106+M$3)-INDEX($B$5:$B$344,$A106-1)-1,"")))</f>
        <v/>
      </c>
    </row>
    <row r="107">
      <c r="A107" s="11" t="n">
        <v>103</v>
      </c>
      <c r="B107" s="10">
        <f>IFERROR(INDEX('2_暦'!$A$7:$A$433,MATCH(A107,'2_暦'!$K$7:$K$433,0)),"")</f>
        <v/>
      </c>
      <c r="C107" s="11">
        <f>IF(OR($A107=1,$B107=""),"",IF(OR(YEAR($B107-1)=$B$2,YEAR(INDEX($B$5:$B$344,$A107-1)+1)=$B$2),$B107-INDEX($B$5:$B$344,$A107-1)-1,""))</f>
        <v/>
      </c>
      <c r="D107" s="11">
        <f>IF(OR($A107=1,$B107="",$A107+D$3&gt;340),"",IF(INDEX($B$5:$B$344,$A107+D$3)="","",IF(AND(YEAR($B107)=$B$2,YEAR(INDEX($B$5:$B$344,$A107+D$3-1))=$B$2),INDEX($B$5:$B$344,$A107+D$3)-INDEX($B$5:$B$344,$A107-1)-1,"")))</f>
        <v/>
      </c>
      <c r="E107" s="11">
        <f>IF(OR($A107=1,$B107="",$A107+E$3&gt;340),"",IF(INDEX($B$5:$B$344,$A107+E$3)="","",IF(AND(YEAR($B107)=$B$2,YEAR(INDEX($B$5:$B$344,$A107+E$3-1))=$B$2),INDEX($B$5:$B$344,$A107+E$3)-INDEX($B$5:$B$344,$A107-1)-1,"")))</f>
        <v/>
      </c>
      <c r="F107" s="11">
        <f>IF(OR($A107=1,$B107="",$A107+F$3&gt;340),"",IF(INDEX($B$5:$B$344,$A107+F$3)="","",IF(AND(YEAR($B107)=$B$2,YEAR(INDEX($B$5:$B$344,$A107+F$3-1))=$B$2),INDEX($B$5:$B$344,$A107+F$3)-INDEX($B$5:$B$344,$A107-1)-1,"")))</f>
        <v/>
      </c>
      <c r="G107" s="11">
        <f>IF(OR($A107=1,$B107="",$A107+G$3&gt;340),"",IF(INDEX($B$5:$B$344,$A107+G$3)="","",IF(AND(YEAR($B107)=$B$2,YEAR(INDEX($B$5:$B$344,$A107+G$3-1))=$B$2),INDEX($B$5:$B$344,$A107+G$3)-INDEX($B$5:$B$344,$A107-1)-1,"")))</f>
        <v/>
      </c>
      <c r="H107" s="11">
        <f>IF(OR($A107=1,$B107="",$A107+H$3&gt;340),"",IF(INDEX($B$5:$B$344,$A107+H$3)="","",IF(AND(YEAR($B107)=$B$2,YEAR(INDEX($B$5:$B$344,$A107+H$3-1))=$B$2),INDEX($B$5:$B$344,$A107+H$3)-INDEX($B$5:$B$344,$A107-1)-1,"")))</f>
        <v/>
      </c>
      <c r="I107" s="11">
        <f>IF(OR($A107=1,$B107="",$A107+I$3&gt;340),"",IF(INDEX($B$5:$B$344,$A107+I$3)="","",IF(AND(YEAR($B107)=$B$2,YEAR(INDEX($B$5:$B$344,$A107+I$3-1))=$B$2),INDEX($B$5:$B$344,$A107+I$3)-INDEX($B$5:$B$344,$A107-1)-1,"")))</f>
        <v/>
      </c>
      <c r="J107" s="11">
        <f>IF(OR($A107=1,$B107="",$A107+J$3&gt;340),"",IF(INDEX($B$5:$B$344,$A107+J$3)="","",IF(AND(YEAR($B107)=$B$2,YEAR(INDEX($B$5:$B$344,$A107+J$3-1))=$B$2),INDEX($B$5:$B$344,$A107+J$3)-INDEX($B$5:$B$344,$A107-1)-1,"")))</f>
        <v/>
      </c>
      <c r="K107" s="11">
        <f>IF(OR($A107=1,$B107="",$A107+K$3&gt;340),"",IF(INDEX($B$5:$B$344,$A107+K$3)="","",IF(AND(YEAR($B107)=$B$2,YEAR(INDEX($B$5:$B$344,$A107+K$3-1))=$B$2),INDEX($B$5:$B$344,$A107+K$3)-INDEX($B$5:$B$344,$A107-1)-1,"")))</f>
        <v/>
      </c>
      <c r="L107" s="11">
        <f>IF(OR($A107=1,$B107="",$A107+L$3&gt;340),"",IF(INDEX($B$5:$B$344,$A107+L$3)="","",IF(AND(YEAR($B107)=$B$2,YEAR(INDEX($B$5:$B$344,$A107+L$3-1))=$B$2),INDEX($B$5:$B$344,$A107+L$3)-INDEX($B$5:$B$344,$A107-1)-1,"")))</f>
        <v/>
      </c>
      <c r="M107" s="11">
        <f>IF(OR($A107=1,$B107="",$A107+M$3&gt;340),"",IF(INDEX($B$5:$B$344,$A107+M$3)="","",IF(AND(YEAR($B107)=$B$2,YEAR(INDEX($B$5:$B$344,$A107+M$3-1))=$B$2),INDEX($B$5:$B$344,$A107+M$3)-INDEX($B$5:$B$344,$A107-1)-1,"")))</f>
        <v/>
      </c>
    </row>
    <row r="108">
      <c r="A108" s="11" t="n">
        <v>104</v>
      </c>
      <c r="B108" s="10">
        <f>IFERROR(INDEX('2_暦'!$A$7:$A$433,MATCH(A108,'2_暦'!$K$7:$K$433,0)),"")</f>
        <v/>
      </c>
      <c r="C108" s="11">
        <f>IF(OR($A108=1,$B108=""),"",IF(OR(YEAR($B108-1)=$B$2,YEAR(INDEX($B$5:$B$344,$A108-1)+1)=$B$2),$B108-INDEX($B$5:$B$344,$A108-1)-1,""))</f>
        <v/>
      </c>
      <c r="D108" s="11">
        <f>IF(OR($A108=1,$B108="",$A108+D$3&gt;340),"",IF(INDEX($B$5:$B$344,$A108+D$3)="","",IF(AND(YEAR($B108)=$B$2,YEAR(INDEX($B$5:$B$344,$A108+D$3-1))=$B$2),INDEX($B$5:$B$344,$A108+D$3)-INDEX($B$5:$B$344,$A108-1)-1,"")))</f>
        <v/>
      </c>
      <c r="E108" s="11">
        <f>IF(OR($A108=1,$B108="",$A108+E$3&gt;340),"",IF(INDEX($B$5:$B$344,$A108+E$3)="","",IF(AND(YEAR($B108)=$B$2,YEAR(INDEX($B$5:$B$344,$A108+E$3-1))=$B$2),INDEX($B$5:$B$344,$A108+E$3)-INDEX($B$5:$B$344,$A108-1)-1,"")))</f>
        <v/>
      </c>
      <c r="F108" s="11">
        <f>IF(OR($A108=1,$B108="",$A108+F$3&gt;340),"",IF(INDEX($B$5:$B$344,$A108+F$3)="","",IF(AND(YEAR($B108)=$B$2,YEAR(INDEX($B$5:$B$344,$A108+F$3-1))=$B$2),INDEX($B$5:$B$344,$A108+F$3)-INDEX($B$5:$B$344,$A108-1)-1,"")))</f>
        <v/>
      </c>
      <c r="G108" s="11">
        <f>IF(OR($A108=1,$B108="",$A108+G$3&gt;340),"",IF(INDEX($B$5:$B$344,$A108+G$3)="","",IF(AND(YEAR($B108)=$B$2,YEAR(INDEX($B$5:$B$344,$A108+G$3-1))=$B$2),INDEX($B$5:$B$344,$A108+G$3)-INDEX($B$5:$B$344,$A108-1)-1,"")))</f>
        <v/>
      </c>
      <c r="H108" s="11">
        <f>IF(OR($A108=1,$B108="",$A108+H$3&gt;340),"",IF(INDEX($B$5:$B$344,$A108+H$3)="","",IF(AND(YEAR($B108)=$B$2,YEAR(INDEX($B$5:$B$344,$A108+H$3-1))=$B$2),INDEX($B$5:$B$344,$A108+H$3)-INDEX($B$5:$B$344,$A108-1)-1,"")))</f>
        <v/>
      </c>
      <c r="I108" s="11">
        <f>IF(OR($A108=1,$B108="",$A108+I$3&gt;340),"",IF(INDEX($B$5:$B$344,$A108+I$3)="","",IF(AND(YEAR($B108)=$B$2,YEAR(INDEX($B$5:$B$344,$A108+I$3-1))=$B$2),INDEX($B$5:$B$344,$A108+I$3)-INDEX($B$5:$B$344,$A108-1)-1,"")))</f>
        <v/>
      </c>
      <c r="J108" s="11">
        <f>IF(OR($A108=1,$B108="",$A108+J$3&gt;340),"",IF(INDEX($B$5:$B$344,$A108+J$3)="","",IF(AND(YEAR($B108)=$B$2,YEAR(INDEX($B$5:$B$344,$A108+J$3-1))=$B$2),INDEX($B$5:$B$344,$A108+J$3)-INDEX($B$5:$B$344,$A108-1)-1,"")))</f>
        <v/>
      </c>
      <c r="K108" s="11">
        <f>IF(OR($A108=1,$B108="",$A108+K$3&gt;340),"",IF(INDEX($B$5:$B$344,$A108+K$3)="","",IF(AND(YEAR($B108)=$B$2,YEAR(INDEX($B$5:$B$344,$A108+K$3-1))=$B$2),INDEX($B$5:$B$344,$A108+K$3)-INDEX($B$5:$B$344,$A108-1)-1,"")))</f>
        <v/>
      </c>
      <c r="L108" s="11">
        <f>IF(OR($A108=1,$B108="",$A108+L$3&gt;340),"",IF(INDEX($B$5:$B$344,$A108+L$3)="","",IF(AND(YEAR($B108)=$B$2,YEAR(INDEX($B$5:$B$344,$A108+L$3-1))=$B$2),INDEX($B$5:$B$344,$A108+L$3)-INDEX($B$5:$B$344,$A108-1)-1,"")))</f>
        <v/>
      </c>
      <c r="M108" s="11">
        <f>IF(OR($A108=1,$B108="",$A108+M$3&gt;340),"",IF(INDEX($B$5:$B$344,$A108+M$3)="","",IF(AND(YEAR($B108)=$B$2,YEAR(INDEX($B$5:$B$344,$A108+M$3-1))=$B$2),INDEX($B$5:$B$344,$A108+M$3)-INDEX($B$5:$B$344,$A108-1)-1,"")))</f>
        <v/>
      </c>
    </row>
    <row r="109">
      <c r="A109" s="11" t="n">
        <v>105</v>
      </c>
      <c r="B109" s="10">
        <f>IFERROR(INDEX('2_暦'!$A$7:$A$433,MATCH(A109,'2_暦'!$K$7:$K$433,0)),"")</f>
        <v/>
      </c>
      <c r="C109" s="11">
        <f>IF(OR($A109=1,$B109=""),"",IF(OR(YEAR($B109-1)=$B$2,YEAR(INDEX($B$5:$B$344,$A109-1)+1)=$B$2),$B109-INDEX($B$5:$B$344,$A109-1)-1,""))</f>
        <v/>
      </c>
      <c r="D109" s="11">
        <f>IF(OR($A109=1,$B109="",$A109+D$3&gt;340),"",IF(INDEX($B$5:$B$344,$A109+D$3)="","",IF(AND(YEAR($B109)=$B$2,YEAR(INDEX($B$5:$B$344,$A109+D$3-1))=$B$2),INDEX($B$5:$B$344,$A109+D$3)-INDEX($B$5:$B$344,$A109-1)-1,"")))</f>
        <v/>
      </c>
      <c r="E109" s="11">
        <f>IF(OR($A109=1,$B109="",$A109+E$3&gt;340),"",IF(INDEX($B$5:$B$344,$A109+E$3)="","",IF(AND(YEAR($B109)=$B$2,YEAR(INDEX($B$5:$B$344,$A109+E$3-1))=$B$2),INDEX($B$5:$B$344,$A109+E$3)-INDEX($B$5:$B$344,$A109-1)-1,"")))</f>
        <v/>
      </c>
      <c r="F109" s="11">
        <f>IF(OR($A109=1,$B109="",$A109+F$3&gt;340),"",IF(INDEX($B$5:$B$344,$A109+F$3)="","",IF(AND(YEAR($B109)=$B$2,YEAR(INDEX($B$5:$B$344,$A109+F$3-1))=$B$2),INDEX($B$5:$B$344,$A109+F$3)-INDEX($B$5:$B$344,$A109-1)-1,"")))</f>
        <v/>
      </c>
      <c r="G109" s="11">
        <f>IF(OR($A109=1,$B109="",$A109+G$3&gt;340),"",IF(INDEX($B$5:$B$344,$A109+G$3)="","",IF(AND(YEAR($B109)=$B$2,YEAR(INDEX($B$5:$B$344,$A109+G$3-1))=$B$2),INDEX($B$5:$B$344,$A109+G$3)-INDEX($B$5:$B$344,$A109-1)-1,"")))</f>
        <v/>
      </c>
      <c r="H109" s="11">
        <f>IF(OR($A109=1,$B109="",$A109+H$3&gt;340),"",IF(INDEX($B$5:$B$344,$A109+H$3)="","",IF(AND(YEAR($B109)=$B$2,YEAR(INDEX($B$5:$B$344,$A109+H$3-1))=$B$2),INDEX($B$5:$B$344,$A109+H$3)-INDEX($B$5:$B$344,$A109-1)-1,"")))</f>
        <v/>
      </c>
      <c r="I109" s="11">
        <f>IF(OR($A109=1,$B109="",$A109+I$3&gt;340),"",IF(INDEX($B$5:$B$344,$A109+I$3)="","",IF(AND(YEAR($B109)=$B$2,YEAR(INDEX($B$5:$B$344,$A109+I$3-1))=$B$2),INDEX($B$5:$B$344,$A109+I$3)-INDEX($B$5:$B$344,$A109-1)-1,"")))</f>
        <v/>
      </c>
      <c r="J109" s="11">
        <f>IF(OR($A109=1,$B109="",$A109+J$3&gt;340),"",IF(INDEX($B$5:$B$344,$A109+J$3)="","",IF(AND(YEAR($B109)=$B$2,YEAR(INDEX($B$5:$B$344,$A109+J$3-1))=$B$2),INDEX($B$5:$B$344,$A109+J$3)-INDEX($B$5:$B$344,$A109-1)-1,"")))</f>
        <v/>
      </c>
      <c r="K109" s="11">
        <f>IF(OR($A109=1,$B109="",$A109+K$3&gt;340),"",IF(INDEX($B$5:$B$344,$A109+K$3)="","",IF(AND(YEAR($B109)=$B$2,YEAR(INDEX($B$5:$B$344,$A109+K$3-1))=$B$2),INDEX($B$5:$B$344,$A109+K$3)-INDEX($B$5:$B$344,$A109-1)-1,"")))</f>
        <v/>
      </c>
      <c r="L109" s="11">
        <f>IF(OR($A109=1,$B109="",$A109+L$3&gt;340),"",IF(INDEX($B$5:$B$344,$A109+L$3)="","",IF(AND(YEAR($B109)=$B$2,YEAR(INDEX($B$5:$B$344,$A109+L$3-1))=$B$2),INDEX($B$5:$B$344,$A109+L$3)-INDEX($B$5:$B$344,$A109-1)-1,"")))</f>
        <v/>
      </c>
      <c r="M109" s="11">
        <f>IF(OR($A109=1,$B109="",$A109+M$3&gt;340),"",IF(INDEX($B$5:$B$344,$A109+M$3)="","",IF(AND(YEAR($B109)=$B$2,YEAR(INDEX($B$5:$B$344,$A109+M$3-1))=$B$2),INDEX($B$5:$B$344,$A109+M$3)-INDEX($B$5:$B$344,$A109-1)-1,"")))</f>
        <v/>
      </c>
    </row>
    <row r="110">
      <c r="A110" s="11" t="n">
        <v>106</v>
      </c>
      <c r="B110" s="10">
        <f>IFERROR(INDEX('2_暦'!$A$7:$A$433,MATCH(A110,'2_暦'!$K$7:$K$433,0)),"")</f>
        <v/>
      </c>
      <c r="C110" s="11">
        <f>IF(OR($A110=1,$B110=""),"",IF(OR(YEAR($B110-1)=$B$2,YEAR(INDEX($B$5:$B$344,$A110-1)+1)=$B$2),$B110-INDEX($B$5:$B$344,$A110-1)-1,""))</f>
        <v/>
      </c>
      <c r="D110" s="11">
        <f>IF(OR($A110=1,$B110="",$A110+D$3&gt;340),"",IF(INDEX($B$5:$B$344,$A110+D$3)="","",IF(AND(YEAR($B110)=$B$2,YEAR(INDEX($B$5:$B$344,$A110+D$3-1))=$B$2),INDEX($B$5:$B$344,$A110+D$3)-INDEX($B$5:$B$344,$A110-1)-1,"")))</f>
        <v/>
      </c>
      <c r="E110" s="11">
        <f>IF(OR($A110=1,$B110="",$A110+E$3&gt;340),"",IF(INDEX($B$5:$B$344,$A110+E$3)="","",IF(AND(YEAR($B110)=$B$2,YEAR(INDEX($B$5:$B$344,$A110+E$3-1))=$B$2),INDEX($B$5:$B$344,$A110+E$3)-INDEX($B$5:$B$344,$A110-1)-1,"")))</f>
        <v/>
      </c>
      <c r="F110" s="11">
        <f>IF(OR($A110=1,$B110="",$A110+F$3&gt;340),"",IF(INDEX($B$5:$B$344,$A110+F$3)="","",IF(AND(YEAR($B110)=$B$2,YEAR(INDEX($B$5:$B$344,$A110+F$3-1))=$B$2),INDEX($B$5:$B$344,$A110+F$3)-INDEX($B$5:$B$344,$A110-1)-1,"")))</f>
        <v/>
      </c>
      <c r="G110" s="11">
        <f>IF(OR($A110=1,$B110="",$A110+G$3&gt;340),"",IF(INDEX($B$5:$B$344,$A110+G$3)="","",IF(AND(YEAR($B110)=$B$2,YEAR(INDEX($B$5:$B$344,$A110+G$3-1))=$B$2),INDEX($B$5:$B$344,$A110+G$3)-INDEX($B$5:$B$344,$A110-1)-1,"")))</f>
        <v/>
      </c>
      <c r="H110" s="11">
        <f>IF(OR($A110=1,$B110="",$A110+H$3&gt;340),"",IF(INDEX($B$5:$B$344,$A110+H$3)="","",IF(AND(YEAR($B110)=$B$2,YEAR(INDEX($B$5:$B$344,$A110+H$3-1))=$B$2),INDEX($B$5:$B$344,$A110+H$3)-INDEX($B$5:$B$344,$A110-1)-1,"")))</f>
        <v/>
      </c>
      <c r="I110" s="11">
        <f>IF(OR($A110=1,$B110="",$A110+I$3&gt;340),"",IF(INDEX($B$5:$B$344,$A110+I$3)="","",IF(AND(YEAR($B110)=$B$2,YEAR(INDEX($B$5:$B$344,$A110+I$3-1))=$B$2),INDEX($B$5:$B$344,$A110+I$3)-INDEX($B$5:$B$344,$A110-1)-1,"")))</f>
        <v/>
      </c>
      <c r="J110" s="11">
        <f>IF(OR($A110=1,$B110="",$A110+J$3&gt;340),"",IF(INDEX($B$5:$B$344,$A110+J$3)="","",IF(AND(YEAR($B110)=$B$2,YEAR(INDEX($B$5:$B$344,$A110+J$3-1))=$B$2),INDEX($B$5:$B$344,$A110+J$3)-INDEX($B$5:$B$344,$A110-1)-1,"")))</f>
        <v/>
      </c>
      <c r="K110" s="11">
        <f>IF(OR($A110=1,$B110="",$A110+K$3&gt;340),"",IF(INDEX($B$5:$B$344,$A110+K$3)="","",IF(AND(YEAR($B110)=$B$2,YEAR(INDEX($B$5:$B$344,$A110+K$3-1))=$B$2),INDEX($B$5:$B$344,$A110+K$3)-INDEX($B$5:$B$344,$A110-1)-1,"")))</f>
        <v/>
      </c>
      <c r="L110" s="11">
        <f>IF(OR($A110=1,$B110="",$A110+L$3&gt;340),"",IF(INDEX($B$5:$B$344,$A110+L$3)="","",IF(AND(YEAR($B110)=$B$2,YEAR(INDEX($B$5:$B$344,$A110+L$3-1))=$B$2),INDEX($B$5:$B$344,$A110+L$3)-INDEX($B$5:$B$344,$A110-1)-1,"")))</f>
        <v/>
      </c>
      <c r="M110" s="11">
        <f>IF(OR($A110=1,$B110="",$A110+M$3&gt;340),"",IF(INDEX($B$5:$B$344,$A110+M$3)="","",IF(AND(YEAR($B110)=$B$2,YEAR(INDEX($B$5:$B$344,$A110+M$3-1))=$B$2),INDEX($B$5:$B$344,$A110+M$3)-INDEX($B$5:$B$344,$A110-1)-1,"")))</f>
        <v/>
      </c>
    </row>
    <row r="111">
      <c r="A111" s="11" t="n">
        <v>107</v>
      </c>
      <c r="B111" s="10">
        <f>IFERROR(INDEX('2_暦'!$A$7:$A$433,MATCH(A111,'2_暦'!$K$7:$K$433,0)),"")</f>
        <v/>
      </c>
      <c r="C111" s="11">
        <f>IF(OR($A111=1,$B111=""),"",IF(OR(YEAR($B111-1)=$B$2,YEAR(INDEX($B$5:$B$344,$A111-1)+1)=$B$2),$B111-INDEX($B$5:$B$344,$A111-1)-1,""))</f>
        <v/>
      </c>
      <c r="D111" s="11">
        <f>IF(OR($A111=1,$B111="",$A111+D$3&gt;340),"",IF(INDEX($B$5:$B$344,$A111+D$3)="","",IF(AND(YEAR($B111)=$B$2,YEAR(INDEX($B$5:$B$344,$A111+D$3-1))=$B$2),INDEX($B$5:$B$344,$A111+D$3)-INDEX($B$5:$B$344,$A111-1)-1,"")))</f>
        <v/>
      </c>
      <c r="E111" s="11">
        <f>IF(OR($A111=1,$B111="",$A111+E$3&gt;340),"",IF(INDEX($B$5:$B$344,$A111+E$3)="","",IF(AND(YEAR($B111)=$B$2,YEAR(INDEX($B$5:$B$344,$A111+E$3-1))=$B$2),INDEX($B$5:$B$344,$A111+E$3)-INDEX($B$5:$B$344,$A111-1)-1,"")))</f>
        <v/>
      </c>
      <c r="F111" s="11">
        <f>IF(OR($A111=1,$B111="",$A111+F$3&gt;340),"",IF(INDEX($B$5:$B$344,$A111+F$3)="","",IF(AND(YEAR($B111)=$B$2,YEAR(INDEX($B$5:$B$344,$A111+F$3-1))=$B$2),INDEX($B$5:$B$344,$A111+F$3)-INDEX($B$5:$B$344,$A111-1)-1,"")))</f>
        <v/>
      </c>
      <c r="G111" s="11">
        <f>IF(OR($A111=1,$B111="",$A111+G$3&gt;340),"",IF(INDEX($B$5:$B$344,$A111+G$3)="","",IF(AND(YEAR($B111)=$B$2,YEAR(INDEX($B$5:$B$344,$A111+G$3-1))=$B$2),INDEX($B$5:$B$344,$A111+G$3)-INDEX($B$5:$B$344,$A111-1)-1,"")))</f>
        <v/>
      </c>
      <c r="H111" s="11">
        <f>IF(OR($A111=1,$B111="",$A111+H$3&gt;340),"",IF(INDEX($B$5:$B$344,$A111+H$3)="","",IF(AND(YEAR($B111)=$B$2,YEAR(INDEX($B$5:$B$344,$A111+H$3-1))=$B$2),INDEX($B$5:$B$344,$A111+H$3)-INDEX($B$5:$B$344,$A111-1)-1,"")))</f>
        <v/>
      </c>
      <c r="I111" s="11">
        <f>IF(OR($A111=1,$B111="",$A111+I$3&gt;340),"",IF(INDEX($B$5:$B$344,$A111+I$3)="","",IF(AND(YEAR($B111)=$B$2,YEAR(INDEX($B$5:$B$344,$A111+I$3-1))=$B$2),INDEX($B$5:$B$344,$A111+I$3)-INDEX($B$5:$B$344,$A111-1)-1,"")))</f>
        <v/>
      </c>
      <c r="J111" s="11">
        <f>IF(OR($A111=1,$B111="",$A111+J$3&gt;340),"",IF(INDEX($B$5:$B$344,$A111+J$3)="","",IF(AND(YEAR($B111)=$B$2,YEAR(INDEX($B$5:$B$344,$A111+J$3-1))=$B$2),INDEX($B$5:$B$344,$A111+J$3)-INDEX($B$5:$B$344,$A111-1)-1,"")))</f>
        <v/>
      </c>
      <c r="K111" s="11">
        <f>IF(OR($A111=1,$B111="",$A111+K$3&gt;340),"",IF(INDEX($B$5:$B$344,$A111+K$3)="","",IF(AND(YEAR($B111)=$B$2,YEAR(INDEX($B$5:$B$344,$A111+K$3-1))=$B$2),INDEX($B$5:$B$344,$A111+K$3)-INDEX($B$5:$B$344,$A111-1)-1,"")))</f>
        <v/>
      </c>
      <c r="L111" s="11">
        <f>IF(OR($A111=1,$B111="",$A111+L$3&gt;340),"",IF(INDEX($B$5:$B$344,$A111+L$3)="","",IF(AND(YEAR($B111)=$B$2,YEAR(INDEX($B$5:$B$344,$A111+L$3-1))=$B$2),INDEX($B$5:$B$344,$A111+L$3)-INDEX($B$5:$B$344,$A111-1)-1,"")))</f>
        <v/>
      </c>
      <c r="M111" s="11">
        <f>IF(OR($A111=1,$B111="",$A111+M$3&gt;340),"",IF(INDEX($B$5:$B$344,$A111+M$3)="","",IF(AND(YEAR($B111)=$B$2,YEAR(INDEX($B$5:$B$344,$A111+M$3-1))=$B$2),INDEX($B$5:$B$344,$A111+M$3)-INDEX($B$5:$B$344,$A111-1)-1,"")))</f>
        <v/>
      </c>
    </row>
    <row r="112">
      <c r="A112" s="11" t="n">
        <v>108</v>
      </c>
      <c r="B112" s="10">
        <f>IFERROR(INDEX('2_暦'!$A$7:$A$433,MATCH(A112,'2_暦'!$K$7:$K$433,0)),"")</f>
        <v/>
      </c>
      <c r="C112" s="11">
        <f>IF(OR($A112=1,$B112=""),"",IF(OR(YEAR($B112-1)=$B$2,YEAR(INDEX($B$5:$B$344,$A112-1)+1)=$B$2),$B112-INDEX($B$5:$B$344,$A112-1)-1,""))</f>
        <v/>
      </c>
      <c r="D112" s="11">
        <f>IF(OR($A112=1,$B112="",$A112+D$3&gt;340),"",IF(INDEX($B$5:$B$344,$A112+D$3)="","",IF(AND(YEAR($B112)=$B$2,YEAR(INDEX($B$5:$B$344,$A112+D$3-1))=$B$2),INDEX($B$5:$B$344,$A112+D$3)-INDEX($B$5:$B$344,$A112-1)-1,"")))</f>
        <v/>
      </c>
      <c r="E112" s="11">
        <f>IF(OR($A112=1,$B112="",$A112+E$3&gt;340),"",IF(INDEX($B$5:$B$344,$A112+E$3)="","",IF(AND(YEAR($B112)=$B$2,YEAR(INDEX($B$5:$B$344,$A112+E$3-1))=$B$2),INDEX($B$5:$B$344,$A112+E$3)-INDEX($B$5:$B$344,$A112-1)-1,"")))</f>
        <v/>
      </c>
      <c r="F112" s="11">
        <f>IF(OR($A112=1,$B112="",$A112+F$3&gt;340),"",IF(INDEX($B$5:$B$344,$A112+F$3)="","",IF(AND(YEAR($B112)=$B$2,YEAR(INDEX($B$5:$B$344,$A112+F$3-1))=$B$2),INDEX($B$5:$B$344,$A112+F$3)-INDEX($B$5:$B$344,$A112-1)-1,"")))</f>
        <v/>
      </c>
      <c r="G112" s="11">
        <f>IF(OR($A112=1,$B112="",$A112+G$3&gt;340),"",IF(INDEX($B$5:$B$344,$A112+G$3)="","",IF(AND(YEAR($B112)=$B$2,YEAR(INDEX($B$5:$B$344,$A112+G$3-1))=$B$2),INDEX($B$5:$B$344,$A112+G$3)-INDEX($B$5:$B$344,$A112-1)-1,"")))</f>
        <v/>
      </c>
      <c r="H112" s="11">
        <f>IF(OR($A112=1,$B112="",$A112+H$3&gt;340),"",IF(INDEX($B$5:$B$344,$A112+H$3)="","",IF(AND(YEAR($B112)=$B$2,YEAR(INDEX($B$5:$B$344,$A112+H$3-1))=$B$2),INDEX($B$5:$B$344,$A112+H$3)-INDEX($B$5:$B$344,$A112-1)-1,"")))</f>
        <v/>
      </c>
      <c r="I112" s="11">
        <f>IF(OR($A112=1,$B112="",$A112+I$3&gt;340),"",IF(INDEX($B$5:$B$344,$A112+I$3)="","",IF(AND(YEAR($B112)=$B$2,YEAR(INDEX($B$5:$B$344,$A112+I$3-1))=$B$2),INDEX($B$5:$B$344,$A112+I$3)-INDEX($B$5:$B$344,$A112-1)-1,"")))</f>
        <v/>
      </c>
      <c r="J112" s="11">
        <f>IF(OR($A112=1,$B112="",$A112+J$3&gt;340),"",IF(INDEX($B$5:$B$344,$A112+J$3)="","",IF(AND(YEAR($B112)=$B$2,YEAR(INDEX($B$5:$B$344,$A112+J$3-1))=$B$2),INDEX($B$5:$B$344,$A112+J$3)-INDEX($B$5:$B$344,$A112-1)-1,"")))</f>
        <v/>
      </c>
      <c r="K112" s="11">
        <f>IF(OR($A112=1,$B112="",$A112+K$3&gt;340),"",IF(INDEX($B$5:$B$344,$A112+K$3)="","",IF(AND(YEAR($B112)=$B$2,YEAR(INDEX($B$5:$B$344,$A112+K$3-1))=$B$2),INDEX($B$5:$B$344,$A112+K$3)-INDEX($B$5:$B$344,$A112-1)-1,"")))</f>
        <v/>
      </c>
      <c r="L112" s="11">
        <f>IF(OR($A112=1,$B112="",$A112+L$3&gt;340),"",IF(INDEX($B$5:$B$344,$A112+L$3)="","",IF(AND(YEAR($B112)=$B$2,YEAR(INDEX($B$5:$B$344,$A112+L$3-1))=$B$2),INDEX($B$5:$B$344,$A112+L$3)-INDEX($B$5:$B$344,$A112-1)-1,"")))</f>
        <v/>
      </c>
      <c r="M112" s="11">
        <f>IF(OR($A112=1,$B112="",$A112+M$3&gt;340),"",IF(INDEX($B$5:$B$344,$A112+M$3)="","",IF(AND(YEAR($B112)=$B$2,YEAR(INDEX($B$5:$B$344,$A112+M$3-1))=$B$2),INDEX($B$5:$B$344,$A112+M$3)-INDEX($B$5:$B$344,$A112-1)-1,"")))</f>
        <v/>
      </c>
    </row>
    <row r="113">
      <c r="A113" s="11" t="n">
        <v>109</v>
      </c>
      <c r="B113" s="10">
        <f>IFERROR(INDEX('2_暦'!$A$7:$A$433,MATCH(A113,'2_暦'!$K$7:$K$433,0)),"")</f>
        <v/>
      </c>
      <c r="C113" s="11">
        <f>IF(OR($A113=1,$B113=""),"",IF(OR(YEAR($B113-1)=$B$2,YEAR(INDEX($B$5:$B$344,$A113-1)+1)=$B$2),$B113-INDEX($B$5:$B$344,$A113-1)-1,""))</f>
        <v/>
      </c>
      <c r="D113" s="11">
        <f>IF(OR($A113=1,$B113="",$A113+D$3&gt;340),"",IF(INDEX($B$5:$B$344,$A113+D$3)="","",IF(AND(YEAR($B113)=$B$2,YEAR(INDEX($B$5:$B$344,$A113+D$3-1))=$B$2),INDEX($B$5:$B$344,$A113+D$3)-INDEX($B$5:$B$344,$A113-1)-1,"")))</f>
        <v/>
      </c>
      <c r="E113" s="11">
        <f>IF(OR($A113=1,$B113="",$A113+E$3&gt;340),"",IF(INDEX($B$5:$B$344,$A113+E$3)="","",IF(AND(YEAR($B113)=$B$2,YEAR(INDEX($B$5:$B$344,$A113+E$3-1))=$B$2),INDEX($B$5:$B$344,$A113+E$3)-INDEX($B$5:$B$344,$A113-1)-1,"")))</f>
        <v/>
      </c>
      <c r="F113" s="11">
        <f>IF(OR($A113=1,$B113="",$A113+F$3&gt;340),"",IF(INDEX($B$5:$B$344,$A113+F$3)="","",IF(AND(YEAR($B113)=$B$2,YEAR(INDEX($B$5:$B$344,$A113+F$3-1))=$B$2),INDEX($B$5:$B$344,$A113+F$3)-INDEX($B$5:$B$344,$A113-1)-1,"")))</f>
        <v/>
      </c>
      <c r="G113" s="11">
        <f>IF(OR($A113=1,$B113="",$A113+G$3&gt;340),"",IF(INDEX($B$5:$B$344,$A113+G$3)="","",IF(AND(YEAR($B113)=$B$2,YEAR(INDEX($B$5:$B$344,$A113+G$3-1))=$B$2),INDEX($B$5:$B$344,$A113+G$3)-INDEX($B$5:$B$344,$A113-1)-1,"")))</f>
        <v/>
      </c>
      <c r="H113" s="11">
        <f>IF(OR($A113=1,$B113="",$A113+H$3&gt;340),"",IF(INDEX($B$5:$B$344,$A113+H$3)="","",IF(AND(YEAR($B113)=$B$2,YEAR(INDEX($B$5:$B$344,$A113+H$3-1))=$B$2),INDEX($B$5:$B$344,$A113+H$3)-INDEX($B$5:$B$344,$A113-1)-1,"")))</f>
        <v/>
      </c>
      <c r="I113" s="11">
        <f>IF(OR($A113=1,$B113="",$A113+I$3&gt;340),"",IF(INDEX($B$5:$B$344,$A113+I$3)="","",IF(AND(YEAR($B113)=$B$2,YEAR(INDEX($B$5:$B$344,$A113+I$3-1))=$B$2),INDEX($B$5:$B$344,$A113+I$3)-INDEX($B$5:$B$344,$A113-1)-1,"")))</f>
        <v/>
      </c>
      <c r="J113" s="11">
        <f>IF(OR($A113=1,$B113="",$A113+J$3&gt;340),"",IF(INDEX($B$5:$B$344,$A113+J$3)="","",IF(AND(YEAR($B113)=$B$2,YEAR(INDEX($B$5:$B$344,$A113+J$3-1))=$B$2),INDEX($B$5:$B$344,$A113+J$3)-INDEX($B$5:$B$344,$A113-1)-1,"")))</f>
        <v/>
      </c>
      <c r="K113" s="11">
        <f>IF(OR($A113=1,$B113="",$A113+K$3&gt;340),"",IF(INDEX($B$5:$B$344,$A113+K$3)="","",IF(AND(YEAR($B113)=$B$2,YEAR(INDEX($B$5:$B$344,$A113+K$3-1))=$B$2),INDEX($B$5:$B$344,$A113+K$3)-INDEX($B$5:$B$344,$A113-1)-1,"")))</f>
        <v/>
      </c>
      <c r="L113" s="11">
        <f>IF(OR($A113=1,$B113="",$A113+L$3&gt;340),"",IF(INDEX($B$5:$B$344,$A113+L$3)="","",IF(AND(YEAR($B113)=$B$2,YEAR(INDEX($B$5:$B$344,$A113+L$3-1))=$B$2),INDEX($B$5:$B$344,$A113+L$3)-INDEX($B$5:$B$344,$A113-1)-1,"")))</f>
        <v/>
      </c>
      <c r="M113" s="11">
        <f>IF(OR($A113=1,$B113="",$A113+M$3&gt;340),"",IF(INDEX($B$5:$B$344,$A113+M$3)="","",IF(AND(YEAR($B113)=$B$2,YEAR(INDEX($B$5:$B$344,$A113+M$3-1))=$B$2),INDEX($B$5:$B$344,$A113+M$3)-INDEX($B$5:$B$344,$A113-1)-1,"")))</f>
        <v/>
      </c>
    </row>
    <row r="114">
      <c r="A114" s="11" t="n">
        <v>110</v>
      </c>
      <c r="B114" s="10">
        <f>IFERROR(INDEX('2_暦'!$A$7:$A$433,MATCH(A114,'2_暦'!$K$7:$K$433,0)),"")</f>
        <v/>
      </c>
      <c r="C114" s="11">
        <f>IF(OR($A114=1,$B114=""),"",IF(OR(YEAR($B114-1)=$B$2,YEAR(INDEX($B$5:$B$344,$A114-1)+1)=$B$2),$B114-INDEX($B$5:$B$344,$A114-1)-1,""))</f>
        <v/>
      </c>
      <c r="D114" s="11">
        <f>IF(OR($A114=1,$B114="",$A114+D$3&gt;340),"",IF(INDEX($B$5:$B$344,$A114+D$3)="","",IF(AND(YEAR($B114)=$B$2,YEAR(INDEX($B$5:$B$344,$A114+D$3-1))=$B$2),INDEX($B$5:$B$344,$A114+D$3)-INDEX($B$5:$B$344,$A114-1)-1,"")))</f>
        <v/>
      </c>
      <c r="E114" s="11">
        <f>IF(OR($A114=1,$B114="",$A114+E$3&gt;340),"",IF(INDEX($B$5:$B$344,$A114+E$3)="","",IF(AND(YEAR($B114)=$B$2,YEAR(INDEX($B$5:$B$344,$A114+E$3-1))=$B$2),INDEX($B$5:$B$344,$A114+E$3)-INDEX($B$5:$B$344,$A114-1)-1,"")))</f>
        <v/>
      </c>
      <c r="F114" s="11">
        <f>IF(OR($A114=1,$B114="",$A114+F$3&gt;340),"",IF(INDEX($B$5:$B$344,$A114+F$3)="","",IF(AND(YEAR($B114)=$B$2,YEAR(INDEX($B$5:$B$344,$A114+F$3-1))=$B$2),INDEX($B$5:$B$344,$A114+F$3)-INDEX($B$5:$B$344,$A114-1)-1,"")))</f>
        <v/>
      </c>
      <c r="G114" s="11">
        <f>IF(OR($A114=1,$B114="",$A114+G$3&gt;340),"",IF(INDEX($B$5:$B$344,$A114+G$3)="","",IF(AND(YEAR($B114)=$B$2,YEAR(INDEX($B$5:$B$344,$A114+G$3-1))=$B$2),INDEX($B$5:$B$344,$A114+G$3)-INDEX($B$5:$B$344,$A114-1)-1,"")))</f>
        <v/>
      </c>
      <c r="H114" s="11">
        <f>IF(OR($A114=1,$B114="",$A114+H$3&gt;340),"",IF(INDEX($B$5:$B$344,$A114+H$3)="","",IF(AND(YEAR($B114)=$B$2,YEAR(INDEX($B$5:$B$344,$A114+H$3-1))=$B$2),INDEX($B$5:$B$344,$A114+H$3)-INDEX($B$5:$B$344,$A114-1)-1,"")))</f>
        <v/>
      </c>
      <c r="I114" s="11">
        <f>IF(OR($A114=1,$B114="",$A114+I$3&gt;340),"",IF(INDEX($B$5:$B$344,$A114+I$3)="","",IF(AND(YEAR($B114)=$B$2,YEAR(INDEX($B$5:$B$344,$A114+I$3-1))=$B$2),INDEX($B$5:$B$344,$A114+I$3)-INDEX($B$5:$B$344,$A114-1)-1,"")))</f>
        <v/>
      </c>
      <c r="J114" s="11">
        <f>IF(OR($A114=1,$B114="",$A114+J$3&gt;340),"",IF(INDEX($B$5:$B$344,$A114+J$3)="","",IF(AND(YEAR($B114)=$B$2,YEAR(INDEX($B$5:$B$344,$A114+J$3-1))=$B$2),INDEX($B$5:$B$344,$A114+J$3)-INDEX($B$5:$B$344,$A114-1)-1,"")))</f>
        <v/>
      </c>
      <c r="K114" s="11">
        <f>IF(OR($A114=1,$B114="",$A114+K$3&gt;340),"",IF(INDEX($B$5:$B$344,$A114+K$3)="","",IF(AND(YEAR($B114)=$B$2,YEAR(INDEX($B$5:$B$344,$A114+K$3-1))=$B$2),INDEX($B$5:$B$344,$A114+K$3)-INDEX($B$5:$B$344,$A114-1)-1,"")))</f>
        <v/>
      </c>
      <c r="L114" s="11">
        <f>IF(OR($A114=1,$B114="",$A114+L$3&gt;340),"",IF(INDEX($B$5:$B$344,$A114+L$3)="","",IF(AND(YEAR($B114)=$B$2,YEAR(INDEX($B$5:$B$344,$A114+L$3-1))=$B$2),INDEX($B$5:$B$344,$A114+L$3)-INDEX($B$5:$B$344,$A114-1)-1,"")))</f>
        <v/>
      </c>
      <c r="M114" s="11">
        <f>IF(OR($A114=1,$B114="",$A114+M$3&gt;340),"",IF(INDEX($B$5:$B$344,$A114+M$3)="","",IF(AND(YEAR($B114)=$B$2,YEAR(INDEX($B$5:$B$344,$A114+M$3-1))=$B$2),INDEX($B$5:$B$344,$A114+M$3)-INDEX($B$5:$B$344,$A114-1)-1,"")))</f>
        <v/>
      </c>
    </row>
    <row r="115">
      <c r="A115" s="11" t="n">
        <v>111</v>
      </c>
      <c r="B115" s="10">
        <f>IFERROR(INDEX('2_暦'!$A$7:$A$433,MATCH(A115,'2_暦'!$K$7:$K$433,0)),"")</f>
        <v/>
      </c>
      <c r="C115" s="11">
        <f>IF(OR($A115=1,$B115=""),"",IF(OR(YEAR($B115-1)=$B$2,YEAR(INDEX($B$5:$B$344,$A115-1)+1)=$B$2),$B115-INDEX($B$5:$B$344,$A115-1)-1,""))</f>
        <v/>
      </c>
      <c r="D115" s="11">
        <f>IF(OR($A115=1,$B115="",$A115+D$3&gt;340),"",IF(INDEX($B$5:$B$344,$A115+D$3)="","",IF(AND(YEAR($B115)=$B$2,YEAR(INDEX($B$5:$B$344,$A115+D$3-1))=$B$2),INDEX($B$5:$B$344,$A115+D$3)-INDEX($B$5:$B$344,$A115-1)-1,"")))</f>
        <v/>
      </c>
      <c r="E115" s="11">
        <f>IF(OR($A115=1,$B115="",$A115+E$3&gt;340),"",IF(INDEX($B$5:$B$344,$A115+E$3)="","",IF(AND(YEAR($B115)=$B$2,YEAR(INDEX($B$5:$B$344,$A115+E$3-1))=$B$2),INDEX($B$5:$B$344,$A115+E$3)-INDEX($B$5:$B$344,$A115-1)-1,"")))</f>
        <v/>
      </c>
      <c r="F115" s="11">
        <f>IF(OR($A115=1,$B115="",$A115+F$3&gt;340),"",IF(INDEX($B$5:$B$344,$A115+F$3)="","",IF(AND(YEAR($B115)=$B$2,YEAR(INDEX($B$5:$B$344,$A115+F$3-1))=$B$2),INDEX($B$5:$B$344,$A115+F$3)-INDEX($B$5:$B$344,$A115-1)-1,"")))</f>
        <v/>
      </c>
      <c r="G115" s="11">
        <f>IF(OR($A115=1,$B115="",$A115+G$3&gt;340),"",IF(INDEX($B$5:$B$344,$A115+G$3)="","",IF(AND(YEAR($B115)=$B$2,YEAR(INDEX($B$5:$B$344,$A115+G$3-1))=$B$2),INDEX($B$5:$B$344,$A115+G$3)-INDEX($B$5:$B$344,$A115-1)-1,"")))</f>
        <v/>
      </c>
      <c r="H115" s="11">
        <f>IF(OR($A115=1,$B115="",$A115+H$3&gt;340),"",IF(INDEX($B$5:$B$344,$A115+H$3)="","",IF(AND(YEAR($B115)=$B$2,YEAR(INDEX($B$5:$B$344,$A115+H$3-1))=$B$2),INDEX($B$5:$B$344,$A115+H$3)-INDEX($B$5:$B$344,$A115-1)-1,"")))</f>
        <v/>
      </c>
      <c r="I115" s="11">
        <f>IF(OR($A115=1,$B115="",$A115+I$3&gt;340),"",IF(INDEX($B$5:$B$344,$A115+I$3)="","",IF(AND(YEAR($B115)=$B$2,YEAR(INDEX($B$5:$B$344,$A115+I$3-1))=$B$2),INDEX($B$5:$B$344,$A115+I$3)-INDEX($B$5:$B$344,$A115-1)-1,"")))</f>
        <v/>
      </c>
      <c r="J115" s="11">
        <f>IF(OR($A115=1,$B115="",$A115+J$3&gt;340),"",IF(INDEX($B$5:$B$344,$A115+J$3)="","",IF(AND(YEAR($B115)=$B$2,YEAR(INDEX($B$5:$B$344,$A115+J$3-1))=$B$2),INDEX($B$5:$B$344,$A115+J$3)-INDEX($B$5:$B$344,$A115-1)-1,"")))</f>
        <v/>
      </c>
      <c r="K115" s="11">
        <f>IF(OR($A115=1,$B115="",$A115+K$3&gt;340),"",IF(INDEX($B$5:$B$344,$A115+K$3)="","",IF(AND(YEAR($B115)=$B$2,YEAR(INDEX($B$5:$B$344,$A115+K$3-1))=$B$2),INDEX($B$5:$B$344,$A115+K$3)-INDEX($B$5:$B$344,$A115-1)-1,"")))</f>
        <v/>
      </c>
      <c r="L115" s="11">
        <f>IF(OR($A115=1,$B115="",$A115+L$3&gt;340),"",IF(INDEX($B$5:$B$344,$A115+L$3)="","",IF(AND(YEAR($B115)=$B$2,YEAR(INDEX($B$5:$B$344,$A115+L$3-1))=$B$2),INDEX($B$5:$B$344,$A115+L$3)-INDEX($B$5:$B$344,$A115-1)-1,"")))</f>
        <v/>
      </c>
      <c r="M115" s="11">
        <f>IF(OR($A115=1,$B115="",$A115+M$3&gt;340),"",IF(INDEX($B$5:$B$344,$A115+M$3)="","",IF(AND(YEAR($B115)=$B$2,YEAR(INDEX($B$5:$B$344,$A115+M$3-1))=$B$2),INDEX($B$5:$B$344,$A115+M$3)-INDEX($B$5:$B$344,$A115-1)-1,"")))</f>
        <v/>
      </c>
    </row>
    <row r="116">
      <c r="A116" s="11" t="n">
        <v>112</v>
      </c>
      <c r="B116" s="10">
        <f>IFERROR(INDEX('2_暦'!$A$7:$A$433,MATCH(A116,'2_暦'!$K$7:$K$433,0)),"")</f>
        <v/>
      </c>
      <c r="C116" s="11">
        <f>IF(OR($A116=1,$B116=""),"",IF(OR(YEAR($B116-1)=$B$2,YEAR(INDEX($B$5:$B$344,$A116-1)+1)=$B$2),$B116-INDEX($B$5:$B$344,$A116-1)-1,""))</f>
        <v/>
      </c>
      <c r="D116" s="11">
        <f>IF(OR($A116=1,$B116="",$A116+D$3&gt;340),"",IF(INDEX($B$5:$B$344,$A116+D$3)="","",IF(AND(YEAR($B116)=$B$2,YEAR(INDEX($B$5:$B$344,$A116+D$3-1))=$B$2),INDEX($B$5:$B$344,$A116+D$3)-INDEX($B$5:$B$344,$A116-1)-1,"")))</f>
        <v/>
      </c>
      <c r="E116" s="11">
        <f>IF(OR($A116=1,$B116="",$A116+E$3&gt;340),"",IF(INDEX($B$5:$B$344,$A116+E$3)="","",IF(AND(YEAR($B116)=$B$2,YEAR(INDEX($B$5:$B$344,$A116+E$3-1))=$B$2),INDEX($B$5:$B$344,$A116+E$3)-INDEX($B$5:$B$344,$A116-1)-1,"")))</f>
        <v/>
      </c>
      <c r="F116" s="11">
        <f>IF(OR($A116=1,$B116="",$A116+F$3&gt;340),"",IF(INDEX($B$5:$B$344,$A116+F$3)="","",IF(AND(YEAR($B116)=$B$2,YEAR(INDEX($B$5:$B$344,$A116+F$3-1))=$B$2),INDEX($B$5:$B$344,$A116+F$3)-INDEX($B$5:$B$344,$A116-1)-1,"")))</f>
        <v/>
      </c>
      <c r="G116" s="11">
        <f>IF(OR($A116=1,$B116="",$A116+G$3&gt;340),"",IF(INDEX($B$5:$B$344,$A116+G$3)="","",IF(AND(YEAR($B116)=$B$2,YEAR(INDEX($B$5:$B$344,$A116+G$3-1))=$B$2),INDEX($B$5:$B$344,$A116+G$3)-INDEX($B$5:$B$344,$A116-1)-1,"")))</f>
        <v/>
      </c>
      <c r="H116" s="11">
        <f>IF(OR($A116=1,$B116="",$A116+H$3&gt;340),"",IF(INDEX($B$5:$B$344,$A116+H$3)="","",IF(AND(YEAR($B116)=$B$2,YEAR(INDEX($B$5:$B$344,$A116+H$3-1))=$B$2),INDEX($B$5:$B$344,$A116+H$3)-INDEX($B$5:$B$344,$A116-1)-1,"")))</f>
        <v/>
      </c>
      <c r="I116" s="11">
        <f>IF(OR($A116=1,$B116="",$A116+I$3&gt;340),"",IF(INDEX($B$5:$B$344,$A116+I$3)="","",IF(AND(YEAR($B116)=$B$2,YEAR(INDEX($B$5:$B$344,$A116+I$3-1))=$B$2),INDEX($B$5:$B$344,$A116+I$3)-INDEX($B$5:$B$344,$A116-1)-1,"")))</f>
        <v/>
      </c>
      <c r="J116" s="11">
        <f>IF(OR($A116=1,$B116="",$A116+J$3&gt;340),"",IF(INDEX($B$5:$B$344,$A116+J$3)="","",IF(AND(YEAR($B116)=$B$2,YEAR(INDEX($B$5:$B$344,$A116+J$3-1))=$B$2),INDEX($B$5:$B$344,$A116+J$3)-INDEX($B$5:$B$344,$A116-1)-1,"")))</f>
        <v/>
      </c>
      <c r="K116" s="11">
        <f>IF(OR($A116=1,$B116="",$A116+K$3&gt;340),"",IF(INDEX($B$5:$B$344,$A116+K$3)="","",IF(AND(YEAR($B116)=$B$2,YEAR(INDEX($B$5:$B$344,$A116+K$3-1))=$B$2),INDEX($B$5:$B$344,$A116+K$3)-INDEX($B$5:$B$344,$A116-1)-1,"")))</f>
        <v/>
      </c>
      <c r="L116" s="11">
        <f>IF(OR($A116=1,$B116="",$A116+L$3&gt;340),"",IF(INDEX($B$5:$B$344,$A116+L$3)="","",IF(AND(YEAR($B116)=$B$2,YEAR(INDEX($B$5:$B$344,$A116+L$3-1))=$B$2),INDEX($B$5:$B$344,$A116+L$3)-INDEX($B$5:$B$344,$A116-1)-1,"")))</f>
        <v/>
      </c>
      <c r="M116" s="11">
        <f>IF(OR($A116=1,$B116="",$A116+M$3&gt;340),"",IF(INDEX($B$5:$B$344,$A116+M$3)="","",IF(AND(YEAR($B116)=$B$2,YEAR(INDEX($B$5:$B$344,$A116+M$3-1))=$B$2),INDEX($B$5:$B$344,$A116+M$3)-INDEX($B$5:$B$344,$A116-1)-1,"")))</f>
        <v/>
      </c>
    </row>
    <row r="117">
      <c r="A117" s="11" t="n">
        <v>113</v>
      </c>
      <c r="B117" s="10">
        <f>IFERROR(INDEX('2_暦'!$A$7:$A$433,MATCH(A117,'2_暦'!$K$7:$K$433,0)),"")</f>
        <v/>
      </c>
      <c r="C117" s="11">
        <f>IF(OR($A117=1,$B117=""),"",IF(OR(YEAR($B117-1)=$B$2,YEAR(INDEX($B$5:$B$344,$A117-1)+1)=$B$2),$B117-INDEX($B$5:$B$344,$A117-1)-1,""))</f>
        <v/>
      </c>
      <c r="D117" s="11">
        <f>IF(OR($A117=1,$B117="",$A117+D$3&gt;340),"",IF(INDEX($B$5:$B$344,$A117+D$3)="","",IF(AND(YEAR($B117)=$B$2,YEAR(INDEX($B$5:$B$344,$A117+D$3-1))=$B$2),INDEX($B$5:$B$344,$A117+D$3)-INDEX($B$5:$B$344,$A117-1)-1,"")))</f>
        <v/>
      </c>
      <c r="E117" s="11">
        <f>IF(OR($A117=1,$B117="",$A117+E$3&gt;340),"",IF(INDEX($B$5:$B$344,$A117+E$3)="","",IF(AND(YEAR($B117)=$B$2,YEAR(INDEX($B$5:$B$344,$A117+E$3-1))=$B$2),INDEX($B$5:$B$344,$A117+E$3)-INDEX($B$5:$B$344,$A117-1)-1,"")))</f>
        <v/>
      </c>
      <c r="F117" s="11">
        <f>IF(OR($A117=1,$B117="",$A117+F$3&gt;340),"",IF(INDEX($B$5:$B$344,$A117+F$3)="","",IF(AND(YEAR($B117)=$B$2,YEAR(INDEX($B$5:$B$344,$A117+F$3-1))=$B$2),INDEX($B$5:$B$344,$A117+F$3)-INDEX($B$5:$B$344,$A117-1)-1,"")))</f>
        <v/>
      </c>
      <c r="G117" s="11">
        <f>IF(OR($A117=1,$B117="",$A117+G$3&gt;340),"",IF(INDEX($B$5:$B$344,$A117+G$3)="","",IF(AND(YEAR($B117)=$B$2,YEAR(INDEX($B$5:$B$344,$A117+G$3-1))=$B$2),INDEX($B$5:$B$344,$A117+G$3)-INDEX($B$5:$B$344,$A117-1)-1,"")))</f>
        <v/>
      </c>
      <c r="H117" s="11">
        <f>IF(OR($A117=1,$B117="",$A117+H$3&gt;340),"",IF(INDEX($B$5:$B$344,$A117+H$3)="","",IF(AND(YEAR($B117)=$B$2,YEAR(INDEX($B$5:$B$344,$A117+H$3-1))=$B$2),INDEX($B$5:$B$344,$A117+H$3)-INDEX($B$5:$B$344,$A117-1)-1,"")))</f>
        <v/>
      </c>
      <c r="I117" s="11">
        <f>IF(OR($A117=1,$B117="",$A117+I$3&gt;340),"",IF(INDEX($B$5:$B$344,$A117+I$3)="","",IF(AND(YEAR($B117)=$B$2,YEAR(INDEX($B$5:$B$344,$A117+I$3-1))=$B$2),INDEX($B$5:$B$344,$A117+I$3)-INDEX($B$5:$B$344,$A117-1)-1,"")))</f>
        <v/>
      </c>
      <c r="J117" s="11">
        <f>IF(OR($A117=1,$B117="",$A117+J$3&gt;340),"",IF(INDEX($B$5:$B$344,$A117+J$3)="","",IF(AND(YEAR($B117)=$B$2,YEAR(INDEX($B$5:$B$344,$A117+J$3-1))=$B$2),INDEX($B$5:$B$344,$A117+J$3)-INDEX($B$5:$B$344,$A117-1)-1,"")))</f>
        <v/>
      </c>
      <c r="K117" s="11">
        <f>IF(OR($A117=1,$B117="",$A117+K$3&gt;340),"",IF(INDEX($B$5:$B$344,$A117+K$3)="","",IF(AND(YEAR($B117)=$B$2,YEAR(INDEX($B$5:$B$344,$A117+K$3-1))=$B$2),INDEX($B$5:$B$344,$A117+K$3)-INDEX($B$5:$B$344,$A117-1)-1,"")))</f>
        <v/>
      </c>
      <c r="L117" s="11">
        <f>IF(OR($A117=1,$B117="",$A117+L$3&gt;340),"",IF(INDEX($B$5:$B$344,$A117+L$3)="","",IF(AND(YEAR($B117)=$B$2,YEAR(INDEX($B$5:$B$344,$A117+L$3-1))=$B$2),INDEX($B$5:$B$344,$A117+L$3)-INDEX($B$5:$B$344,$A117-1)-1,"")))</f>
        <v/>
      </c>
      <c r="M117" s="11">
        <f>IF(OR($A117=1,$B117="",$A117+M$3&gt;340),"",IF(INDEX($B$5:$B$344,$A117+M$3)="","",IF(AND(YEAR($B117)=$B$2,YEAR(INDEX($B$5:$B$344,$A117+M$3-1))=$B$2),INDEX($B$5:$B$344,$A117+M$3)-INDEX($B$5:$B$344,$A117-1)-1,"")))</f>
        <v/>
      </c>
    </row>
    <row r="118">
      <c r="A118" s="11" t="n">
        <v>114</v>
      </c>
      <c r="B118" s="10">
        <f>IFERROR(INDEX('2_暦'!$A$7:$A$433,MATCH(A118,'2_暦'!$K$7:$K$433,0)),"")</f>
        <v/>
      </c>
      <c r="C118" s="11">
        <f>IF(OR($A118=1,$B118=""),"",IF(OR(YEAR($B118-1)=$B$2,YEAR(INDEX($B$5:$B$344,$A118-1)+1)=$B$2),$B118-INDEX($B$5:$B$344,$A118-1)-1,""))</f>
        <v/>
      </c>
      <c r="D118" s="11">
        <f>IF(OR($A118=1,$B118="",$A118+D$3&gt;340),"",IF(INDEX($B$5:$B$344,$A118+D$3)="","",IF(AND(YEAR($B118)=$B$2,YEAR(INDEX($B$5:$B$344,$A118+D$3-1))=$B$2),INDEX($B$5:$B$344,$A118+D$3)-INDEX($B$5:$B$344,$A118-1)-1,"")))</f>
        <v/>
      </c>
      <c r="E118" s="11">
        <f>IF(OR($A118=1,$B118="",$A118+E$3&gt;340),"",IF(INDEX($B$5:$B$344,$A118+E$3)="","",IF(AND(YEAR($B118)=$B$2,YEAR(INDEX($B$5:$B$344,$A118+E$3-1))=$B$2),INDEX($B$5:$B$344,$A118+E$3)-INDEX($B$5:$B$344,$A118-1)-1,"")))</f>
        <v/>
      </c>
      <c r="F118" s="11">
        <f>IF(OR($A118=1,$B118="",$A118+F$3&gt;340),"",IF(INDEX($B$5:$B$344,$A118+F$3)="","",IF(AND(YEAR($B118)=$B$2,YEAR(INDEX($B$5:$B$344,$A118+F$3-1))=$B$2),INDEX($B$5:$B$344,$A118+F$3)-INDEX($B$5:$B$344,$A118-1)-1,"")))</f>
        <v/>
      </c>
      <c r="G118" s="11">
        <f>IF(OR($A118=1,$B118="",$A118+G$3&gt;340),"",IF(INDEX($B$5:$B$344,$A118+G$3)="","",IF(AND(YEAR($B118)=$B$2,YEAR(INDEX($B$5:$B$344,$A118+G$3-1))=$B$2),INDEX($B$5:$B$344,$A118+G$3)-INDEX($B$5:$B$344,$A118-1)-1,"")))</f>
        <v/>
      </c>
      <c r="H118" s="11">
        <f>IF(OR($A118=1,$B118="",$A118+H$3&gt;340),"",IF(INDEX($B$5:$B$344,$A118+H$3)="","",IF(AND(YEAR($B118)=$B$2,YEAR(INDEX($B$5:$B$344,$A118+H$3-1))=$B$2),INDEX($B$5:$B$344,$A118+H$3)-INDEX($B$5:$B$344,$A118-1)-1,"")))</f>
        <v/>
      </c>
      <c r="I118" s="11">
        <f>IF(OR($A118=1,$B118="",$A118+I$3&gt;340),"",IF(INDEX($B$5:$B$344,$A118+I$3)="","",IF(AND(YEAR($B118)=$B$2,YEAR(INDEX($B$5:$B$344,$A118+I$3-1))=$B$2),INDEX($B$5:$B$344,$A118+I$3)-INDEX($B$5:$B$344,$A118-1)-1,"")))</f>
        <v/>
      </c>
      <c r="J118" s="11">
        <f>IF(OR($A118=1,$B118="",$A118+J$3&gt;340),"",IF(INDEX($B$5:$B$344,$A118+J$3)="","",IF(AND(YEAR($B118)=$B$2,YEAR(INDEX($B$5:$B$344,$A118+J$3-1))=$B$2),INDEX($B$5:$B$344,$A118+J$3)-INDEX($B$5:$B$344,$A118-1)-1,"")))</f>
        <v/>
      </c>
      <c r="K118" s="11">
        <f>IF(OR($A118=1,$B118="",$A118+K$3&gt;340),"",IF(INDEX($B$5:$B$344,$A118+K$3)="","",IF(AND(YEAR($B118)=$B$2,YEAR(INDEX($B$5:$B$344,$A118+K$3-1))=$B$2),INDEX($B$5:$B$344,$A118+K$3)-INDEX($B$5:$B$344,$A118-1)-1,"")))</f>
        <v/>
      </c>
      <c r="L118" s="11">
        <f>IF(OR($A118=1,$B118="",$A118+L$3&gt;340),"",IF(INDEX($B$5:$B$344,$A118+L$3)="","",IF(AND(YEAR($B118)=$B$2,YEAR(INDEX($B$5:$B$344,$A118+L$3-1))=$B$2),INDEX($B$5:$B$344,$A118+L$3)-INDEX($B$5:$B$344,$A118-1)-1,"")))</f>
        <v/>
      </c>
      <c r="M118" s="11">
        <f>IF(OR($A118=1,$B118="",$A118+M$3&gt;340),"",IF(INDEX($B$5:$B$344,$A118+M$3)="","",IF(AND(YEAR($B118)=$B$2,YEAR(INDEX($B$5:$B$344,$A118+M$3-1))=$B$2),INDEX($B$5:$B$344,$A118+M$3)-INDEX($B$5:$B$344,$A118-1)-1,"")))</f>
        <v/>
      </c>
    </row>
    <row r="119">
      <c r="A119" s="11" t="n">
        <v>115</v>
      </c>
      <c r="B119" s="10">
        <f>IFERROR(INDEX('2_暦'!$A$7:$A$433,MATCH(A119,'2_暦'!$K$7:$K$433,0)),"")</f>
        <v/>
      </c>
      <c r="C119" s="11">
        <f>IF(OR($A119=1,$B119=""),"",IF(OR(YEAR($B119-1)=$B$2,YEAR(INDEX($B$5:$B$344,$A119-1)+1)=$B$2),$B119-INDEX($B$5:$B$344,$A119-1)-1,""))</f>
        <v/>
      </c>
      <c r="D119" s="11">
        <f>IF(OR($A119=1,$B119="",$A119+D$3&gt;340),"",IF(INDEX($B$5:$B$344,$A119+D$3)="","",IF(AND(YEAR($B119)=$B$2,YEAR(INDEX($B$5:$B$344,$A119+D$3-1))=$B$2),INDEX($B$5:$B$344,$A119+D$3)-INDEX($B$5:$B$344,$A119-1)-1,"")))</f>
        <v/>
      </c>
      <c r="E119" s="11">
        <f>IF(OR($A119=1,$B119="",$A119+E$3&gt;340),"",IF(INDEX($B$5:$B$344,$A119+E$3)="","",IF(AND(YEAR($B119)=$B$2,YEAR(INDEX($B$5:$B$344,$A119+E$3-1))=$B$2),INDEX($B$5:$B$344,$A119+E$3)-INDEX($B$5:$B$344,$A119-1)-1,"")))</f>
        <v/>
      </c>
      <c r="F119" s="11">
        <f>IF(OR($A119=1,$B119="",$A119+F$3&gt;340),"",IF(INDEX($B$5:$B$344,$A119+F$3)="","",IF(AND(YEAR($B119)=$B$2,YEAR(INDEX($B$5:$B$344,$A119+F$3-1))=$B$2),INDEX($B$5:$B$344,$A119+F$3)-INDEX($B$5:$B$344,$A119-1)-1,"")))</f>
        <v/>
      </c>
      <c r="G119" s="11">
        <f>IF(OR($A119=1,$B119="",$A119+G$3&gt;340),"",IF(INDEX($B$5:$B$344,$A119+G$3)="","",IF(AND(YEAR($B119)=$B$2,YEAR(INDEX($B$5:$B$344,$A119+G$3-1))=$B$2),INDEX($B$5:$B$344,$A119+G$3)-INDEX($B$5:$B$344,$A119-1)-1,"")))</f>
        <v/>
      </c>
      <c r="H119" s="11">
        <f>IF(OR($A119=1,$B119="",$A119+H$3&gt;340),"",IF(INDEX($B$5:$B$344,$A119+H$3)="","",IF(AND(YEAR($B119)=$B$2,YEAR(INDEX($B$5:$B$344,$A119+H$3-1))=$B$2),INDEX($B$5:$B$344,$A119+H$3)-INDEX($B$5:$B$344,$A119-1)-1,"")))</f>
        <v/>
      </c>
      <c r="I119" s="11">
        <f>IF(OR($A119=1,$B119="",$A119+I$3&gt;340),"",IF(INDEX($B$5:$B$344,$A119+I$3)="","",IF(AND(YEAR($B119)=$B$2,YEAR(INDEX($B$5:$B$344,$A119+I$3-1))=$B$2),INDEX($B$5:$B$344,$A119+I$3)-INDEX($B$5:$B$344,$A119-1)-1,"")))</f>
        <v/>
      </c>
      <c r="J119" s="11">
        <f>IF(OR($A119=1,$B119="",$A119+J$3&gt;340),"",IF(INDEX($B$5:$B$344,$A119+J$3)="","",IF(AND(YEAR($B119)=$B$2,YEAR(INDEX($B$5:$B$344,$A119+J$3-1))=$B$2),INDEX($B$5:$B$344,$A119+J$3)-INDEX($B$5:$B$344,$A119-1)-1,"")))</f>
        <v/>
      </c>
      <c r="K119" s="11">
        <f>IF(OR($A119=1,$B119="",$A119+K$3&gt;340),"",IF(INDEX($B$5:$B$344,$A119+K$3)="","",IF(AND(YEAR($B119)=$B$2,YEAR(INDEX($B$5:$B$344,$A119+K$3-1))=$B$2),INDEX($B$5:$B$344,$A119+K$3)-INDEX($B$5:$B$344,$A119-1)-1,"")))</f>
        <v/>
      </c>
      <c r="L119" s="11">
        <f>IF(OR($A119=1,$B119="",$A119+L$3&gt;340),"",IF(INDEX($B$5:$B$344,$A119+L$3)="","",IF(AND(YEAR($B119)=$B$2,YEAR(INDEX($B$5:$B$344,$A119+L$3-1))=$B$2),INDEX($B$5:$B$344,$A119+L$3)-INDEX($B$5:$B$344,$A119-1)-1,"")))</f>
        <v/>
      </c>
      <c r="M119" s="11">
        <f>IF(OR($A119=1,$B119="",$A119+M$3&gt;340),"",IF(INDEX($B$5:$B$344,$A119+M$3)="","",IF(AND(YEAR($B119)=$B$2,YEAR(INDEX($B$5:$B$344,$A119+M$3-1))=$B$2),INDEX($B$5:$B$344,$A119+M$3)-INDEX($B$5:$B$344,$A119-1)-1,"")))</f>
        <v/>
      </c>
    </row>
    <row r="120">
      <c r="A120" s="11" t="n">
        <v>116</v>
      </c>
      <c r="B120" s="10">
        <f>IFERROR(INDEX('2_暦'!$A$7:$A$433,MATCH(A120,'2_暦'!$K$7:$K$433,0)),"")</f>
        <v/>
      </c>
      <c r="C120" s="11">
        <f>IF(OR($A120=1,$B120=""),"",IF(OR(YEAR($B120-1)=$B$2,YEAR(INDEX($B$5:$B$344,$A120-1)+1)=$B$2),$B120-INDEX($B$5:$B$344,$A120-1)-1,""))</f>
        <v/>
      </c>
      <c r="D120" s="11">
        <f>IF(OR($A120=1,$B120="",$A120+D$3&gt;340),"",IF(INDEX($B$5:$B$344,$A120+D$3)="","",IF(AND(YEAR($B120)=$B$2,YEAR(INDEX($B$5:$B$344,$A120+D$3-1))=$B$2),INDEX($B$5:$B$344,$A120+D$3)-INDEX($B$5:$B$344,$A120-1)-1,"")))</f>
        <v/>
      </c>
      <c r="E120" s="11">
        <f>IF(OR($A120=1,$B120="",$A120+E$3&gt;340),"",IF(INDEX($B$5:$B$344,$A120+E$3)="","",IF(AND(YEAR($B120)=$B$2,YEAR(INDEX($B$5:$B$344,$A120+E$3-1))=$B$2),INDEX($B$5:$B$344,$A120+E$3)-INDEX($B$5:$B$344,$A120-1)-1,"")))</f>
        <v/>
      </c>
      <c r="F120" s="11">
        <f>IF(OR($A120=1,$B120="",$A120+F$3&gt;340),"",IF(INDEX($B$5:$B$344,$A120+F$3)="","",IF(AND(YEAR($B120)=$B$2,YEAR(INDEX($B$5:$B$344,$A120+F$3-1))=$B$2),INDEX($B$5:$B$344,$A120+F$3)-INDEX($B$5:$B$344,$A120-1)-1,"")))</f>
        <v/>
      </c>
      <c r="G120" s="11">
        <f>IF(OR($A120=1,$B120="",$A120+G$3&gt;340),"",IF(INDEX($B$5:$B$344,$A120+G$3)="","",IF(AND(YEAR($B120)=$B$2,YEAR(INDEX($B$5:$B$344,$A120+G$3-1))=$B$2),INDEX($B$5:$B$344,$A120+G$3)-INDEX($B$5:$B$344,$A120-1)-1,"")))</f>
        <v/>
      </c>
      <c r="H120" s="11">
        <f>IF(OR($A120=1,$B120="",$A120+H$3&gt;340),"",IF(INDEX($B$5:$B$344,$A120+H$3)="","",IF(AND(YEAR($B120)=$B$2,YEAR(INDEX($B$5:$B$344,$A120+H$3-1))=$B$2),INDEX($B$5:$B$344,$A120+H$3)-INDEX($B$5:$B$344,$A120-1)-1,"")))</f>
        <v/>
      </c>
      <c r="I120" s="11">
        <f>IF(OR($A120=1,$B120="",$A120+I$3&gt;340),"",IF(INDEX($B$5:$B$344,$A120+I$3)="","",IF(AND(YEAR($B120)=$B$2,YEAR(INDEX($B$5:$B$344,$A120+I$3-1))=$B$2),INDEX($B$5:$B$344,$A120+I$3)-INDEX($B$5:$B$344,$A120-1)-1,"")))</f>
        <v/>
      </c>
      <c r="J120" s="11">
        <f>IF(OR($A120=1,$B120="",$A120+J$3&gt;340),"",IF(INDEX($B$5:$B$344,$A120+J$3)="","",IF(AND(YEAR($B120)=$B$2,YEAR(INDEX($B$5:$B$344,$A120+J$3-1))=$B$2),INDEX($B$5:$B$344,$A120+J$3)-INDEX($B$5:$B$344,$A120-1)-1,"")))</f>
        <v/>
      </c>
      <c r="K120" s="11">
        <f>IF(OR($A120=1,$B120="",$A120+K$3&gt;340),"",IF(INDEX($B$5:$B$344,$A120+K$3)="","",IF(AND(YEAR($B120)=$B$2,YEAR(INDEX($B$5:$B$344,$A120+K$3-1))=$B$2),INDEX($B$5:$B$344,$A120+K$3)-INDEX($B$5:$B$344,$A120-1)-1,"")))</f>
        <v/>
      </c>
      <c r="L120" s="11">
        <f>IF(OR($A120=1,$B120="",$A120+L$3&gt;340),"",IF(INDEX($B$5:$B$344,$A120+L$3)="","",IF(AND(YEAR($B120)=$B$2,YEAR(INDEX($B$5:$B$344,$A120+L$3-1))=$B$2),INDEX($B$5:$B$344,$A120+L$3)-INDEX($B$5:$B$344,$A120-1)-1,"")))</f>
        <v/>
      </c>
      <c r="M120" s="11">
        <f>IF(OR($A120=1,$B120="",$A120+M$3&gt;340),"",IF(INDEX($B$5:$B$344,$A120+M$3)="","",IF(AND(YEAR($B120)=$B$2,YEAR(INDEX($B$5:$B$344,$A120+M$3-1))=$B$2),INDEX($B$5:$B$344,$A120+M$3)-INDEX($B$5:$B$344,$A120-1)-1,"")))</f>
        <v/>
      </c>
    </row>
    <row r="121">
      <c r="A121" s="11" t="n">
        <v>117</v>
      </c>
      <c r="B121" s="10">
        <f>IFERROR(INDEX('2_暦'!$A$7:$A$433,MATCH(A121,'2_暦'!$K$7:$K$433,0)),"")</f>
        <v/>
      </c>
      <c r="C121" s="11">
        <f>IF(OR($A121=1,$B121=""),"",IF(OR(YEAR($B121-1)=$B$2,YEAR(INDEX($B$5:$B$344,$A121-1)+1)=$B$2),$B121-INDEX($B$5:$B$344,$A121-1)-1,""))</f>
        <v/>
      </c>
      <c r="D121" s="11">
        <f>IF(OR($A121=1,$B121="",$A121+D$3&gt;340),"",IF(INDEX($B$5:$B$344,$A121+D$3)="","",IF(AND(YEAR($B121)=$B$2,YEAR(INDEX($B$5:$B$344,$A121+D$3-1))=$B$2),INDEX($B$5:$B$344,$A121+D$3)-INDEX($B$5:$B$344,$A121-1)-1,"")))</f>
        <v/>
      </c>
      <c r="E121" s="11">
        <f>IF(OR($A121=1,$B121="",$A121+E$3&gt;340),"",IF(INDEX($B$5:$B$344,$A121+E$3)="","",IF(AND(YEAR($B121)=$B$2,YEAR(INDEX($B$5:$B$344,$A121+E$3-1))=$B$2),INDEX($B$5:$B$344,$A121+E$3)-INDEX($B$5:$B$344,$A121-1)-1,"")))</f>
        <v/>
      </c>
      <c r="F121" s="11">
        <f>IF(OR($A121=1,$B121="",$A121+F$3&gt;340),"",IF(INDEX($B$5:$B$344,$A121+F$3)="","",IF(AND(YEAR($B121)=$B$2,YEAR(INDEX($B$5:$B$344,$A121+F$3-1))=$B$2),INDEX($B$5:$B$344,$A121+F$3)-INDEX($B$5:$B$344,$A121-1)-1,"")))</f>
        <v/>
      </c>
      <c r="G121" s="11">
        <f>IF(OR($A121=1,$B121="",$A121+G$3&gt;340),"",IF(INDEX($B$5:$B$344,$A121+G$3)="","",IF(AND(YEAR($B121)=$B$2,YEAR(INDEX($B$5:$B$344,$A121+G$3-1))=$B$2),INDEX($B$5:$B$344,$A121+G$3)-INDEX($B$5:$B$344,$A121-1)-1,"")))</f>
        <v/>
      </c>
      <c r="H121" s="11">
        <f>IF(OR($A121=1,$B121="",$A121+H$3&gt;340),"",IF(INDEX($B$5:$B$344,$A121+H$3)="","",IF(AND(YEAR($B121)=$B$2,YEAR(INDEX($B$5:$B$344,$A121+H$3-1))=$B$2),INDEX($B$5:$B$344,$A121+H$3)-INDEX($B$5:$B$344,$A121-1)-1,"")))</f>
        <v/>
      </c>
      <c r="I121" s="11">
        <f>IF(OR($A121=1,$B121="",$A121+I$3&gt;340),"",IF(INDEX($B$5:$B$344,$A121+I$3)="","",IF(AND(YEAR($B121)=$B$2,YEAR(INDEX($B$5:$B$344,$A121+I$3-1))=$B$2),INDEX($B$5:$B$344,$A121+I$3)-INDEX($B$5:$B$344,$A121-1)-1,"")))</f>
        <v/>
      </c>
      <c r="J121" s="11">
        <f>IF(OR($A121=1,$B121="",$A121+J$3&gt;340),"",IF(INDEX($B$5:$B$344,$A121+J$3)="","",IF(AND(YEAR($B121)=$B$2,YEAR(INDEX($B$5:$B$344,$A121+J$3-1))=$B$2),INDEX($B$5:$B$344,$A121+J$3)-INDEX($B$5:$B$344,$A121-1)-1,"")))</f>
        <v/>
      </c>
      <c r="K121" s="11">
        <f>IF(OR($A121=1,$B121="",$A121+K$3&gt;340),"",IF(INDEX($B$5:$B$344,$A121+K$3)="","",IF(AND(YEAR($B121)=$B$2,YEAR(INDEX($B$5:$B$344,$A121+K$3-1))=$B$2),INDEX($B$5:$B$344,$A121+K$3)-INDEX($B$5:$B$344,$A121-1)-1,"")))</f>
        <v/>
      </c>
      <c r="L121" s="11">
        <f>IF(OR($A121=1,$B121="",$A121+L$3&gt;340),"",IF(INDEX($B$5:$B$344,$A121+L$3)="","",IF(AND(YEAR($B121)=$B$2,YEAR(INDEX($B$5:$B$344,$A121+L$3-1))=$B$2),INDEX($B$5:$B$344,$A121+L$3)-INDEX($B$5:$B$344,$A121-1)-1,"")))</f>
        <v/>
      </c>
      <c r="M121" s="11">
        <f>IF(OR($A121=1,$B121="",$A121+M$3&gt;340),"",IF(INDEX($B$5:$B$344,$A121+M$3)="","",IF(AND(YEAR($B121)=$B$2,YEAR(INDEX($B$5:$B$344,$A121+M$3-1))=$B$2),INDEX($B$5:$B$344,$A121+M$3)-INDEX($B$5:$B$344,$A121-1)-1,"")))</f>
        <v/>
      </c>
    </row>
    <row r="122">
      <c r="A122" s="11" t="n">
        <v>118</v>
      </c>
      <c r="B122" s="10">
        <f>IFERROR(INDEX('2_暦'!$A$7:$A$433,MATCH(A122,'2_暦'!$K$7:$K$433,0)),"")</f>
        <v/>
      </c>
      <c r="C122" s="11">
        <f>IF(OR($A122=1,$B122=""),"",IF(OR(YEAR($B122-1)=$B$2,YEAR(INDEX($B$5:$B$344,$A122-1)+1)=$B$2),$B122-INDEX($B$5:$B$344,$A122-1)-1,""))</f>
        <v/>
      </c>
      <c r="D122" s="11">
        <f>IF(OR($A122=1,$B122="",$A122+D$3&gt;340),"",IF(INDEX($B$5:$B$344,$A122+D$3)="","",IF(AND(YEAR($B122)=$B$2,YEAR(INDEX($B$5:$B$344,$A122+D$3-1))=$B$2),INDEX($B$5:$B$344,$A122+D$3)-INDEX($B$5:$B$344,$A122-1)-1,"")))</f>
        <v/>
      </c>
      <c r="E122" s="11">
        <f>IF(OR($A122=1,$B122="",$A122+E$3&gt;340),"",IF(INDEX($B$5:$B$344,$A122+E$3)="","",IF(AND(YEAR($B122)=$B$2,YEAR(INDEX($B$5:$B$344,$A122+E$3-1))=$B$2),INDEX($B$5:$B$344,$A122+E$3)-INDEX($B$5:$B$344,$A122-1)-1,"")))</f>
        <v/>
      </c>
      <c r="F122" s="11">
        <f>IF(OR($A122=1,$B122="",$A122+F$3&gt;340),"",IF(INDEX($B$5:$B$344,$A122+F$3)="","",IF(AND(YEAR($B122)=$B$2,YEAR(INDEX($B$5:$B$344,$A122+F$3-1))=$B$2),INDEX($B$5:$B$344,$A122+F$3)-INDEX($B$5:$B$344,$A122-1)-1,"")))</f>
        <v/>
      </c>
      <c r="G122" s="11">
        <f>IF(OR($A122=1,$B122="",$A122+G$3&gt;340),"",IF(INDEX($B$5:$B$344,$A122+G$3)="","",IF(AND(YEAR($B122)=$B$2,YEAR(INDEX($B$5:$B$344,$A122+G$3-1))=$B$2),INDEX($B$5:$B$344,$A122+G$3)-INDEX($B$5:$B$344,$A122-1)-1,"")))</f>
        <v/>
      </c>
      <c r="H122" s="11">
        <f>IF(OR($A122=1,$B122="",$A122+H$3&gt;340),"",IF(INDEX($B$5:$B$344,$A122+H$3)="","",IF(AND(YEAR($B122)=$B$2,YEAR(INDEX($B$5:$B$344,$A122+H$3-1))=$B$2),INDEX($B$5:$B$344,$A122+H$3)-INDEX($B$5:$B$344,$A122-1)-1,"")))</f>
        <v/>
      </c>
      <c r="I122" s="11">
        <f>IF(OR($A122=1,$B122="",$A122+I$3&gt;340),"",IF(INDEX($B$5:$B$344,$A122+I$3)="","",IF(AND(YEAR($B122)=$B$2,YEAR(INDEX($B$5:$B$344,$A122+I$3-1))=$B$2),INDEX($B$5:$B$344,$A122+I$3)-INDEX($B$5:$B$344,$A122-1)-1,"")))</f>
        <v/>
      </c>
      <c r="J122" s="11">
        <f>IF(OR($A122=1,$B122="",$A122+J$3&gt;340),"",IF(INDEX($B$5:$B$344,$A122+J$3)="","",IF(AND(YEAR($B122)=$B$2,YEAR(INDEX($B$5:$B$344,$A122+J$3-1))=$B$2),INDEX($B$5:$B$344,$A122+J$3)-INDEX($B$5:$B$344,$A122-1)-1,"")))</f>
        <v/>
      </c>
      <c r="K122" s="11">
        <f>IF(OR($A122=1,$B122="",$A122+K$3&gt;340),"",IF(INDEX($B$5:$B$344,$A122+K$3)="","",IF(AND(YEAR($B122)=$B$2,YEAR(INDEX($B$5:$B$344,$A122+K$3-1))=$B$2),INDEX($B$5:$B$344,$A122+K$3)-INDEX($B$5:$B$344,$A122-1)-1,"")))</f>
        <v/>
      </c>
      <c r="L122" s="11">
        <f>IF(OR($A122=1,$B122="",$A122+L$3&gt;340),"",IF(INDEX($B$5:$B$344,$A122+L$3)="","",IF(AND(YEAR($B122)=$B$2,YEAR(INDEX($B$5:$B$344,$A122+L$3-1))=$B$2),INDEX($B$5:$B$344,$A122+L$3)-INDEX($B$5:$B$344,$A122-1)-1,"")))</f>
        <v/>
      </c>
      <c r="M122" s="11">
        <f>IF(OR($A122=1,$B122="",$A122+M$3&gt;340),"",IF(INDEX($B$5:$B$344,$A122+M$3)="","",IF(AND(YEAR($B122)=$B$2,YEAR(INDEX($B$5:$B$344,$A122+M$3-1))=$B$2),INDEX($B$5:$B$344,$A122+M$3)-INDEX($B$5:$B$344,$A122-1)-1,"")))</f>
        <v/>
      </c>
    </row>
    <row r="123">
      <c r="A123" s="11" t="n">
        <v>119</v>
      </c>
      <c r="B123" s="10">
        <f>IFERROR(INDEX('2_暦'!$A$7:$A$433,MATCH(A123,'2_暦'!$K$7:$K$433,0)),"")</f>
        <v/>
      </c>
      <c r="C123" s="11">
        <f>IF(OR($A123=1,$B123=""),"",IF(OR(YEAR($B123-1)=$B$2,YEAR(INDEX($B$5:$B$344,$A123-1)+1)=$B$2),$B123-INDEX($B$5:$B$344,$A123-1)-1,""))</f>
        <v/>
      </c>
      <c r="D123" s="11">
        <f>IF(OR($A123=1,$B123="",$A123+D$3&gt;340),"",IF(INDEX($B$5:$B$344,$A123+D$3)="","",IF(AND(YEAR($B123)=$B$2,YEAR(INDEX($B$5:$B$344,$A123+D$3-1))=$B$2),INDEX($B$5:$B$344,$A123+D$3)-INDEX($B$5:$B$344,$A123-1)-1,"")))</f>
        <v/>
      </c>
      <c r="E123" s="11">
        <f>IF(OR($A123=1,$B123="",$A123+E$3&gt;340),"",IF(INDEX($B$5:$B$344,$A123+E$3)="","",IF(AND(YEAR($B123)=$B$2,YEAR(INDEX($B$5:$B$344,$A123+E$3-1))=$B$2),INDEX($B$5:$B$344,$A123+E$3)-INDEX($B$5:$B$344,$A123-1)-1,"")))</f>
        <v/>
      </c>
      <c r="F123" s="11">
        <f>IF(OR($A123=1,$B123="",$A123+F$3&gt;340),"",IF(INDEX($B$5:$B$344,$A123+F$3)="","",IF(AND(YEAR($B123)=$B$2,YEAR(INDEX($B$5:$B$344,$A123+F$3-1))=$B$2),INDEX($B$5:$B$344,$A123+F$3)-INDEX($B$5:$B$344,$A123-1)-1,"")))</f>
        <v/>
      </c>
      <c r="G123" s="11">
        <f>IF(OR($A123=1,$B123="",$A123+G$3&gt;340),"",IF(INDEX($B$5:$B$344,$A123+G$3)="","",IF(AND(YEAR($B123)=$B$2,YEAR(INDEX($B$5:$B$344,$A123+G$3-1))=$B$2),INDEX($B$5:$B$344,$A123+G$3)-INDEX($B$5:$B$344,$A123-1)-1,"")))</f>
        <v/>
      </c>
      <c r="H123" s="11">
        <f>IF(OR($A123=1,$B123="",$A123+H$3&gt;340),"",IF(INDEX($B$5:$B$344,$A123+H$3)="","",IF(AND(YEAR($B123)=$B$2,YEAR(INDEX($B$5:$B$344,$A123+H$3-1))=$B$2),INDEX($B$5:$B$344,$A123+H$3)-INDEX($B$5:$B$344,$A123-1)-1,"")))</f>
        <v/>
      </c>
      <c r="I123" s="11">
        <f>IF(OR($A123=1,$B123="",$A123+I$3&gt;340),"",IF(INDEX($B$5:$B$344,$A123+I$3)="","",IF(AND(YEAR($B123)=$B$2,YEAR(INDEX($B$5:$B$344,$A123+I$3-1))=$B$2),INDEX($B$5:$B$344,$A123+I$3)-INDEX($B$5:$B$344,$A123-1)-1,"")))</f>
        <v/>
      </c>
      <c r="J123" s="11">
        <f>IF(OR($A123=1,$B123="",$A123+J$3&gt;340),"",IF(INDEX($B$5:$B$344,$A123+J$3)="","",IF(AND(YEAR($B123)=$B$2,YEAR(INDEX($B$5:$B$344,$A123+J$3-1))=$B$2),INDEX($B$5:$B$344,$A123+J$3)-INDEX($B$5:$B$344,$A123-1)-1,"")))</f>
        <v/>
      </c>
      <c r="K123" s="11">
        <f>IF(OR($A123=1,$B123="",$A123+K$3&gt;340),"",IF(INDEX($B$5:$B$344,$A123+K$3)="","",IF(AND(YEAR($B123)=$B$2,YEAR(INDEX($B$5:$B$344,$A123+K$3-1))=$B$2),INDEX($B$5:$B$344,$A123+K$3)-INDEX($B$5:$B$344,$A123-1)-1,"")))</f>
        <v/>
      </c>
      <c r="L123" s="11">
        <f>IF(OR($A123=1,$B123="",$A123+L$3&gt;340),"",IF(INDEX($B$5:$B$344,$A123+L$3)="","",IF(AND(YEAR($B123)=$B$2,YEAR(INDEX($B$5:$B$344,$A123+L$3-1))=$B$2),INDEX($B$5:$B$344,$A123+L$3)-INDEX($B$5:$B$344,$A123-1)-1,"")))</f>
        <v/>
      </c>
      <c r="M123" s="11">
        <f>IF(OR($A123=1,$B123="",$A123+M$3&gt;340),"",IF(INDEX($B$5:$B$344,$A123+M$3)="","",IF(AND(YEAR($B123)=$B$2,YEAR(INDEX($B$5:$B$344,$A123+M$3-1))=$B$2),INDEX($B$5:$B$344,$A123+M$3)-INDEX($B$5:$B$344,$A123-1)-1,"")))</f>
        <v/>
      </c>
    </row>
    <row r="124">
      <c r="A124" s="11" t="n">
        <v>120</v>
      </c>
      <c r="B124" s="10">
        <f>IFERROR(INDEX('2_暦'!$A$7:$A$433,MATCH(A124,'2_暦'!$K$7:$K$433,0)),"")</f>
        <v/>
      </c>
      <c r="C124" s="11">
        <f>IF(OR($A124=1,$B124=""),"",IF(OR(YEAR($B124-1)=$B$2,YEAR(INDEX($B$5:$B$344,$A124-1)+1)=$B$2),$B124-INDEX($B$5:$B$344,$A124-1)-1,""))</f>
        <v/>
      </c>
      <c r="D124" s="11">
        <f>IF(OR($A124=1,$B124="",$A124+D$3&gt;340),"",IF(INDEX($B$5:$B$344,$A124+D$3)="","",IF(AND(YEAR($B124)=$B$2,YEAR(INDEX($B$5:$B$344,$A124+D$3-1))=$B$2),INDEX($B$5:$B$344,$A124+D$3)-INDEX($B$5:$B$344,$A124-1)-1,"")))</f>
        <v/>
      </c>
      <c r="E124" s="11">
        <f>IF(OR($A124=1,$B124="",$A124+E$3&gt;340),"",IF(INDEX($B$5:$B$344,$A124+E$3)="","",IF(AND(YEAR($B124)=$B$2,YEAR(INDEX($B$5:$B$344,$A124+E$3-1))=$B$2),INDEX($B$5:$B$344,$A124+E$3)-INDEX($B$5:$B$344,$A124-1)-1,"")))</f>
        <v/>
      </c>
      <c r="F124" s="11">
        <f>IF(OR($A124=1,$B124="",$A124+F$3&gt;340),"",IF(INDEX($B$5:$B$344,$A124+F$3)="","",IF(AND(YEAR($B124)=$B$2,YEAR(INDEX($B$5:$B$344,$A124+F$3-1))=$B$2),INDEX($B$5:$B$344,$A124+F$3)-INDEX($B$5:$B$344,$A124-1)-1,"")))</f>
        <v/>
      </c>
      <c r="G124" s="11">
        <f>IF(OR($A124=1,$B124="",$A124+G$3&gt;340),"",IF(INDEX($B$5:$B$344,$A124+G$3)="","",IF(AND(YEAR($B124)=$B$2,YEAR(INDEX($B$5:$B$344,$A124+G$3-1))=$B$2),INDEX($B$5:$B$344,$A124+G$3)-INDEX($B$5:$B$344,$A124-1)-1,"")))</f>
        <v/>
      </c>
      <c r="H124" s="11">
        <f>IF(OR($A124=1,$B124="",$A124+H$3&gt;340),"",IF(INDEX($B$5:$B$344,$A124+H$3)="","",IF(AND(YEAR($B124)=$B$2,YEAR(INDEX($B$5:$B$344,$A124+H$3-1))=$B$2),INDEX($B$5:$B$344,$A124+H$3)-INDEX($B$5:$B$344,$A124-1)-1,"")))</f>
        <v/>
      </c>
      <c r="I124" s="11">
        <f>IF(OR($A124=1,$B124="",$A124+I$3&gt;340),"",IF(INDEX($B$5:$B$344,$A124+I$3)="","",IF(AND(YEAR($B124)=$B$2,YEAR(INDEX($B$5:$B$344,$A124+I$3-1))=$B$2),INDEX($B$5:$B$344,$A124+I$3)-INDEX($B$5:$B$344,$A124-1)-1,"")))</f>
        <v/>
      </c>
      <c r="J124" s="11">
        <f>IF(OR($A124=1,$B124="",$A124+J$3&gt;340),"",IF(INDEX($B$5:$B$344,$A124+J$3)="","",IF(AND(YEAR($B124)=$B$2,YEAR(INDEX($B$5:$B$344,$A124+J$3-1))=$B$2),INDEX($B$5:$B$344,$A124+J$3)-INDEX($B$5:$B$344,$A124-1)-1,"")))</f>
        <v/>
      </c>
      <c r="K124" s="11">
        <f>IF(OR($A124=1,$B124="",$A124+K$3&gt;340),"",IF(INDEX($B$5:$B$344,$A124+K$3)="","",IF(AND(YEAR($B124)=$B$2,YEAR(INDEX($B$5:$B$344,$A124+K$3-1))=$B$2),INDEX($B$5:$B$344,$A124+K$3)-INDEX($B$5:$B$344,$A124-1)-1,"")))</f>
        <v/>
      </c>
      <c r="L124" s="11">
        <f>IF(OR($A124=1,$B124="",$A124+L$3&gt;340),"",IF(INDEX($B$5:$B$344,$A124+L$3)="","",IF(AND(YEAR($B124)=$B$2,YEAR(INDEX($B$5:$B$344,$A124+L$3-1))=$B$2),INDEX($B$5:$B$344,$A124+L$3)-INDEX($B$5:$B$344,$A124-1)-1,"")))</f>
        <v/>
      </c>
      <c r="M124" s="11">
        <f>IF(OR($A124=1,$B124="",$A124+M$3&gt;340),"",IF(INDEX($B$5:$B$344,$A124+M$3)="","",IF(AND(YEAR($B124)=$B$2,YEAR(INDEX($B$5:$B$344,$A124+M$3-1))=$B$2),INDEX($B$5:$B$344,$A124+M$3)-INDEX($B$5:$B$344,$A124-1)-1,"")))</f>
        <v/>
      </c>
    </row>
    <row r="125">
      <c r="A125" s="11" t="n">
        <v>121</v>
      </c>
      <c r="B125" s="10">
        <f>IFERROR(INDEX('2_暦'!$A$7:$A$433,MATCH(A125,'2_暦'!$K$7:$K$433,0)),"")</f>
        <v/>
      </c>
      <c r="C125" s="11">
        <f>IF(OR($A125=1,$B125=""),"",IF(OR(YEAR($B125-1)=$B$2,YEAR(INDEX($B$5:$B$344,$A125-1)+1)=$B$2),$B125-INDEX($B$5:$B$344,$A125-1)-1,""))</f>
        <v/>
      </c>
      <c r="D125" s="11">
        <f>IF(OR($A125=1,$B125="",$A125+D$3&gt;340),"",IF(INDEX($B$5:$B$344,$A125+D$3)="","",IF(AND(YEAR($B125)=$B$2,YEAR(INDEX($B$5:$B$344,$A125+D$3-1))=$B$2),INDEX($B$5:$B$344,$A125+D$3)-INDEX($B$5:$B$344,$A125-1)-1,"")))</f>
        <v/>
      </c>
      <c r="E125" s="11">
        <f>IF(OR($A125=1,$B125="",$A125+E$3&gt;340),"",IF(INDEX($B$5:$B$344,$A125+E$3)="","",IF(AND(YEAR($B125)=$B$2,YEAR(INDEX($B$5:$B$344,$A125+E$3-1))=$B$2),INDEX($B$5:$B$344,$A125+E$3)-INDEX($B$5:$B$344,$A125-1)-1,"")))</f>
        <v/>
      </c>
      <c r="F125" s="11">
        <f>IF(OR($A125=1,$B125="",$A125+F$3&gt;340),"",IF(INDEX($B$5:$B$344,$A125+F$3)="","",IF(AND(YEAR($B125)=$B$2,YEAR(INDEX($B$5:$B$344,$A125+F$3-1))=$B$2),INDEX($B$5:$B$344,$A125+F$3)-INDEX($B$5:$B$344,$A125-1)-1,"")))</f>
        <v/>
      </c>
      <c r="G125" s="11">
        <f>IF(OR($A125=1,$B125="",$A125+G$3&gt;340),"",IF(INDEX($B$5:$B$344,$A125+G$3)="","",IF(AND(YEAR($B125)=$B$2,YEAR(INDEX($B$5:$B$344,$A125+G$3-1))=$B$2),INDEX($B$5:$B$344,$A125+G$3)-INDEX($B$5:$B$344,$A125-1)-1,"")))</f>
        <v/>
      </c>
      <c r="H125" s="11">
        <f>IF(OR($A125=1,$B125="",$A125+H$3&gt;340),"",IF(INDEX($B$5:$B$344,$A125+H$3)="","",IF(AND(YEAR($B125)=$B$2,YEAR(INDEX($B$5:$B$344,$A125+H$3-1))=$B$2),INDEX($B$5:$B$344,$A125+H$3)-INDEX($B$5:$B$344,$A125-1)-1,"")))</f>
        <v/>
      </c>
      <c r="I125" s="11">
        <f>IF(OR($A125=1,$B125="",$A125+I$3&gt;340),"",IF(INDEX($B$5:$B$344,$A125+I$3)="","",IF(AND(YEAR($B125)=$B$2,YEAR(INDEX($B$5:$B$344,$A125+I$3-1))=$B$2),INDEX($B$5:$B$344,$A125+I$3)-INDEX($B$5:$B$344,$A125-1)-1,"")))</f>
        <v/>
      </c>
      <c r="J125" s="11">
        <f>IF(OR($A125=1,$B125="",$A125+J$3&gt;340),"",IF(INDEX($B$5:$B$344,$A125+J$3)="","",IF(AND(YEAR($B125)=$B$2,YEAR(INDEX($B$5:$B$344,$A125+J$3-1))=$B$2),INDEX($B$5:$B$344,$A125+J$3)-INDEX($B$5:$B$344,$A125-1)-1,"")))</f>
        <v/>
      </c>
      <c r="K125" s="11">
        <f>IF(OR($A125=1,$B125="",$A125+K$3&gt;340),"",IF(INDEX($B$5:$B$344,$A125+K$3)="","",IF(AND(YEAR($B125)=$B$2,YEAR(INDEX($B$5:$B$344,$A125+K$3-1))=$B$2),INDEX($B$5:$B$344,$A125+K$3)-INDEX($B$5:$B$344,$A125-1)-1,"")))</f>
        <v/>
      </c>
      <c r="L125" s="11">
        <f>IF(OR($A125=1,$B125="",$A125+L$3&gt;340),"",IF(INDEX($B$5:$B$344,$A125+L$3)="","",IF(AND(YEAR($B125)=$B$2,YEAR(INDEX($B$5:$B$344,$A125+L$3-1))=$B$2),INDEX($B$5:$B$344,$A125+L$3)-INDEX($B$5:$B$344,$A125-1)-1,"")))</f>
        <v/>
      </c>
      <c r="M125" s="11">
        <f>IF(OR($A125=1,$B125="",$A125+M$3&gt;340),"",IF(INDEX($B$5:$B$344,$A125+M$3)="","",IF(AND(YEAR($B125)=$B$2,YEAR(INDEX($B$5:$B$344,$A125+M$3-1))=$B$2),INDEX($B$5:$B$344,$A125+M$3)-INDEX($B$5:$B$344,$A125-1)-1,"")))</f>
        <v/>
      </c>
    </row>
    <row r="126">
      <c r="A126" s="11" t="n">
        <v>122</v>
      </c>
      <c r="B126" s="10">
        <f>IFERROR(INDEX('2_暦'!$A$7:$A$433,MATCH(A126,'2_暦'!$K$7:$K$433,0)),"")</f>
        <v/>
      </c>
      <c r="C126" s="11">
        <f>IF(OR($A126=1,$B126=""),"",IF(OR(YEAR($B126-1)=$B$2,YEAR(INDEX($B$5:$B$344,$A126-1)+1)=$B$2),$B126-INDEX($B$5:$B$344,$A126-1)-1,""))</f>
        <v/>
      </c>
      <c r="D126" s="11">
        <f>IF(OR($A126=1,$B126="",$A126+D$3&gt;340),"",IF(INDEX($B$5:$B$344,$A126+D$3)="","",IF(AND(YEAR($B126)=$B$2,YEAR(INDEX($B$5:$B$344,$A126+D$3-1))=$B$2),INDEX($B$5:$B$344,$A126+D$3)-INDEX($B$5:$B$344,$A126-1)-1,"")))</f>
        <v/>
      </c>
      <c r="E126" s="11">
        <f>IF(OR($A126=1,$B126="",$A126+E$3&gt;340),"",IF(INDEX($B$5:$B$344,$A126+E$3)="","",IF(AND(YEAR($B126)=$B$2,YEAR(INDEX($B$5:$B$344,$A126+E$3-1))=$B$2),INDEX($B$5:$B$344,$A126+E$3)-INDEX($B$5:$B$344,$A126-1)-1,"")))</f>
        <v/>
      </c>
      <c r="F126" s="11">
        <f>IF(OR($A126=1,$B126="",$A126+F$3&gt;340),"",IF(INDEX($B$5:$B$344,$A126+F$3)="","",IF(AND(YEAR($B126)=$B$2,YEAR(INDEX($B$5:$B$344,$A126+F$3-1))=$B$2),INDEX($B$5:$B$344,$A126+F$3)-INDEX($B$5:$B$344,$A126-1)-1,"")))</f>
        <v/>
      </c>
      <c r="G126" s="11">
        <f>IF(OR($A126=1,$B126="",$A126+G$3&gt;340),"",IF(INDEX($B$5:$B$344,$A126+G$3)="","",IF(AND(YEAR($B126)=$B$2,YEAR(INDEX($B$5:$B$344,$A126+G$3-1))=$B$2),INDEX($B$5:$B$344,$A126+G$3)-INDEX($B$5:$B$344,$A126-1)-1,"")))</f>
        <v/>
      </c>
      <c r="H126" s="11">
        <f>IF(OR($A126=1,$B126="",$A126+H$3&gt;340),"",IF(INDEX($B$5:$B$344,$A126+H$3)="","",IF(AND(YEAR($B126)=$B$2,YEAR(INDEX($B$5:$B$344,$A126+H$3-1))=$B$2),INDEX($B$5:$B$344,$A126+H$3)-INDEX($B$5:$B$344,$A126-1)-1,"")))</f>
        <v/>
      </c>
      <c r="I126" s="11">
        <f>IF(OR($A126=1,$B126="",$A126+I$3&gt;340),"",IF(INDEX($B$5:$B$344,$A126+I$3)="","",IF(AND(YEAR($B126)=$B$2,YEAR(INDEX($B$5:$B$344,$A126+I$3-1))=$B$2),INDEX($B$5:$B$344,$A126+I$3)-INDEX($B$5:$B$344,$A126-1)-1,"")))</f>
        <v/>
      </c>
      <c r="J126" s="11">
        <f>IF(OR($A126=1,$B126="",$A126+J$3&gt;340),"",IF(INDEX($B$5:$B$344,$A126+J$3)="","",IF(AND(YEAR($B126)=$B$2,YEAR(INDEX($B$5:$B$344,$A126+J$3-1))=$B$2),INDEX($B$5:$B$344,$A126+J$3)-INDEX($B$5:$B$344,$A126-1)-1,"")))</f>
        <v/>
      </c>
      <c r="K126" s="11">
        <f>IF(OR($A126=1,$B126="",$A126+K$3&gt;340),"",IF(INDEX($B$5:$B$344,$A126+K$3)="","",IF(AND(YEAR($B126)=$B$2,YEAR(INDEX($B$5:$B$344,$A126+K$3-1))=$B$2),INDEX($B$5:$B$344,$A126+K$3)-INDEX($B$5:$B$344,$A126-1)-1,"")))</f>
        <v/>
      </c>
      <c r="L126" s="11">
        <f>IF(OR($A126=1,$B126="",$A126+L$3&gt;340),"",IF(INDEX($B$5:$B$344,$A126+L$3)="","",IF(AND(YEAR($B126)=$B$2,YEAR(INDEX($B$5:$B$344,$A126+L$3-1))=$B$2),INDEX($B$5:$B$344,$A126+L$3)-INDEX($B$5:$B$344,$A126-1)-1,"")))</f>
        <v/>
      </c>
      <c r="M126" s="11">
        <f>IF(OR($A126=1,$B126="",$A126+M$3&gt;340),"",IF(INDEX($B$5:$B$344,$A126+M$3)="","",IF(AND(YEAR($B126)=$B$2,YEAR(INDEX($B$5:$B$344,$A126+M$3-1))=$B$2),INDEX($B$5:$B$344,$A126+M$3)-INDEX($B$5:$B$344,$A126-1)-1,"")))</f>
        <v/>
      </c>
    </row>
    <row r="127">
      <c r="A127" s="11" t="n">
        <v>123</v>
      </c>
      <c r="B127" s="10">
        <f>IFERROR(INDEX('2_暦'!$A$7:$A$433,MATCH(A127,'2_暦'!$K$7:$K$433,0)),"")</f>
        <v/>
      </c>
      <c r="C127" s="11">
        <f>IF(OR($A127=1,$B127=""),"",IF(OR(YEAR($B127-1)=$B$2,YEAR(INDEX($B$5:$B$344,$A127-1)+1)=$B$2),$B127-INDEX($B$5:$B$344,$A127-1)-1,""))</f>
        <v/>
      </c>
      <c r="D127" s="11">
        <f>IF(OR($A127=1,$B127="",$A127+D$3&gt;340),"",IF(INDEX($B$5:$B$344,$A127+D$3)="","",IF(AND(YEAR($B127)=$B$2,YEAR(INDEX($B$5:$B$344,$A127+D$3-1))=$B$2),INDEX($B$5:$B$344,$A127+D$3)-INDEX($B$5:$B$344,$A127-1)-1,"")))</f>
        <v/>
      </c>
      <c r="E127" s="11">
        <f>IF(OR($A127=1,$B127="",$A127+E$3&gt;340),"",IF(INDEX($B$5:$B$344,$A127+E$3)="","",IF(AND(YEAR($B127)=$B$2,YEAR(INDEX($B$5:$B$344,$A127+E$3-1))=$B$2),INDEX($B$5:$B$344,$A127+E$3)-INDEX($B$5:$B$344,$A127-1)-1,"")))</f>
        <v/>
      </c>
      <c r="F127" s="11">
        <f>IF(OR($A127=1,$B127="",$A127+F$3&gt;340),"",IF(INDEX($B$5:$B$344,$A127+F$3)="","",IF(AND(YEAR($B127)=$B$2,YEAR(INDEX($B$5:$B$344,$A127+F$3-1))=$B$2),INDEX($B$5:$B$344,$A127+F$3)-INDEX($B$5:$B$344,$A127-1)-1,"")))</f>
        <v/>
      </c>
      <c r="G127" s="11">
        <f>IF(OR($A127=1,$B127="",$A127+G$3&gt;340),"",IF(INDEX($B$5:$B$344,$A127+G$3)="","",IF(AND(YEAR($B127)=$B$2,YEAR(INDEX($B$5:$B$344,$A127+G$3-1))=$B$2),INDEX($B$5:$B$344,$A127+G$3)-INDEX($B$5:$B$344,$A127-1)-1,"")))</f>
        <v/>
      </c>
      <c r="H127" s="11">
        <f>IF(OR($A127=1,$B127="",$A127+H$3&gt;340),"",IF(INDEX($B$5:$B$344,$A127+H$3)="","",IF(AND(YEAR($B127)=$B$2,YEAR(INDEX($B$5:$B$344,$A127+H$3-1))=$B$2),INDEX($B$5:$B$344,$A127+H$3)-INDEX($B$5:$B$344,$A127-1)-1,"")))</f>
        <v/>
      </c>
      <c r="I127" s="11">
        <f>IF(OR($A127=1,$B127="",$A127+I$3&gt;340),"",IF(INDEX($B$5:$B$344,$A127+I$3)="","",IF(AND(YEAR($B127)=$B$2,YEAR(INDEX($B$5:$B$344,$A127+I$3-1))=$B$2),INDEX($B$5:$B$344,$A127+I$3)-INDEX($B$5:$B$344,$A127-1)-1,"")))</f>
        <v/>
      </c>
      <c r="J127" s="11">
        <f>IF(OR($A127=1,$B127="",$A127+J$3&gt;340),"",IF(INDEX($B$5:$B$344,$A127+J$3)="","",IF(AND(YEAR($B127)=$B$2,YEAR(INDEX($B$5:$B$344,$A127+J$3-1))=$B$2),INDEX($B$5:$B$344,$A127+J$3)-INDEX($B$5:$B$344,$A127-1)-1,"")))</f>
        <v/>
      </c>
      <c r="K127" s="11">
        <f>IF(OR($A127=1,$B127="",$A127+K$3&gt;340),"",IF(INDEX($B$5:$B$344,$A127+K$3)="","",IF(AND(YEAR($B127)=$B$2,YEAR(INDEX($B$5:$B$344,$A127+K$3-1))=$B$2),INDEX($B$5:$B$344,$A127+K$3)-INDEX($B$5:$B$344,$A127-1)-1,"")))</f>
        <v/>
      </c>
      <c r="L127" s="11">
        <f>IF(OR($A127=1,$B127="",$A127+L$3&gt;340),"",IF(INDEX($B$5:$B$344,$A127+L$3)="","",IF(AND(YEAR($B127)=$B$2,YEAR(INDEX($B$5:$B$344,$A127+L$3-1))=$B$2),INDEX($B$5:$B$344,$A127+L$3)-INDEX($B$5:$B$344,$A127-1)-1,"")))</f>
        <v/>
      </c>
      <c r="M127" s="11">
        <f>IF(OR($A127=1,$B127="",$A127+M$3&gt;340),"",IF(INDEX($B$5:$B$344,$A127+M$3)="","",IF(AND(YEAR($B127)=$B$2,YEAR(INDEX($B$5:$B$344,$A127+M$3-1))=$B$2),INDEX($B$5:$B$344,$A127+M$3)-INDEX($B$5:$B$344,$A127-1)-1,"")))</f>
        <v/>
      </c>
    </row>
    <row r="128">
      <c r="A128" s="11" t="n">
        <v>124</v>
      </c>
      <c r="B128" s="10">
        <f>IFERROR(INDEX('2_暦'!$A$7:$A$433,MATCH(A128,'2_暦'!$K$7:$K$433,0)),"")</f>
        <v/>
      </c>
      <c r="C128" s="11">
        <f>IF(OR($A128=1,$B128=""),"",IF(OR(YEAR($B128-1)=$B$2,YEAR(INDEX($B$5:$B$344,$A128-1)+1)=$B$2),$B128-INDEX($B$5:$B$344,$A128-1)-1,""))</f>
        <v/>
      </c>
      <c r="D128" s="11">
        <f>IF(OR($A128=1,$B128="",$A128+D$3&gt;340),"",IF(INDEX($B$5:$B$344,$A128+D$3)="","",IF(AND(YEAR($B128)=$B$2,YEAR(INDEX($B$5:$B$344,$A128+D$3-1))=$B$2),INDEX($B$5:$B$344,$A128+D$3)-INDEX($B$5:$B$344,$A128-1)-1,"")))</f>
        <v/>
      </c>
      <c r="E128" s="11">
        <f>IF(OR($A128=1,$B128="",$A128+E$3&gt;340),"",IF(INDEX($B$5:$B$344,$A128+E$3)="","",IF(AND(YEAR($B128)=$B$2,YEAR(INDEX($B$5:$B$344,$A128+E$3-1))=$B$2),INDEX($B$5:$B$344,$A128+E$3)-INDEX($B$5:$B$344,$A128-1)-1,"")))</f>
        <v/>
      </c>
      <c r="F128" s="11">
        <f>IF(OR($A128=1,$B128="",$A128+F$3&gt;340),"",IF(INDEX($B$5:$B$344,$A128+F$3)="","",IF(AND(YEAR($B128)=$B$2,YEAR(INDEX($B$5:$B$344,$A128+F$3-1))=$B$2),INDEX($B$5:$B$344,$A128+F$3)-INDEX($B$5:$B$344,$A128-1)-1,"")))</f>
        <v/>
      </c>
      <c r="G128" s="11">
        <f>IF(OR($A128=1,$B128="",$A128+G$3&gt;340),"",IF(INDEX($B$5:$B$344,$A128+G$3)="","",IF(AND(YEAR($B128)=$B$2,YEAR(INDEX($B$5:$B$344,$A128+G$3-1))=$B$2),INDEX($B$5:$B$344,$A128+G$3)-INDEX($B$5:$B$344,$A128-1)-1,"")))</f>
        <v/>
      </c>
      <c r="H128" s="11">
        <f>IF(OR($A128=1,$B128="",$A128+H$3&gt;340),"",IF(INDEX($B$5:$B$344,$A128+H$3)="","",IF(AND(YEAR($B128)=$B$2,YEAR(INDEX($B$5:$B$344,$A128+H$3-1))=$B$2),INDEX($B$5:$B$344,$A128+H$3)-INDEX($B$5:$B$344,$A128-1)-1,"")))</f>
        <v/>
      </c>
      <c r="I128" s="11">
        <f>IF(OR($A128=1,$B128="",$A128+I$3&gt;340),"",IF(INDEX($B$5:$B$344,$A128+I$3)="","",IF(AND(YEAR($B128)=$B$2,YEAR(INDEX($B$5:$B$344,$A128+I$3-1))=$B$2),INDEX($B$5:$B$344,$A128+I$3)-INDEX($B$5:$B$344,$A128-1)-1,"")))</f>
        <v/>
      </c>
      <c r="J128" s="11">
        <f>IF(OR($A128=1,$B128="",$A128+J$3&gt;340),"",IF(INDEX($B$5:$B$344,$A128+J$3)="","",IF(AND(YEAR($B128)=$B$2,YEAR(INDEX($B$5:$B$344,$A128+J$3-1))=$B$2),INDEX($B$5:$B$344,$A128+J$3)-INDEX($B$5:$B$344,$A128-1)-1,"")))</f>
        <v/>
      </c>
      <c r="K128" s="11">
        <f>IF(OR($A128=1,$B128="",$A128+K$3&gt;340),"",IF(INDEX($B$5:$B$344,$A128+K$3)="","",IF(AND(YEAR($B128)=$B$2,YEAR(INDEX($B$5:$B$344,$A128+K$3-1))=$B$2),INDEX($B$5:$B$344,$A128+K$3)-INDEX($B$5:$B$344,$A128-1)-1,"")))</f>
        <v/>
      </c>
      <c r="L128" s="11">
        <f>IF(OR($A128=1,$B128="",$A128+L$3&gt;340),"",IF(INDEX($B$5:$B$344,$A128+L$3)="","",IF(AND(YEAR($B128)=$B$2,YEAR(INDEX($B$5:$B$344,$A128+L$3-1))=$B$2),INDEX($B$5:$B$344,$A128+L$3)-INDEX($B$5:$B$344,$A128-1)-1,"")))</f>
        <v/>
      </c>
      <c r="M128" s="11">
        <f>IF(OR($A128=1,$B128="",$A128+M$3&gt;340),"",IF(INDEX($B$5:$B$344,$A128+M$3)="","",IF(AND(YEAR($B128)=$B$2,YEAR(INDEX($B$5:$B$344,$A128+M$3-1))=$B$2),INDEX($B$5:$B$344,$A128+M$3)-INDEX($B$5:$B$344,$A128-1)-1,"")))</f>
        <v/>
      </c>
    </row>
    <row r="129">
      <c r="A129" s="11" t="n">
        <v>125</v>
      </c>
      <c r="B129" s="10">
        <f>IFERROR(INDEX('2_暦'!$A$7:$A$433,MATCH(A129,'2_暦'!$K$7:$K$433,0)),"")</f>
        <v/>
      </c>
      <c r="C129" s="11">
        <f>IF(OR($A129=1,$B129=""),"",IF(OR(YEAR($B129-1)=$B$2,YEAR(INDEX($B$5:$B$344,$A129-1)+1)=$B$2),$B129-INDEX($B$5:$B$344,$A129-1)-1,""))</f>
        <v/>
      </c>
      <c r="D129" s="11">
        <f>IF(OR($A129=1,$B129="",$A129+D$3&gt;340),"",IF(INDEX($B$5:$B$344,$A129+D$3)="","",IF(AND(YEAR($B129)=$B$2,YEAR(INDEX($B$5:$B$344,$A129+D$3-1))=$B$2),INDEX($B$5:$B$344,$A129+D$3)-INDEX($B$5:$B$344,$A129-1)-1,"")))</f>
        <v/>
      </c>
      <c r="E129" s="11">
        <f>IF(OR($A129=1,$B129="",$A129+E$3&gt;340),"",IF(INDEX($B$5:$B$344,$A129+E$3)="","",IF(AND(YEAR($B129)=$B$2,YEAR(INDEX($B$5:$B$344,$A129+E$3-1))=$B$2),INDEX($B$5:$B$344,$A129+E$3)-INDEX($B$5:$B$344,$A129-1)-1,"")))</f>
        <v/>
      </c>
      <c r="F129" s="11">
        <f>IF(OR($A129=1,$B129="",$A129+F$3&gt;340),"",IF(INDEX($B$5:$B$344,$A129+F$3)="","",IF(AND(YEAR($B129)=$B$2,YEAR(INDEX($B$5:$B$344,$A129+F$3-1))=$B$2),INDEX($B$5:$B$344,$A129+F$3)-INDEX($B$5:$B$344,$A129-1)-1,"")))</f>
        <v/>
      </c>
      <c r="G129" s="11">
        <f>IF(OR($A129=1,$B129="",$A129+G$3&gt;340),"",IF(INDEX($B$5:$B$344,$A129+G$3)="","",IF(AND(YEAR($B129)=$B$2,YEAR(INDEX($B$5:$B$344,$A129+G$3-1))=$B$2),INDEX($B$5:$B$344,$A129+G$3)-INDEX($B$5:$B$344,$A129-1)-1,"")))</f>
        <v/>
      </c>
      <c r="H129" s="11">
        <f>IF(OR($A129=1,$B129="",$A129+H$3&gt;340),"",IF(INDEX($B$5:$B$344,$A129+H$3)="","",IF(AND(YEAR($B129)=$B$2,YEAR(INDEX($B$5:$B$344,$A129+H$3-1))=$B$2),INDEX($B$5:$B$344,$A129+H$3)-INDEX($B$5:$B$344,$A129-1)-1,"")))</f>
        <v/>
      </c>
      <c r="I129" s="11">
        <f>IF(OR($A129=1,$B129="",$A129+I$3&gt;340),"",IF(INDEX($B$5:$B$344,$A129+I$3)="","",IF(AND(YEAR($B129)=$B$2,YEAR(INDEX($B$5:$B$344,$A129+I$3-1))=$B$2),INDEX($B$5:$B$344,$A129+I$3)-INDEX($B$5:$B$344,$A129-1)-1,"")))</f>
        <v/>
      </c>
      <c r="J129" s="11">
        <f>IF(OR($A129=1,$B129="",$A129+J$3&gt;340),"",IF(INDEX($B$5:$B$344,$A129+J$3)="","",IF(AND(YEAR($B129)=$B$2,YEAR(INDEX($B$5:$B$344,$A129+J$3-1))=$B$2),INDEX($B$5:$B$344,$A129+J$3)-INDEX($B$5:$B$344,$A129-1)-1,"")))</f>
        <v/>
      </c>
      <c r="K129" s="11">
        <f>IF(OR($A129=1,$B129="",$A129+K$3&gt;340),"",IF(INDEX($B$5:$B$344,$A129+K$3)="","",IF(AND(YEAR($B129)=$B$2,YEAR(INDEX($B$5:$B$344,$A129+K$3-1))=$B$2),INDEX($B$5:$B$344,$A129+K$3)-INDEX($B$5:$B$344,$A129-1)-1,"")))</f>
        <v/>
      </c>
      <c r="L129" s="11">
        <f>IF(OR($A129=1,$B129="",$A129+L$3&gt;340),"",IF(INDEX($B$5:$B$344,$A129+L$3)="","",IF(AND(YEAR($B129)=$B$2,YEAR(INDEX($B$5:$B$344,$A129+L$3-1))=$B$2),INDEX($B$5:$B$344,$A129+L$3)-INDEX($B$5:$B$344,$A129-1)-1,"")))</f>
        <v/>
      </c>
      <c r="M129" s="11">
        <f>IF(OR($A129=1,$B129="",$A129+M$3&gt;340),"",IF(INDEX($B$5:$B$344,$A129+M$3)="","",IF(AND(YEAR($B129)=$B$2,YEAR(INDEX($B$5:$B$344,$A129+M$3-1))=$B$2),INDEX($B$5:$B$344,$A129+M$3)-INDEX($B$5:$B$344,$A129-1)-1,"")))</f>
        <v/>
      </c>
    </row>
    <row r="130">
      <c r="A130" s="11" t="n">
        <v>126</v>
      </c>
      <c r="B130" s="10">
        <f>IFERROR(INDEX('2_暦'!$A$7:$A$433,MATCH(A130,'2_暦'!$K$7:$K$433,0)),"")</f>
        <v/>
      </c>
      <c r="C130" s="11">
        <f>IF(OR($A130=1,$B130=""),"",IF(OR(YEAR($B130-1)=$B$2,YEAR(INDEX($B$5:$B$344,$A130-1)+1)=$B$2),$B130-INDEX($B$5:$B$344,$A130-1)-1,""))</f>
        <v/>
      </c>
      <c r="D130" s="11">
        <f>IF(OR($A130=1,$B130="",$A130+D$3&gt;340),"",IF(INDEX($B$5:$B$344,$A130+D$3)="","",IF(AND(YEAR($B130)=$B$2,YEAR(INDEX($B$5:$B$344,$A130+D$3-1))=$B$2),INDEX($B$5:$B$344,$A130+D$3)-INDEX($B$5:$B$344,$A130-1)-1,"")))</f>
        <v/>
      </c>
      <c r="E130" s="11">
        <f>IF(OR($A130=1,$B130="",$A130+E$3&gt;340),"",IF(INDEX($B$5:$B$344,$A130+E$3)="","",IF(AND(YEAR($B130)=$B$2,YEAR(INDEX($B$5:$B$344,$A130+E$3-1))=$B$2),INDEX($B$5:$B$344,$A130+E$3)-INDEX($B$5:$B$344,$A130-1)-1,"")))</f>
        <v/>
      </c>
      <c r="F130" s="11">
        <f>IF(OR($A130=1,$B130="",$A130+F$3&gt;340),"",IF(INDEX($B$5:$B$344,$A130+F$3)="","",IF(AND(YEAR($B130)=$B$2,YEAR(INDEX($B$5:$B$344,$A130+F$3-1))=$B$2),INDEX($B$5:$B$344,$A130+F$3)-INDEX($B$5:$B$344,$A130-1)-1,"")))</f>
        <v/>
      </c>
      <c r="G130" s="11">
        <f>IF(OR($A130=1,$B130="",$A130+G$3&gt;340),"",IF(INDEX($B$5:$B$344,$A130+G$3)="","",IF(AND(YEAR($B130)=$B$2,YEAR(INDEX($B$5:$B$344,$A130+G$3-1))=$B$2),INDEX($B$5:$B$344,$A130+G$3)-INDEX($B$5:$B$344,$A130-1)-1,"")))</f>
        <v/>
      </c>
      <c r="H130" s="11">
        <f>IF(OR($A130=1,$B130="",$A130+H$3&gt;340),"",IF(INDEX($B$5:$B$344,$A130+H$3)="","",IF(AND(YEAR($B130)=$B$2,YEAR(INDEX($B$5:$B$344,$A130+H$3-1))=$B$2),INDEX($B$5:$B$344,$A130+H$3)-INDEX($B$5:$B$344,$A130-1)-1,"")))</f>
        <v/>
      </c>
      <c r="I130" s="11">
        <f>IF(OR($A130=1,$B130="",$A130+I$3&gt;340),"",IF(INDEX($B$5:$B$344,$A130+I$3)="","",IF(AND(YEAR($B130)=$B$2,YEAR(INDEX($B$5:$B$344,$A130+I$3-1))=$B$2),INDEX($B$5:$B$344,$A130+I$3)-INDEX($B$5:$B$344,$A130-1)-1,"")))</f>
        <v/>
      </c>
      <c r="J130" s="11">
        <f>IF(OR($A130=1,$B130="",$A130+J$3&gt;340),"",IF(INDEX($B$5:$B$344,$A130+J$3)="","",IF(AND(YEAR($B130)=$B$2,YEAR(INDEX($B$5:$B$344,$A130+J$3-1))=$B$2),INDEX($B$5:$B$344,$A130+J$3)-INDEX($B$5:$B$344,$A130-1)-1,"")))</f>
        <v/>
      </c>
      <c r="K130" s="11">
        <f>IF(OR($A130=1,$B130="",$A130+K$3&gt;340),"",IF(INDEX($B$5:$B$344,$A130+K$3)="","",IF(AND(YEAR($B130)=$B$2,YEAR(INDEX($B$5:$B$344,$A130+K$3-1))=$B$2),INDEX($B$5:$B$344,$A130+K$3)-INDEX($B$5:$B$344,$A130-1)-1,"")))</f>
        <v/>
      </c>
      <c r="L130" s="11">
        <f>IF(OR($A130=1,$B130="",$A130+L$3&gt;340),"",IF(INDEX($B$5:$B$344,$A130+L$3)="","",IF(AND(YEAR($B130)=$B$2,YEAR(INDEX($B$5:$B$344,$A130+L$3-1))=$B$2),INDEX($B$5:$B$344,$A130+L$3)-INDEX($B$5:$B$344,$A130-1)-1,"")))</f>
        <v/>
      </c>
      <c r="M130" s="11">
        <f>IF(OR($A130=1,$B130="",$A130+M$3&gt;340),"",IF(INDEX($B$5:$B$344,$A130+M$3)="","",IF(AND(YEAR($B130)=$B$2,YEAR(INDEX($B$5:$B$344,$A130+M$3-1))=$B$2),INDEX($B$5:$B$344,$A130+M$3)-INDEX($B$5:$B$344,$A130-1)-1,"")))</f>
        <v/>
      </c>
    </row>
    <row r="131">
      <c r="A131" s="11" t="n">
        <v>127</v>
      </c>
      <c r="B131" s="10">
        <f>IFERROR(INDEX('2_暦'!$A$7:$A$433,MATCH(A131,'2_暦'!$K$7:$K$433,0)),"")</f>
        <v/>
      </c>
      <c r="C131" s="11">
        <f>IF(OR($A131=1,$B131=""),"",IF(OR(YEAR($B131-1)=$B$2,YEAR(INDEX($B$5:$B$344,$A131-1)+1)=$B$2),$B131-INDEX($B$5:$B$344,$A131-1)-1,""))</f>
        <v/>
      </c>
      <c r="D131" s="11">
        <f>IF(OR($A131=1,$B131="",$A131+D$3&gt;340),"",IF(INDEX($B$5:$B$344,$A131+D$3)="","",IF(AND(YEAR($B131)=$B$2,YEAR(INDEX($B$5:$B$344,$A131+D$3-1))=$B$2),INDEX($B$5:$B$344,$A131+D$3)-INDEX($B$5:$B$344,$A131-1)-1,"")))</f>
        <v/>
      </c>
      <c r="E131" s="11">
        <f>IF(OR($A131=1,$B131="",$A131+E$3&gt;340),"",IF(INDEX($B$5:$B$344,$A131+E$3)="","",IF(AND(YEAR($B131)=$B$2,YEAR(INDEX($B$5:$B$344,$A131+E$3-1))=$B$2),INDEX($B$5:$B$344,$A131+E$3)-INDEX($B$5:$B$344,$A131-1)-1,"")))</f>
        <v/>
      </c>
      <c r="F131" s="11">
        <f>IF(OR($A131=1,$B131="",$A131+F$3&gt;340),"",IF(INDEX($B$5:$B$344,$A131+F$3)="","",IF(AND(YEAR($B131)=$B$2,YEAR(INDEX($B$5:$B$344,$A131+F$3-1))=$B$2),INDEX($B$5:$B$344,$A131+F$3)-INDEX($B$5:$B$344,$A131-1)-1,"")))</f>
        <v/>
      </c>
      <c r="G131" s="11">
        <f>IF(OR($A131=1,$B131="",$A131+G$3&gt;340),"",IF(INDEX($B$5:$B$344,$A131+G$3)="","",IF(AND(YEAR($B131)=$B$2,YEAR(INDEX($B$5:$B$344,$A131+G$3-1))=$B$2),INDEX($B$5:$B$344,$A131+G$3)-INDEX($B$5:$B$344,$A131-1)-1,"")))</f>
        <v/>
      </c>
      <c r="H131" s="11">
        <f>IF(OR($A131=1,$B131="",$A131+H$3&gt;340),"",IF(INDEX($B$5:$B$344,$A131+H$3)="","",IF(AND(YEAR($B131)=$B$2,YEAR(INDEX($B$5:$B$344,$A131+H$3-1))=$B$2),INDEX($B$5:$B$344,$A131+H$3)-INDEX($B$5:$B$344,$A131-1)-1,"")))</f>
        <v/>
      </c>
      <c r="I131" s="11">
        <f>IF(OR($A131=1,$B131="",$A131+I$3&gt;340),"",IF(INDEX($B$5:$B$344,$A131+I$3)="","",IF(AND(YEAR($B131)=$B$2,YEAR(INDEX($B$5:$B$344,$A131+I$3-1))=$B$2),INDEX($B$5:$B$344,$A131+I$3)-INDEX($B$5:$B$344,$A131-1)-1,"")))</f>
        <v/>
      </c>
      <c r="J131" s="11">
        <f>IF(OR($A131=1,$B131="",$A131+J$3&gt;340),"",IF(INDEX($B$5:$B$344,$A131+J$3)="","",IF(AND(YEAR($B131)=$B$2,YEAR(INDEX($B$5:$B$344,$A131+J$3-1))=$B$2),INDEX($B$5:$B$344,$A131+J$3)-INDEX($B$5:$B$344,$A131-1)-1,"")))</f>
        <v/>
      </c>
      <c r="K131" s="11">
        <f>IF(OR($A131=1,$B131="",$A131+K$3&gt;340),"",IF(INDEX($B$5:$B$344,$A131+K$3)="","",IF(AND(YEAR($B131)=$B$2,YEAR(INDEX($B$5:$B$344,$A131+K$3-1))=$B$2),INDEX($B$5:$B$344,$A131+K$3)-INDEX($B$5:$B$344,$A131-1)-1,"")))</f>
        <v/>
      </c>
      <c r="L131" s="11">
        <f>IF(OR($A131=1,$B131="",$A131+L$3&gt;340),"",IF(INDEX($B$5:$B$344,$A131+L$3)="","",IF(AND(YEAR($B131)=$B$2,YEAR(INDEX($B$5:$B$344,$A131+L$3-1))=$B$2),INDEX($B$5:$B$344,$A131+L$3)-INDEX($B$5:$B$344,$A131-1)-1,"")))</f>
        <v/>
      </c>
      <c r="M131" s="11">
        <f>IF(OR($A131=1,$B131="",$A131+M$3&gt;340),"",IF(INDEX($B$5:$B$344,$A131+M$3)="","",IF(AND(YEAR($B131)=$B$2,YEAR(INDEX($B$5:$B$344,$A131+M$3-1))=$B$2),INDEX($B$5:$B$344,$A131+M$3)-INDEX($B$5:$B$344,$A131-1)-1,"")))</f>
        <v/>
      </c>
    </row>
    <row r="132">
      <c r="A132" s="11" t="n">
        <v>128</v>
      </c>
      <c r="B132" s="10">
        <f>IFERROR(INDEX('2_暦'!$A$7:$A$433,MATCH(A132,'2_暦'!$K$7:$K$433,0)),"")</f>
        <v/>
      </c>
      <c r="C132" s="11">
        <f>IF(OR($A132=1,$B132=""),"",IF(OR(YEAR($B132-1)=$B$2,YEAR(INDEX($B$5:$B$344,$A132-1)+1)=$B$2),$B132-INDEX($B$5:$B$344,$A132-1)-1,""))</f>
        <v/>
      </c>
      <c r="D132" s="11">
        <f>IF(OR($A132=1,$B132="",$A132+D$3&gt;340),"",IF(INDEX($B$5:$B$344,$A132+D$3)="","",IF(AND(YEAR($B132)=$B$2,YEAR(INDEX($B$5:$B$344,$A132+D$3-1))=$B$2),INDEX($B$5:$B$344,$A132+D$3)-INDEX($B$5:$B$344,$A132-1)-1,"")))</f>
        <v/>
      </c>
      <c r="E132" s="11">
        <f>IF(OR($A132=1,$B132="",$A132+E$3&gt;340),"",IF(INDEX($B$5:$B$344,$A132+E$3)="","",IF(AND(YEAR($B132)=$B$2,YEAR(INDEX($B$5:$B$344,$A132+E$3-1))=$B$2),INDEX($B$5:$B$344,$A132+E$3)-INDEX($B$5:$B$344,$A132-1)-1,"")))</f>
        <v/>
      </c>
      <c r="F132" s="11">
        <f>IF(OR($A132=1,$B132="",$A132+F$3&gt;340),"",IF(INDEX($B$5:$B$344,$A132+F$3)="","",IF(AND(YEAR($B132)=$B$2,YEAR(INDEX($B$5:$B$344,$A132+F$3-1))=$B$2),INDEX($B$5:$B$344,$A132+F$3)-INDEX($B$5:$B$344,$A132-1)-1,"")))</f>
        <v/>
      </c>
      <c r="G132" s="11">
        <f>IF(OR($A132=1,$B132="",$A132+G$3&gt;340),"",IF(INDEX($B$5:$B$344,$A132+G$3)="","",IF(AND(YEAR($B132)=$B$2,YEAR(INDEX($B$5:$B$344,$A132+G$3-1))=$B$2),INDEX($B$5:$B$344,$A132+G$3)-INDEX($B$5:$B$344,$A132-1)-1,"")))</f>
        <v/>
      </c>
      <c r="H132" s="11">
        <f>IF(OR($A132=1,$B132="",$A132+H$3&gt;340),"",IF(INDEX($B$5:$B$344,$A132+H$3)="","",IF(AND(YEAR($B132)=$B$2,YEAR(INDEX($B$5:$B$344,$A132+H$3-1))=$B$2),INDEX($B$5:$B$344,$A132+H$3)-INDEX($B$5:$B$344,$A132-1)-1,"")))</f>
        <v/>
      </c>
      <c r="I132" s="11">
        <f>IF(OR($A132=1,$B132="",$A132+I$3&gt;340),"",IF(INDEX($B$5:$B$344,$A132+I$3)="","",IF(AND(YEAR($B132)=$B$2,YEAR(INDEX($B$5:$B$344,$A132+I$3-1))=$B$2),INDEX($B$5:$B$344,$A132+I$3)-INDEX($B$5:$B$344,$A132-1)-1,"")))</f>
        <v/>
      </c>
      <c r="J132" s="11">
        <f>IF(OR($A132=1,$B132="",$A132+J$3&gt;340),"",IF(INDEX($B$5:$B$344,$A132+J$3)="","",IF(AND(YEAR($B132)=$B$2,YEAR(INDEX($B$5:$B$344,$A132+J$3-1))=$B$2),INDEX($B$5:$B$344,$A132+J$3)-INDEX($B$5:$B$344,$A132-1)-1,"")))</f>
        <v/>
      </c>
      <c r="K132" s="11">
        <f>IF(OR($A132=1,$B132="",$A132+K$3&gt;340),"",IF(INDEX($B$5:$B$344,$A132+K$3)="","",IF(AND(YEAR($B132)=$B$2,YEAR(INDEX($B$5:$B$344,$A132+K$3-1))=$B$2),INDEX($B$5:$B$344,$A132+K$3)-INDEX($B$5:$B$344,$A132-1)-1,"")))</f>
        <v/>
      </c>
      <c r="L132" s="11">
        <f>IF(OR($A132=1,$B132="",$A132+L$3&gt;340),"",IF(INDEX($B$5:$B$344,$A132+L$3)="","",IF(AND(YEAR($B132)=$B$2,YEAR(INDEX($B$5:$B$344,$A132+L$3-1))=$B$2),INDEX($B$5:$B$344,$A132+L$3)-INDEX($B$5:$B$344,$A132-1)-1,"")))</f>
        <v/>
      </c>
      <c r="M132" s="11">
        <f>IF(OR($A132=1,$B132="",$A132+M$3&gt;340),"",IF(INDEX($B$5:$B$344,$A132+M$3)="","",IF(AND(YEAR($B132)=$B$2,YEAR(INDEX($B$5:$B$344,$A132+M$3-1))=$B$2),INDEX($B$5:$B$344,$A132+M$3)-INDEX($B$5:$B$344,$A132-1)-1,"")))</f>
        <v/>
      </c>
    </row>
    <row r="133">
      <c r="A133" s="11" t="n">
        <v>129</v>
      </c>
      <c r="B133" s="10">
        <f>IFERROR(INDEX('2_暦'!$A$7:$A$433,MATCH(A133,'2_暦'!$K$7:$K$433,0)),"")</f>
        <v/>
      </c>
      <c r="C133" s="11">
        <f>IF(OR($A133=1,$B133=""),"",IF(OR(YEAR($B133-1)=$B$2,YEAR(INDEX($B$5:$B$344,$A133-1)+1)=$B$2),$B133-INDEX($B$5:$B$344,$A133-1)-1,""))</f>
        <v/>
      </c>
      <c r="D133" s="11">
        <f>IF(OR($A133=1,$B133="",$A133+D$3&gt;340),"",IF(INDEX($B$5:$B$344,$A133+D$3)="","",IF(AND(YEAR($B133)=$B$2,YEAR(INDEX($B$5:$B$344,$A133+D$3-1))=$B$2),INDEX($B$5:$B$344,$A133+D$3)-INDEX($B$5:$B$344,$A133-1)-1,"")))</f>
        <v/>
      </c>
      <c r="E133" s="11">
        <f>IF(OR($A133=1,$B133="",$A133+E$3&gt;340),"",IF(INDEX($B$5:$B$344,$A133+E$3)="","",IF(AND(YEAR($B133)=$B$2,YEAR(INDEX($B$5:$B$344,$A133+E$3-1))=$B$2),INDEX($B$5:$B$344,$A133+E$3)-INDEX($B$5:$B$344,$A133-1)-1,"")))</f>
        <v/>
      </c>
      <c r="F133" s="11">
        <f>IF(OR($A133=1,$B133="",$A133+F$3&gt;340),"",IF(INDEX($B$5:$B$344,$A133+F$3)="","",IF(AND(YEAR($B133)=$B$2,YEAR(INDEX($B$5:$B$344,$A133+F$3-1))=$B$2),INDEX($B$5:$B$344,$A133+F$3)-INDEX($B$5:$B$344,$A133-1)-1,"")))</f>
        <v/>
      </c>
      <c r="G133" s="11">
        <f>IF(OR($A133=1,$B133="",$A133+G$3&gt;340),"",IF(INDEX($B$5:$B$344,$A133+G$3)="","",IF(AND(YEAR($B133)=$B$2,YEAR(INDEX($B$5:$B$344,$A133+G$3-1))=$B$2),INDEX($B$5:$B$344,$A133+G$3)-INDEX($B$5:$B$344,$A133-1)-1,"")))</f>
        <v/>
      </c>
      <c r="H133" s="11">
        <f>IF(OR($A133=1,$B133="",$A133+H$3&gt;340),"",IF(INDEX($B$5:$B$344,$A133+H$3)="","",IF(AND(YEAR($B133)=$B$2,YEAR(INDEX($B$5:$B$344,$A133+H$3-1))=$B$2),INDEX($B$5:$B$344,$A133+H$3)-INDEX($B$5:$B$344,$A133-1)-1,"")))</f>
        <v/>
      </c>
      <c r="I133" s="11">
        <f>IF(OR($A133=1,$B133="",$A133+I$3&gt;340),"",IF(INDEX($B$5:$B$344,$A133+I$3)="","",IF(AND(YEAR($B133)=$B$2,YEAR(INDEX($B$5:$B$344,$A133+I$3-1))=$B$2),INDEX($B$5:$B$344,$A133+I$3)-INDEX($B$5:$B$344,$A133-1)-1,"")))</f>
        <v/>
      </c>
      <c r="J133" s="11">
        <f>IF(OR($A133=1,$B133="",$A133+J$3&gt;340),"",IF(INDEX($B$5:$B$344,$A133+J$3)="","",IF(AND(YEAR($B133)=$B$2,YEAR(INDEX($B$5:$B$344,$A133+J$3-1))=$B$2),INDEX($B$5:$B$344,$A133+J$3)-INDEX($B$5:$B$344,$A133-1)-1,"")))</f>
        <v/>
      </c>
      <c r="K133" s="11">
        <f>IF(OR($A133=1,$B133="",$A133+K$3&gt;340),"",IF(INDEX($B$5:$B$344,$A133+K$3)="","",IF(AND(YEAR($B133)=$B$2,YEAR(INDEX($B$5:$B$344,$A133+K$3-1))=$B$2),INDEX($B$5:$B$344,$A133+K$3)-INDEX($B$5:$B$344,$A133-1)-1,"")))</f>
        <v/>
      </c>
      <c r="L133" s="11">
        <f>IF(OR($A133=1,$B133="",$A133+L$3&gt;340),"",IF(INDEX($B$5:$B$344,$A133+L$3)="","",IF(AND(YEAR($B133)=$B$2,YEAR(INDEX($B$5:$B$344,$A133+L$3-1))=$B$2),INDEX($B$5:$B$344,$A133+L$3)-INDEX($B$5:$B$344,$A133-1)-1,"")))</f>
        <v/>
      </c>
      <c r="M133" s="11">
        <f>IF(OR($A133=1,$B133="",$A133+M$3&gt;340),"",IF(INDEX($B$5:$B$344,$A133+M$3)="","",IF(AND(YEAR($B133)=$B$2,YEAR(INDEX($B$5:$B$344,$A133+M$3-1))=$B$2),INDEX($B$5:$B$344,$A133+M$3)-INDEX($B$5:$B$344,$A133-1)-1,"")))</f>
        <v/>
      </c>
    </row>
    <row r="134">
      <c r="A134" s="11" t="n">
        <v>130</v>
      </c>
      <c r="B134" s="10">
        <f>IFERROR(INDEX('2_暦'!$A$7:$A$433,MATCH(A134,'2_暦'!$K$7:$K$433,0)),"")</f>
        <v/>
      </c>
      <c r="C134" s="11">
        <f>IF(OR($A134=1,$B134=""),"",IF(OR(YEAR($B134-1)=$B$2,YEAR(INDEX($B$5:$B$344,$A134-1)+1)=$B$2),$B134-INDEX($B$5:$B$344,$A134-1)-1,""))</f>
        <v/>
      </c>
      <c r="D134" s="11">
        <f>IF(OR($A134=1,$B134="",$A134+D$3&gt;340),"",IF(INDEX($B$5:$B$344,$A134+D$3)="","",IF(AND(YEAR($B134)=$B$2,YEAR(INDEX($B$5:$B$344,$A134+D$3-1))=$B$2),INDEX($B$5:$B$344,$A134+D$3)-INDEX($B$5:$B$344,$A134-1)-1,"")))</f>
        <v/>
      </c>
      <c r="E134" s="11">
        <f>IF(OR($A134=1,$B134="",$A134+E$3&gt;340),"",IF(INDEX($B$5:$B$344,$A134+E$3)="","",IF(AND(YEAR($B134)=$B$2,YEAR(INDEX($B$5:$B$344,$A134+E$3-1))=$B$2),INDEX($B$5:$B$344,$A134+E$3)-INDEX($B$5:$B$344,$A134-1)-1,"")))</f>
        <v/>
      </c>
      <c r="F134" s="11">
        <f>IF(OR($A134=1,$B134="",$A134+F$3&gt;340),"",IF(INDEX($B$5:$B$344,$A134+F$3)="","",IF(AND(YEAR($B134)=$B$2,YEAR(INDEX($B$5:$B$344,$A134+F$3-1))=$B$2),INDEX($B$5:$B$344,$A134+F$3)-INDEX($B$5:$B$344,$A134-1)-1,"")))</f>
        <v/>
      </c>
      <c r="G134" s="11">
        <f>IF(OR($A134=1,$B134="",$A134+G$3&gt;340),"",IF(INDEX($B$5:$B$344,$A134+G$3)="","",IF(AND(YEAR($B134)=$B$2,YEAR(INDEX($B$5:$B$344,$A134+G$3-1))=$B$2),INDEX($B$5:$B$344,$A134+G$3)-INDEX($B$5:$B$344,$A134-1)-1,"")))</f>
        <v/>
      </c>
      <c r="H134" s="11">
        <f>IF(OR($A134=1,$B134="",$A134+H$3&gt;340),"",IF(INDEX($B$5:$B$344,$A134+H$3)="","",IF(AND(YEAR($B134)=$B$2,YEAR(INDEX($B$5:$B$344,$A134+H$3-1))=$B$2),INDEX($B$5:$B$344,$A134+H$3)-INDEX($B$5:$B$344,$A134-1)-1,"")))</f>
        <v/>
      </c>
      <c r="I134" s="11">
        <f>IF(OR($A134=1,$B134="",$A134+I$3&gt;340),"",IF(INDEX($B$5:$B$344,$A134+I$3)="","",IF(AND(YEAR($B134)=$B$2,YEAR(INDEX($B$5:$B$344,$A134+I$3-1))=$B$2),INDEX($B$5:$B$344,$A134+I$3)-INDEX($B$5:$B$344,$A134-1)-1,"")))</f>
        <v/>
      </c>
      <c r="J134" s="11">
        <f>IF(OR($A134=1,$B134="",$A134+J$3&gt;340),"",IF(INDEX($B$5:$B$344,$A134+J$3)="","",IF(AND(YEAR($B134)=$B$2,YEAR(INDEX($B$5:$B$344,$A134+J$3-1))=$B$2),INDEX($B$5:$B$344,$A134+J$3)-INDEX($B$5:$B$344,$A134-1)-1,"")))</f>
        <v/>
      </c>
      <c r="K134" s="11">
        <f>IF(OR($A134=1,$B134="",$A134+K$3&gt;340),"",IF(INDEX($B$5:$B$344,$A134+K$3)="","",IF(AND(YEAR($B134)=$B$2,YEAR(INDEX($B$5:$B$344,$A134+K$3-1))=$B$2),INDEX($B$5:$B$344,$A134+K$3)-INDEX($B$5:$B$344,$A134-1)-1,"")))</f>
        <v/>
      </c>
      <c r="L134" s="11">
        <f>IF(OR($A134=1,$B134="",$A134+L$3&gt;340),"",IF(INDEX($B$5:$B$344,$A134+L$3)="","",IF(AND(YEAR($B134)=$B$2,YEAR(INDEX($B$5:$B$344,$A134+L$3-1))=$B$2),INDEX($B$5:$B$344,$A134+L$3)-INDEX($B$5:$B$344,$A134-1)-1,"")))</f>
        <v/>
      </c>
      <c r="M134" s="11">
        <f>IF(OR($A134=1,$B134="",$A134+M$3&gt;340),"",IF(INDEX($B$5:$B$344,$A134+M$3)="","",IF(AND(YEAR($B134)=$B$2,YEAR(INDEX($B$5:$B$344,$A134+M$3-1))=$B$2),INDEX($B$5:$B$344,$A134+M$3)-INDEX($B$5:$B$344,$A134-1)-1,"")))</f>
        <v/>
      </c>
    </row>
    <row r="135">
      <c r="A135" s="11" t="n">
        <v>131</v>
      </c>
      <c r="B135" s="10">
        <f>IFERROR(INDEX('2_暦'!$A$7:$A$433,MATCH(A135,'2_暦'!$K$7:$K$433,0)),"")</f>
        <v/>
      </c>
      <c r="C135" s="11">
        <f>IF(OR($A135=1,$B135=""),"",IF(OR(YEAR($B135-1)=$B$2,YEAR(INDEX($B$5:$B$344,$A135-1)+1)=$B$2),$B135-INDEX($B$5:$B$344,$A135-1)-1,""))</f>
        <v/>
      </c>
      <c r="D135" s="11">
        <f>IF(OR($A135=1,$B135="",$A135+D$3&gt;340),"",IF(INDEX($B$5:$B$344,$A135+D$3)="","",IF(AND(YEAR($B135)=$B$2,YEAR(INDEX($B$5:$B$344,$A135+D$3-1))=$B$2),INDEX($B$5:$B$344,$A135+D$3)-INDEX($B$5:$B$344,$A135-1)-1,"")))</f>
        <v/>
      </c>
      <c r="E135" s="11">
        <f>IF(OR($A135=1,$B135="",$A135+E$3&gt;340),"",IF(INDEX($B$5:$B$344,$A135+E$3)="","",IF(AND(YEAR($B135)=$B$2,YEAR(INDEX($B$5:$B$344,$A135+E$3-1))=$B$2),INDEX($B$5:$B$344,$A135+E$3)-INDEX($B$5:$B$344,$A135-1)-1,"")))</f>
        <v/>
      </c>
      <c r="F135" s="11">
        <f>IF(OR($A135=1,$B135="",$A135+F$3&gt;340),"",IF(INDEX($B$5:$B$344,$A135+F$3)="","",IF(AND(YEAR($B135)=$B$2,YEAR(INDEX($B$5:$B$344,$A135+F$3-1))=$B$2),INDEX($B$5:$B$344,$A135+F$3)-INDEX($B$5:$B$344,$A135-1)-1,"")))</f>
        <v/>
      </c>
      <c r="G135" s="11">
        <f>IF(OR($A135=1,$B135="",$A135+G$3&gt;340),"",IF(INDEX($B$5:$B$344,$A135+G$3)="","",IF(AND(YEAR($B135)=$B$2,YEAR(INDEX($B$5:$B$344,$A135+G$3-1))=$B$2),INDEX($B$5:$B$344,$A135+G$3)-INDEX($B$5:$B$344,$A135-1)-1,"")))</f>
        <v/>
      </c>
      <c r="H135" s="11">
        <f>IF(OR($A135=1,$B135="",$A135+H$3&gt;340),"",IF(INDEX($B$5:$B$344,$A135+H$3)="","",IF(AND(YEAR($B135)=$B$2,YEAR(INDEX($B$5:$B$344,$A135+H$3-1))=$B$2),INDEX($B$5:$B$344,$A135+H$3)-INDEX($B$5:$B$344,$A135-1)-1,"")))</f>
        <v/>
      </c>
      <c r="I135" s="11">
        <f>IF(OR($A135=1,$B135="",$A135+I$3&gt;340),"",IF(INDEX($B$5:$B$344,$A135+I$3)="","",IF(AND(YEAR($B135)=$B$2,YEAR(INDEX($B$5:$B$344,$A135+I$3-1))=$B$2),INDEX($B$5:$B$344,$A135+I$3)-INDEX($B$5:$B$344,$A135-1)-1,"")))</f>
        <v/>
      </c>
      <c r="J135" s="11">
        <f>IF(OR($A135=1,$B135="",$A135+J$3&gt;340),"",IF(INDEX($B$5:$B$344,$A135+J$3)="","",IF(AND(YEAR($B135)=$B$2,YEAR(INDEX($B$5:$B$344,$A135+J$3-1))=$B$2),INDEX($B$5:$B$344,$A135+J$3)-INDEX($B$5:$B$344,$A135-1)-1,"")))</f>
        <v/>
      </c>
      <c r="K135" s="11">
        <f>IF(OR($A135=1,$B135="",$A135+K$3&gt;340),"",IF(INDEX($B$5:$B$344,$A135+K$3)="","",IF(AND(YEAR($B135)=$B$2,YEAR(INDEX($B$5:$B$344,$A135+K$3-1))=$B$2),INDEX($B$5:$B$344,$A135+K$3)-INDEX($B$5:$B$344,$A135-1)-1,"")))</f>
        <v/>
      </c>
      <c r="L135" s="11">
        <f>IF(OR($A135=1,$B135="",$A135+L$3&gt;340),"",IF(INDEX($B$5:$B$344,$A135+L$3)="","",IF(AND(YEAR($B135)=$B$2,YEAR(INDEX($B$5:$B$344,$A135+L$3-1))=$B$2),INDEX($B$5:$B$344,$A135+L$3)-INDEX($B$5:$B$344,$A135-1)-1,"")))</f>
        <v/>
      </c>
      <c r="M135" s="11">
        <f>IF(OR($A135=1,$B135="",$A135+M$3&gt;340),"",IF(INDEX($B$5:$B$344,$A135+M$3)="","",IF(AND(YEAR($B135)=$B$2,YEAR(INDEX($B$5:$B$344,$A135+M$3-1))=$B$2),INDEX($B$5:$B$344,$A135+M$3)-INDEX($B$5:$B$344,$A135-1)-1,"")))</f>
        <v/>
      </c>
    </row>
    <row r="136">
      <c r="A136" s="11" t="n">
        <v>132</v>
      </c>
      <c r="B136" s="10">
        <f>IFERROR(INDEX('2_暦'!$A$7:$A$433,MATCH(A136,'2_暦'!$K$7:$K$433,0)),"")</f>
        <v/>
      </c>
      <c r="C136" s="11">
        <f>IF(OR($A136=1,$B136=""),"",IF(OR(YEAR($B136-1)=$B$2,YEAR(INDEX($B$5:$B$344,$A136-1)+1)=$B$2),$B136-INDEX($B$5:$B$344,$A136-1)-1,""))</f>
        <v/>
      </c>
      <c r="D136" s="11">
        <f>IF(OR($A136=1,$B136="",$A136+D$3&gt;340),"",IF(INDEX($B$5:$B$344,$A136+D$3)="","",IF(AND(YEAR($B136)=$B$2,YEAR(INDEX($B$5:$B$344,$A136+D$3-1))=$B$2),INDEX($B$5:$B$344,$A136+D$3)-INDEX($B$5:$B$344,$A136-1)-1,"")))</f>
        <v/>
      </c>
      <c r="E136" s="11">
        <f>IF(OR($A136=1,$B136="",$A136+E$3&gt;340),"",IF(INDEX($B$5:$B$344,$A136+E$3)="","",IF(AND(YEAR($B136)=$B$2,YEAR(INDEX($B$5:$B$344,$A136+E$3-1))=$B$2),INDEX($B$5:$B$344,$A136+E$3)-INDEX($B$5:$B$344,$A136-1)-1,"")))</f>
        <v/>
      </c>
      <c r="F136" s="11">
        <f>IF(OR($A136=1,$B136="",$A136+F$3&gt;340),"",IF(INDEX($B$5:$B$344,$A136+F$3)="","",IF(AND(YEAR($B136)=$B$2,YEAR(INDEX($B$5:$B$344,$A136+F$3-1))=$B$2),INDEX($B$5:$B$344,$A136+F$3)-INDEX($B$5:$B$344,$A136-1)-1,"")))</f>
        <v/>
      </c>
      <c r="G136" s="11">
        <f>IF(OR($A136=1,$B136="",$A136+G$3&gt;340),"",IF(INDEX($B$5:$B$344,$A136+G$3)="","",IF(AND(YEAR($B136)=$B$2,YEAR(INDEX($B$5:$B$344,$A136+G$3-1))=$B$2),INDEX($B$5:$B$344,$A136+G$3)-INDEX($B$5:$B$344,$A136-1)-1,"")))</f>
        <v/>
      </c>
      <c r="H136" s="11">
        <f>IF(OR($A136=1,$B136="",$A136+H$3&gt;340),"",IF(INDEX($B$5:$B$344,$A136+H$3)="","",IF(AND(YEAR($B136)=$B$2,YEAR(INDEX($B$5:$B$344,$A136+H$3-1))=$B$2),INDEX($B$5:$B$344,$A136+H$3)-INDEX($B$5:$B$344,$A136-1)-1,"")))</f>
        <v/>
      </c>
      <c r="I136" s="11">
        <f>IF(OR($A136=1,$B136="",$A136+I$3&gt;340),"",IF(INDEX($B$5:$B$344,$A136+I$3)="","",IF(AND(YEAR($B136)=$B$2,YEAR(INDEX($B$5:$B$344,$A136+I$3-1))=$B$2),INDEX($B$5:$B$344,$A136+I$3)-INDEX($B$5:$B$344,$A136-1)-1,"")))</f>
        <v/>
      </c>
      <c r="J136" s="11">
        <f>IF(OR($A136=1,$B136="",$A136+J$3&gt;340),"",IF(INDEX($B$5:$B$344,$A136+J$3)="","",IF(AND(YEAR($B136)=$B$2,YEAR(INDEX($B$5:$B$344,$A136+J$3-1))=$B$2),INDEX($B$5:$B$344,$A136+J$3)-INDEX($B$5:$B$344,$A136-1)-1,"")))</f>
        <v/>
      </c>
      <c r="K136" s="11">
        <f>IF(OR($A136=1,$B136="",$A136+K$3&gt;340),"",IF(INDEX($B$5:$B$344,$A136+K$3)="","",IF(AND(YEAR($B136)=$B$2,YEAR(INDEX($B$5:$B$344,$A136+K$3-1))=$B$2),INDEX($B$5:$B$344,$A136+K$3)-INDEX($B$5:$B$344,$A136-1)-1,"")))</f>
        <v/>
      </c>
      <c r="L136" s="11">
        <f>IF(OR($A136=1,$B136="",$A136+L$3&gt;340),"",IF(INDEX($B$5:$B$344,$A136+L$3)="","",IF(AND(YEAR($B136)=$B$2,YEAR(INDEX($B$5:$B$344,$A136+L$3-1))=$B$2),INDEX($B$5:$B$344,$A136+L$3)-INDEX($B$5:$B$344,$A136-1)-1,"")))</f>
        <v/>
      </c>
      <c r="M136" s="11">
        <f>IF(OR($A136=1,$B136="",$A136+M$3&gt;340),"",IF(INDEX($B$5:$B$344,$A136+M$3)="","",IF(AND(YEAR($B136)=$B$2,YEAR(INDEX($B$5:$B$344,$A136+M$3-1))=$B$2),INDEX($B$5:$B$344,$A136+M$3)-INDEX($B$5:$B$344,$A136-1)-1,"")))</f>
        <v/>
      </c>
    </row>
    <row r="137">
      <c r="A137" s="11" t="n">
        <v>133</v>
      </c>
      <c r="B137" s="10">
        <f>IFERROR(INDEX('2_暦'!$A$7:$A$433,MATCH(A137,'2_暦'!$K$7:$K$433,0)),"")</f>
        <v/>
      </c>
      <c r="C137" s="11">
        <f>IF(OR($A137=1,$B137=""),"",IF(OR(YEAR($B137-1)=$B$2,YEAR(INDEX($B$5:$B$344,$A137-1)+1)=$B$2),$B137-INDEX($B$5:$B$344,$A137-1)-1,""))</f>
        <v/>
      </c>
      <c r="D137" s="11">
        <f>IF(OR($A137=1,$B137="",$A137+D$3&gt;340),"",IF(INDEX($B$5:$B$344,$A137+D$3)="","",IF(AND(YEAR($B137)=$B$2,YEAR(INDEX($B$5:$B$344,$A137+D$3-1))=$B$2),INDEX($B$5:$B$344,$A137+D$3)-INDEX($B$5:$B$344,$A137-1)-1,"")))</f>
        <v/>
      </c>
      <c r="E137" s="11">
        <f>IF(OR($A137=1,$B137="",$A137+E$3&gt;340),"",IF(INDEX($B$5:$B$344,$A137+E$3)="","",IF(AND(YEAR($B137)=$B$2,YEAR(INDEX($B$5:$B$344,$A137+E$3-1))=$B$2),INDEX($B$5:$B$344,$A137+E$3)-INDEX($B$5:$B$344,$A137-1)-1,"")))</f>
        <v/>
      </c>
      <c r="F137" s="11">
        <f>IF(OR($A137=1,$B137="",$A137+F$3&gt;340),"",IF(INDEX($B$5:$B$344,$A137+F$3)="","",IF(AND(YEAR($B137)=$B$2,YEAR(INDEX($B$5:$B$344,$A137+F$3-1))=$B$2),INDEX($B$5:$B$344,$A137+F$3)-INDEX($B$5:$B$344,$A137-1)-1,"")))</f>
        <v/>
      </c>
      <c r="G137" s="11">
        <f>IF(OR($A137=1,$B137="",$A137+G$3&gt;340),"",IF(INDEX($B$5:$B$344,$A137+G$3)="","",IF(AND(YEAR($B137)=$B$2,YEAR(INDEX($B$5:$B$344,$A137+G$3-1))=$B$2),INDEX($B$5:$B$344,$A137+G$3)-INDEX($B$5:$B$344,$A137-1)-1,"")))</f>
        <v/>
      </c>
      <c r="H137" s="11">
        <f>IF(OR($A137=1,$B137="",$A137+H$3&gt;340),"",IF(INDEX($B$5:$B$344,$A137+H$3)="","",IF(AND(YEAR($B137)=$B$2,YEAR(INDEX($B$5:$B$344,$A137+H$3-1))=$B$2),INDEX($B$5:$B$344,$A137+H$3)-INDEX($B$5:$B$344,$A137-1)-1,"")))</f>
        <v/>
      </c>
      <c r="I137" s="11">
        <f>IF(OR($A137=1,$B137="",$A137+I$3&gt;340),"",IF(INDEX($B$5:$B$344,$A137+I$3)="","",IF(AND(YEAR($B137)=$B$2,YEAR(INDEX($B$5:$B$344,$A137+I$3-1))=$B$2),INDEX($B$5:$B$344,$A137+I$3)-INDEX($B$5:$B$344,$A137-1)-1,"")))</f>
        <v/>
      </c>
      <c r="J137" s="11">
        <f>IF(OR($A137=1,$B137="",$A137+J$3&gt;340),"",IF(INDEX($B$5:$B$344,$A137+J$3)="","",IF(AND(YEAR($B137)=$B$2,YEAR(INDEX($B$5:$B$344,$A137+J$3-1))=$B$2),INDEX($B$5:$B$344,$A137+J$3)-INDEX($B$5:$B$344,$A137-1)-1,"")))</f>
        <v/>
      </c>
      <c r="K137" s="11">
        <f>IF(OR($A137=1,$B137="",$A137+K$3&gt;340),"",IF(INDEX($B$5:$B$344,$A137+K$3)="","",IF(AND(YEAR($B137)=$B$2,YEAR(INDEX($B$5:$B$344,$A137+K$3-1))=$B$2),INDEX($B$5:$B$344,$A137+K$3)-INDEX($B$5:$B$344,$A137-1)-1,"")))</f>
        <v/>
      </c>
      <c r="L137" s="11">
        <f>IF(OR($A137=1,$B137="",$A137+L$3&gt;340),"",IF(INDEX($B$5:$B$344,$A137+L$3)="","",IF(AND(YEAR($B137)=$B$2,YEAR(INDEX($B$5:$B$344,$A137+L$3-1))=$B$2),INDEX($B$5:$B$344,$A137+L$3)-INDEX($B$5:$B$344,$A137-1)-1,"")))</f>
        <v/>
      </c>
      <c r="M137" s="11">
        <f>IF(OR($A137=1,$B137="",$A137+M$3&gt;340),"",IF(INDEX($B$5:$B$344,$A137+M$3)="","",IF(AND(YEAR($B137)=$B$2,YEAR(INDEX($B$5:$B$344,$A137+M$3-1))=$B$2),INDEX($B$5:$B$344,$A137+M$3)-INDEX($B$5:$B$344,$A137-1)-1,"")))</f>
        <v/>
      </c>
    </row>
    <row r="138">
      <c r="A138" s="11" t="n">
        <v>134</v>
      </c>
      <c r="B138" s="10">
        <f>IFERROR(INDEX('2_暦'!$A$7:$A$433,MATCH(A138,'2_暦'!$K$7:$K$433,0)),"")</f>
        <v/>
      </c>
      <c r="C138" s="11">
        <f>IF(OR($A138=1,$B138=""),"",IF(OR(YEAR($B138-1)=$B$2,YEAR(INDEX($B$5:$B$344,$A138-1)+1)=$B$2),$B138-INDEX($B$5:$B$344,$A138-1)-1,""))</f>
        <v/>
      </c>
      <c r="D138" s="11">
        <f>IF(OR($A138=1,$B138="",$A138+D$3&gt;340),"",IF(INDEX($B$5:$B$344,$A138+D$3)="","",IF(AND(YEAR($B138)=$B$2,YEAR(INDEX($B$5:$B$344,$A138+D$3-1))=$B$2),INDEX($B$5:$B$344,$A138+D$3)-INDEX($B$5:$B$344,$A138-1)-1,"")))</f>
        <v/>
      </c>
      <c r="E138" s="11">
        <f>IF(OR($A138=1,$B138="",$A138+E$3&gt;340),"",IF(INDEX($B$5:$B$344,$A138+E$3)="","",IF(AND(YEAR($B138)=$B$2,YEAR(INDEX($B$5:$B$344,$A138+E$3-1))=$B$2),INDEX($B$5:$B$344,$A138+E$3)-INDEX($B$5:$B$344,$A138-1)-1,"")))</f>
        <v/>
      </c>
      <c r="F138" s="11">
        <f>IF(OR($A138=1,$B138="",$A138+F$3&gt;340),"",IF(INDEX($B$5:$B$344,$A138+F$3)="","",IF(AND(YEAR($B138)=$B$2,YEAR(INDEX($B$5:$B$344,$A138+F$3-1))=$B$2),INDEX($B$5:$B$344,$A138+F$3)-INDEX($B$5:$B$344,$A138-1)-1,"")))</f>
        <v/>
      </c>
      <c r="G138" s="11">
        <f>IF(OR($A138=1,$B138="",$A138+G$3&gt;340),"",IF(INDEX($B$5:$B$344,$A138+G$3)="","",IF(AND(YEAR($B138)=$B$2,YEAR(INDEX($B$5:$B$344,$A138+G$3-1))=$B$2),INDEX($B$5:$B$344,$A138+G$3)-INDEX($B$5:$B$344,$A138-1)-1,"")))</f>
        <v/>
      </c>
      <c r="H138" s="11">
        <f>IF(OR($A138=1,$B138="",$A138+H$3&gt;340),"",IF(INDEX($B$5:$B$344,$A138+H$3)="","",IF(AND(YEAR($B138)=$B$2,YEAR(INDEX($B$5:$B$344,$A138+H$3-1))=$B$2),INDEX($B$5:$B$344,$A138+H$3)-INDEX($B$5:$B$344,$A138-1)-1,"")))</f>
        <v/>
      </c>
      <c r="I138" s="11">
        <f>IF(OR($A138=1,$B138="",$A138+I$3&gt;340),"",IF(INDEX($B$5:$B$344,$A138+I$3)="","",IF(AND(YEAR($B138)=$B$2,YEAR(INDEX($B$5:$B$344,$A138+I$3-1))=$B$2),INDEX($B$5:$B$344,$A138+I$3)-INDEX($B$5:$B$344,$A138-1)-1,"")))</f>
        <v/>
      </c>
      <c r="J138" s="11">
        <f>IF(OR($A138=1,$B138="",$A138+J$3&gt;340),"",IF(INDEX($B$5:$B$344,$A138+J$3)="","",IF(AND(YEAR($B138)=$B$2,YEAR(INDEX($B$5:$B$344,$A138+J$3-1))=$B$2),INDEX($B$5:$B$344,$A138+J$3)-INDEX($B$5:$B$344,$A138-1)-1,"")))</f>
        <v/>
      </c>
      <c r="K138" s="11">
        <f>IF(OR($A138=1,$B138="",$A138+K$3&gt;340),"",IF(INDEX($B$5:$B$344,$A138+K$3)="","",IF(AND(YEAR($B138)=$B$2,YEAR(INDEX($B$5:$B$344,$A138+K$3-1))=$B$2),INDEX($B$5:$B$344,$A138+K$3)-INDEX($B$5:$B$344,$A138-1)-1,"")))</f>
        <v/>
      </c>
      <c r="L138" s="11">
        <f>IF(OR($A138=1,$B138="",$A138+L$3&gt;340),"",IF(INDEX($B$5:$B$344,$A138+L$3)="","",IF(AND(YEAR($B138)=$B$2,YEAR(INDEX($B$5:$B$344,$A138+L$3-1))=$B$2),INDEX($B$5:$B$344,$A138+L$3)-INDEX($B$5:$B$344,$A138-1)-1,"")))</f>
        <v/>
      </c>
      <c r="M138" s="11">
        <f>IF(OR($A138=1,$B138="",$A138+M$3&gt;340),"",IF(INDEX($B$5:$B$344,$A138+M$3)="","",IF(AND(YEAR($B138)=$B$2,YEAR(INDEX($B$5:$B$344,$A138+M$3-1))=$B$2),INDEX($B$5:$B$344,$A138+M$3)-INDEX($B$5:$B$344,$A138-1)-1,"")))</f>
        <v/>
      </c>
    </row>
    <row r="139">
      <c r="A139" s="11" t="n">
        <v>135</v>
      </c>
      <c r="B139" s="10">
        <f>IFERROR(INDEX('2_暦'!$A$7:$A$433,MATCH(A139,'2_暦'!$K$7:$K$433,0)),"")</f>
        <v/>
      </c>
      <c r="C139" s="11">
        <f>IF(OR($A139=1,$B139=""),"",IF(OR(YEAR($B139-1)=$B$2,YEAR(INDEX($B$5:$B$344,$A139-1)+1)=$B$2),$B139-INDEX($B$5:$B$344,$A139-1)-1,""))</f>
        <v/>
      </c>
      <c r="D139" s="11">
        <f>IF(OR($A139=1,$B139="",$A139+D$3&gt;340),"",IF(INDEX($B$5:$B$344,$A139+D$3)="","",IF(AND(YEAR($B139)=$B$2,YEAR(INDEX($B$5:$B$344,$A139+D$3-1))=$B$2),INDEX($B$5:$B$344,$A139+D$3)-INDEX($B$5:$B$344,$A139-1)-1,"")))</f>
        <v/>
      </c>
      <c r="E139" s="11">
        <f>IF(OR($A139=1,$B139="",$A139+E$3&gt;340),"",IF(INDEX($B$5:$B$344,$A139+E$3)="","",IF(AND(YEAR($B139)=$B$2,YEAR(INDEX($B$5:$B$344,$A139+E$3-1))=$B$2),INDEX($B$5:$B$344,$A139+E$3)-INDEX($B$5:$B$344,$A139-1)-1,"")))</f>
        <v/>
      </c>
      <c r="F139" s="11">
        <f>IF(OR($A139=1,$B139="",$A139+F$3&gt;340),"",IF(INDEX($B$5:$B$344,$A139+F$3)="","",IF(AND(YEAR($B139)=$B$2,YEAR(INDEX($B$5:$B$344,$A139+F$3-1))=$B$2),INDEX($B$5:$B$344,$A139+F$3)-INDEX($B$5:$B$344,$A139-1)-1,"")))</f>
        <v/>
      </c>
      <c r="G139" s="11">
        <f>IF(OR($A139=1,$B139="",$A139+G$3&gt;340),"",IF(INDEX($B$5:$B$344,$A139+G$3)="","",IF(AND(YEAR($B139)=$B$2,YEAR(INDEX($B$5:$B$344,$A139+G$3-1))=$B$2),INDEX($B$5:$B$344,$A139+G$3)-INDEX($B$5:$B$344,$A139-1)-1,"")))</f>
        <v/>
      </c>
      <c r="H139" s="11">
        <f>IF(OR($A139=1,$B139="",$A139+H$3&gt;340),"",IF(INDEX($B$5:$B$344,$A139+H$3)="","",IF(AND(YEAR($B139)=$B$2,YEAR(INDEX($B$5:$B$344,$A139+H$3-1))=$B$2),INDEX($B$5:$B$344,$A139+H$3)-INDEX($B$5:$B$344,$A139-1)-1,"")))</f>
        <v/>
      </c>
      <c r="I139" s="11">
        <f>IF(OR($A139=1,$B139="",$A139+I$3&gt;340),"",IF(INDEX($B$5:$B$344,$A139+I$3)="","",IF(AND(YEAR($B139)=$B$2,YEAR(INDEX($B$5:$B$344,$A139+I$3-1))=$B$2),INDEX($B$5:$B$344,$A139+I$3)-INDEX($B$5:$B$344,$A139-1)-1,"")))</f>
        <v/>
      </c>
      <c r="J139" s="11">
        <f>IF(OR($A139=1,$B139="",$A139+J$3&gt;340),"",IF(INDEX($B$5:$B$344,$A139+J$3)="","",IF(AND(YEAR($B139)=$B$2,YEAR(INDEX($B$5:$B$344,$A139+J$3-1))=$B$2),INDEX($B$5:$B$344,$A139+J$3)-INDEX($B$5:$B$344,$A139-1)-1,"")))</f>
        <v/>
      </c>
      <c r="K139" s="11">
        <f>IF(OR($A139=1,$B139="",$A139+K$3&gt;340),"",IF(INDEX($B$5:$B$344,$A139+K$3)="","",IF(AND(YEAR($B139)=$B$2,YEAR(INDEX($B$5:$B$344,$A139+K$3-1))=$B$2),INDEX($B$5:$B$344,$A139+K$3)-INDEX($B$5:$B$344,$A139-1)-1,"")))</f>
        <v/>
      </c>
      <c r="L139" s="11">
        <f>IF(OR($A139=1,$B139="",$A139+L$3&gt;340),"",IF(INDEX($B$5:$B$344,$A139+L$3)="","",IF(AND(YEAR($B139)=$B$2,YEAR(INDEX($B$5:$B$344,$A139+L$3-1))=$B$2),INDEX($B$5:$B$344,$A139+L$3)-INDEX($B$5:$B$344,$A139-1)-1,"")))</f>
        <v/>
      </c>
      <c r="M139" s="11">
        <f>IF(OR($A139=1,$B139="",$A139+M$3&gt;340),"",IF(INDEX($B$5:$B$344,$A139+M$3)="","",IF(AND(YEAR($B139)=$B$2,YEAR(INDEX($B$5:$B$344,$A139+M$3-1))=$B$2),INDEX($B$5:$B$344,$A139+M$3)-INDEX($B$5:$B$344,$A139-1)-1,"")))</f>
        <v/>
      </c>
    </row>
    <row r="140">
      <c r="A140" s="11" t="n">
        <v>136</v>
      </c>
      <c r="B140" s="10">
        <f>IFERROR(INDEX('2_暦'!$A$7:$A$433,MATCH(A140,'2_暦'!$K$7:$K$433,0)),"")</f>
        <v/>
      </c>
      <c r="C140" s="11">
        <f>IF(OR($A140=1,$B140=""),"",IF(OR(YEAR($B140-1)=$B$2,YEAR(INDEX($B$5:$B$344,$A140-1)+1)=$B$2),$B140-INDEX($B$5:$B$344,$A140-1)-1,""))</f>
        <v/>
      </c>
      <c r="D140" s="11">
        <f>IF(OR($A140=1,$B140="",$A140+D$3&gt;340),"",IF(INDEX($B$5:$B$344,$A140+D$3)="","",IF(AND(YEAR($B140)=$B$2,YEAR(INDEX($B$5:$B$344,$A140+D$3-1))=$B$2),INDEX($B$5:$B$344,$A140+D$3)-INDEX($B$5:$B$344,$A140-1)-1,"")))</f>
        <v/>
      </c>
      <c r="E140" s="11">
        <f>IF(OR($A140=1,$B140="",$A140+E$3&gt;340),"",IF(INDEX($B$5:$B$344,$A140+E$3)="","",IF(AND(YEAR($B140)=$B$2,YEAR(INDEX($B$5:$B$344,$A140+E$3-1))=$B$2),INDEX($B$5:$B$344,$A140+E$3)-INDEX($B$5:$B$344,$A140-1)-1,"")))</f>
        <v/>
      </c>
      <c r="F140" s="11">
        <f>IF(OR($A140=1,$B140="",$A140+F$3&gt;340),"",IF(INDEX($B$5:$B$344,$A140+F$3)="","",IF(AND(YEAR($B140)=$B$2,YEAR(INDEX($B$5:$B$344,$A140+F$3-1))=$B$2),INDEX($B$5:$B$344,$A140+F$3)-INDEX($B$5:$B$344,$A140-1)-1,"")))</f>
        <v/>
      </c>
      <c r="G140" s="11">
        <f>IF(OR($A140=1,$B140="",$A140+G$3&gt;340),"",IF(INDEX($B$5:$B$344,$A140+G$3)="","",IF(AND(YEAR($B140)=$B$2,YEAR(INDEX($B$5:$B$344,$A140+G$3-1))=$B$2),INDEX($B$5:$B$344,$A140+G$3)-INDEX($B$5:$B$344,$A140-1)-1,"")))</f>
        <v/>
      </c>
      <c r="H140" s="11">
        <f>IF(OR($A140=1,$B140="",$A140+H$3&gt;340),"",IF(INDEX($B$5:$B$344,$A140+H$3)="","",IF(AND(YEAR($B140)=$B$2,YEAR(INDEX($B$5:$B$344,$A140+H$3-1))=$B$2),INDEX($B$5:$B$344,$A140+H$3)-INDEX($B$5:$B$344,$A140-1)-1,"")))</f>
        <v/>
      </c>
      <c r="I140" s="11">
        <f>IF(OR($A140=1,$B140="",$A140+I$3&gt;340),"",IF(INDEX($B$5:$B$344,$A140+I$3)="","",IF(AND(YEAR($B140)=$B$2,YEAR(INDEX($B$5:$B$344,$A140+I$3-1))=$B$2),INDEX($B$5:$B$344,$A140+I$3)-INDEX($B$5:$B$344,$A140-1)-1,"")))</f>
        <v/>
      </c>
      <c r="J140" s="11">
        <f>IF(OR($A140=1,$B140="",$A140+J$3&gt;340),"",IF(INDEX($B$5:$B$344,$A140+J$3)="","",IF(AND(YEAR($B140)=$B$2,YEAR(INDEX($B$5:$B$344,$A140+J$3-1))=$B$2),INDEX($B$5:$B$344,$A140+J$3)-INDEX($B$5:$B$344,$A140-1)-1,"")))</f>
        <v/>
      </c>
      <c r="K140" s="11">
        <f>IF(OR($A140=1,$B140="",$A140+K$3&gt;340),"",IF(INDEX($B$5:$B$344,$A140+K$3)="","",IF(AND(YEAR($B140)=$B$2,YEAR(INDEX($B$5:$B$344,$A140+K$3-1))=$B$2),INDEX($B$5:$B$344,$A140+K$3)-INDEX($B$5:$B$344,$A140-1)-1,"")))</f>
        <v/>
      </c>
      <c r="L140" s="11">
        <f>IF(OR($A140=1,$B140="",$A140+L$3&gt;340),"",IF(INDEX($B$5:$B$344,$A140+L$3)="","",IF(AND(YEAR($B140)=$B$2,YEAR(INDEX($B$5:$B$344,$A140+L$3-1))=$B$2),INDEX($B$5:$B$344,$A140+L$3)-INDEX($B$5:$B$344,$A140-1)-1,"")))</f>
        <v/>
      </c>
      <c r="M140" s="11">
        <f>IF(OR($A140=1,$B140="",$A140+M$3&gt;340),"",IF(INDEX($B$5:$B$344,$A140+M$3)="","",IF(AND(YEAR($B140)=$B$2,YEAR(INDEX($B$5:$B$344,$A140+M$3-1))=$B$2),INDEX($B$5:$B$344,$A140+M$3)-INDEX($B$5:$B$344,$A140-1)-1,"")))</f>
        <v/>
      </c>
    </row>
    <row r="141">
      <c r="A141" s="11" t="n">
        <v>137</v>
      </c>
      <c r="B141" s="10">
        <f>IFERROR(INDEX('2_暦'!$A$7:$A$433,MATCH(A141,'2_暦'!$K$7:$K$433,0)),"")</f>
        <v/>
      </c>
      <c r="C141" s="11">
        <f>IF(OR($A141=1,$B141=""),"",IF(OR(YEAR($B141-1)=$B$2,YEAR(INDEX($B$5:$B$344,$A141-1)+1)=$B$2),$B141-INDEX($B$5:$B$344,$A141-1)-1,""))</f>
        <v/>
      </c>
      <c r="D141" s="11">
        <f>IF(OR($A141=1,$B141="",$A141+D$3&gt;340),"",IF(INDEX($B$5:$B$344,$A141+D$3)="","",IF(AND(YEAR($B141)=$B$2,YEAR(INDEX($B$5:$B$344,$A141+D$3-1))=$B$2),INDEX($B$5:$B$344,$A141+D$3)-INDEX($B$5:$B$344,$A141-1)-1,"")))</f>
        <v/>
      </c>
      <c r="E141" s="11">
        <f>IF(OR($A141=1,$B141="",$A141+E$3&gt;340),"",IF(INDEX($B$5:$B$344,$A141+E$3)="","",IF(AND(YEAR($B141)=$B$2,YEAR(INDEX($B$5:$B$344,$A141+E$3-1))=$B$2),INDEX($B$5:$B$344,$A141+E$3)-INDEX($B$5:$B$344,$A141-1)-1,"")))</f>
        <v/>
      </c>
      <c r="F141" s="11">
        <f>IF(OR($A141=1,$B141="",$A141+F$3&gt;340),"",IF(INDEX($B$5:$B$344,$A141+F$3)="","",IF(AND(YEAR($B141)=$B$2,YEAR(INDEX($B$5:$B$344,$A141+F$3-1))=$B$2),INDEX($B$5:$B$344,$A141+F$3)-INDEX($B$5:$B$344,$A141-1)-1,"")))</f>
        <v/>
      </c>
      <c r="G141" s="11">
        <f>IF(OR($A141=1,$B141="",$A141+G$3&gt;340),"",IF(INDEX($B$5:$B$344,$A141+G$3)="","",IF(AND(YEAR($B141)=$B$2,YEAR(INDEX($B$5:$B$344,$A141+G$3-1))=$B$2),INDEX($B$5:$B$344,$A141+G$3)-INDEX($B$5:$B$344,$A141-1)-1,"")))</f>
        <v/>
      </c>
      <c r="H141" s="11">
        <f>IF(OR($A141=1,$B141="",$A141+H$3&gt;340),"",IF(INDEX($B$5:$B$344,$A141+H$3)="","",IF(AND(YEAR($B141)=$B$2,YEAR(INDEX($B$5:$B$344,$A141+H$3-1))=$B$2),INDEX($B$5:$B$344,$A141+H$3)-INDEX($B$5:$B$344,$A141-1)-1,"")))</f>
        <v/>
      </c>
      <c r="I141" s="11">
        <f>IF(OR($A141=1,$B141="",$A141+I$3&gt;340),"",IF(INDEX($B$5:$B$344,$A141+I$3)="","",IF(AND(YEAR($B141)=$B$2,YEAR(INDEX($B$5:$B$344,$A141+I$3-1))=$B$2),INDEX($B$5:$B$344,$A141+I$3)-INDEX($B$5:$B$344,$A141-1)-1,"")))</f>
        <v/>
      </c>
      <c r="J141" s="11">
        <f>IF(OR($A141=1,$B141="",$A141+J$3&gt;340),"",IF(INDEX($B$5:$B$344,$A141+J$3)="","",IF(AND(YEAR($B141)=$B$2,YEAR(INDEX($B$5:$B$344,$A141+J$3-1))=$B$2),INDEX($B$5:$B$344,$A141+J$3)-INDEX($B$5:$B$344,$A141-1)-1,"")))</f>
        <v/>
      </c>
      <c r="K141" s="11">
        <f>IF(OR($A141=1,$B141="",$A141+K$3&gt;340),"",IF(INDEX($B$5:$B$344,$A141+K$3)="","",IF(AND(YEAR($B141)=$B$2,YEAR(INDEX($B$5:$B$344,$A141+K$3-1))=$B$2),INDEX($B$5:$B$344,$A141+K$3)-INDEX($B$5:$B$344,$A141-1)-1,"")))</f>
        <v/>
      </c>
      <c r="L141" s="11">
        <f>IF(OR($A141=1,$B141="",$A141+L$3&gt;340),"",IF(INDEX($B$5:$B$344,$A141+L$3)="","",IF(AND(YEAR($B141)=$B$2,YEAR(INDEX($B$5:$B$344,$A141+L$3-1))=$B$2),INDEX($B$5:$B$344,$A141+L$3)-INDEX($B$5:$B$344,$A141-1)-1,"")))</f>
        <v/>
      </c>
      <c r="M141" s="11">
        <f>IF(OR($A141=1,$B141="",$A141+M$3&gt;340),"",IF(INDEX($B$5:$B$344,$A141+M$3)="","",IF(AND(YEAR($B141)=$B$2,YEAR(INDEX($B$5:$B$344,$A141+M$3-1))=$B$2),INDEX($B$5:$B$344,$A141+M$3)-INDEX($B$5:$B$344,$A141-1)-1,"")))</f>
        <v/>
      </c>
    </row>
    <row r="142">
      <c r="A142" s="11" t="n">
        <v>138</v>
      </c>
      <c r="B142" s="10">
        <f>IFERROR(INDEX('2_暦'!$A$7:$A$433,MATCH(A142,'2_暦'!$K$7:$K$433,0)),"")</f>
        <v/>
      </c>
      <c r="C142" s="11">
        <f>IF(OR($A142=1,$B142=""),"",IF(OR(YEAR($B142-1)=$B$2,YEAR(INDEX($B$5:$B$344,$A142-1)+1)=$B$2),$B142-INDEX($B$5:$B$344,$A142-1)-1,""))</f>
        <v/>
      </c>
      <c r="D142" s="11">
        <f>IF(OR($A142=1,$B142="",$A142+D$3&gt;340),"",IF(INDEX($B$5:$B$344,$A142+D$3)="","",IF(AND(YEAR($B142)=$B$2,YEAR(INDEX($B$5:$B$344,$A142+D$3-1))=$B$2),INDEX($B$5:$B$344,$A142+D$3)-INDEX($B$5:$B$344,$A142-1)-1,"")))</f>
        <v/>
      </c>
      <c r="E142" s="11">
        <f>IF(OR($A142=1,$B142="",$A142+E$3&gt;340),"",IF(INDEX($B$5:$B$344,$A142+E$3)="","",IF(AND(YEAR($B142)=$B$2,YEAR(INDEX($B$5:$B$344,$A142+E$3-1))=$B$2),INDEX($B$5:$B$344,$A142+E$3)-INDEX($B$5:$B$344,$A142-1)-1,"")))</f>
        <v/>
      </c>
      <c r="F142" s="11">
        <f>IF(OR($A142=1,$B142="",$A142+F$3&gt;340),"",IF(INDEX($B$5:$B$344,$A142+F$3)="","",IF(AND(YEAR($B142)=$B$2,YEAR(INDEX($B$5:$B$344,$A142+F$3-1))=$B$2),INDEX($B$5:$B$344,$A142+F$3)-INDEX($B$5:$B$344,$A142-1)-1,"")))</f>
        <v/>
      </c>
      <c r="G142" s="11">
        <f>IF(OR($A142=1,$B142="",$A142+G$3&gt;340),"",IF(INDEX($B$5:$B$344,$A142+G$3)="","",IF(AND(YEAR($B142)=$B$2,YEAR(INDEX($B$5:$B$344,$A142+G$3-1))=$B$2),INDEX($B$5:$B$344,$A142+G$3)-INDEX($B$5:$B$344,$A142-1)-1,"")))</f>
        <v/>
      </c>
      <c r="H142" s="11">
        <f>IF(OR($A142=1,$B142="",$A142+H$3&gt;340),"",IF(INDEX($B$5:$B$344,$A142+H$3)="","",IF(AND(YEAR($B142)=$B$2,YEAR(INDEX($B$5:$B$344,$A142+H$3-1))=$B$2),INDEX($B$5:$B$344,$A142+H$3)-INDEX($B$5:$B$344,$A142-1)-1,"")))</f>
        <v/>
      </c>
      <c r="I142" s="11">
        <f>IF(OR($A142=1,$B142="",$A142+I$3&gt;340),"",IF(INDEX($B$5:$B$344,$A142+I$3)="","",IF(AND(YEAR($B142)=$B$2,YEAR(INDEX($B$5:$B$344,$A142+I$3-1))=$B$2),INDEX($B$5:$B$344,$A142+I$3)-INDEX($B$5:$B$344,$A142-1)-1,"")))</f>
        <v/>
      </c>
      <c r="J142" s="11">
        <f>IF(OR($A142=1,$B142="",$A142+J$3&gt;340),"",IF(INDEX($B$5:$B$344,$A142+J$3)="","",IF(AND(YEAR($B142)=$B$2,YEAR(INDEX($B$5:$B$344,$A142+J$3-1))=$B$2),INDEX($B$5:$B$344,$A142+J$3)-INDEX($B$5:$B$344,$A142-1)-1,"")))</f>
        <v/>
      </c>
      <c r="K142" s="11">
        <f>IF(OR($A142=1,$B142="",$A142+K$3&gt;340),"",IF(INDEX($B$5:$B$344,$A142+K$3)="","",IF(AND(YEAR($B142)=$B$2,YEAR(INDEX($B$5:$B$344,$A142+K$3-1))=$B$2),INDEX($B$5:$B$344,$A142+K$3)-INDEX($B$5:$B$344,$A142-1)-1,"")))</f>
        <v/>
      </c>
      <c r="L142" s="11">
        <f>IF(OR($A142=1,$B142="",$A142+L$3&gt;340),"",IF(INDEX($B$5:$B$344,$A142+L$3)="","",IF(AND(YEAR($B142)=$B$2,YEAR(INDEX($B$5:$B$344,$A142+L$3-1))=$B$2),INDEX($B$5:$B$344,$A142+L$3)-INDEX($B$5:$B$344,$A142-1)-1,"")))</f>
        <v/>
      </c>
      <c r="M142" s="11">
        <f>IF(OR($A142=1,$B142="",$A142+M$3&gt;340),"",IF(INDEX($B$5:$B$344,$A142+M$3)="","",IF(AND(YEAR($B142)=$B$2,YEAR(INDEX($B$5:$B$344,$A142+M$3-1))=$B$2),INDEX($B$5:$B$344,$A142+M$3)-INDEX($B$5:$B$344,$A142-1)-1,"")))</f>
        <v/>
      </c>
    </row>
    <row r="143">
      <c r="A143" s="11" t="n">
        <v>139</v>
      </c>
      <c r="B143" s="10">
        <f>IFERROR(INDEX('2_暦'!$A$7:$A$433,MATCH(A143,'2_暦'!$K$7:$K$433,0)),"")</f>
        <v/>
      </c>
      <c r="C143" s="11">
        <f>IF(OR($A143=1,$B143=""),"",IF(OR(YEAR($B143-1)=$B$2,YEAR(INDEX($B$5:$B$344,$A143-1)+1)=$B$2),$B143-INDEX($B$5:$B$344,$A143-1)-1,""))</f>
        <v/>
      </c>
      <c r="D143" s="11">
        <f>IF(OR($A143=1,$B143="",$A143+D$3&gt;340),"",IF(INDEX($B$5:$B$344,$A143+D$3)="","",IF(AND(YEAR($B143)=$B$2,YEAR(INDEX($B$5:$B$344,$A143+D$3-1))=$B$2),INDEX($B$5:$B$344,$A143+D$3)-INDEX($B$5:$B$344,$A143-1)-1,"")))</f>
        <v/>
      </c>
      <c r="E143" s="11">
        <f>IF(OR($A143=1,$B143="",$A143+E$3&gt;340),"",IF(INDEX($B$5:$B$344,$A143+E$3)="","",IF(AND(YEAR($B143)=$B$2,YEAR(INDEX($B$5:$B$344,$A143+E$3-1))=$B$2),INDEX($B$5:$B$344,$A143+E$3)-INDEX($B$5:$B$344,$A143-1)-1,"")))</f>
        <v/>
      </c>
      <c r="F143" s="11">
        <f>IF(OR($A143=1,$B143="",$A143+F$3&gt;340),"",IF(INDEX($B$5:$B$344,$A143+F$3)="","",IF(AND(YEAR($B143)=$B$2,YEAR(INDEX($B$5:$B$344,$A143+F$3-1))=$B$2),INDEX($B$5:$B$344,$A143+F$3)-INDEX($B$5:$B$344,$A143-1)-1,"")))</f>
        <v/>
      </c>
      <c r="G143" s="11">
        <f>IF(OR($A143=1,$B143="",$A143+G$3&gt;340),"",IF(INDEX($B$5:$B$344,$A143+G$3)="","",IF(AND(YEAR($B143)=$B$2,YEAR(INDEX($B$5:$B$344,$A143+G$3-1))=$B$2),INDEX($B$5:$B$344,$A143+G$3)-INDEX($B$5:$B$344,$A143-1)-1,"")))</f>
        <v/>
      </c>
      <c r="H143" s="11">
        <f>IF(OR($A143=1,$B143="",$A143+H$3&gt;340),"",IF(INDEX($B$5:$B$344,$A143+H$3)="","",IF(AND(YEAR($B143)=$B$2,YEAR(INDEX($B$5:$B$344,$A143+H$3-1))=$B$2),INDEX($B$5:$B$344,$A143+H$3)-INDEX($B$5:$B$344,$A143-1)-1,"")))</f>
        <v/>
      </c>
      <c r="I143" s="11">
        <f>IF(OR($A143=1,$B143="",$A143+I$3&gt;340),"",IF(INDEX($B$5:$B$344,$A143+I$3)="","",IF(AND(YEAR($B143)=$B$2,YEAR(INDEX($B$5:$B$344,$A143+I$3-1))=$B$2),INDEX($B$5:$B$344,$A143+I$3)-INDEX($B$5:$B$344,$A143-1)-1,"")))</f>
        <v/>
      </c>
      <c r="J143" s="11">
        <f>IF(OR($A143=1,$B143="",$A143+J$3&gt;340),"",IF(INDEX($B$5:$B$344,$A143+J$3)="","",IF(AND(YEAR($B143)=$B$2,YEAR(INDEX($B$5:$B$344,$A143+J$3-1))=$B$2),INDEX($B$5:$B$344,$A143+J$3)-INDEX($B$5:$B$344,$A143-1)-1,"")))</f>
        <v/>
      </c>
      <c r="K143" s="11">
        <f>IF(OR($A143=1,$B143="",$A143+K$3&gt;340),"",IF(INDEX($B$5:$B$344,$A143+K$3)="","",IF(AND(YEAR($B143)=$B$2,YEAR(INDEX($B$5:$B$344,$A143+K$3-1))=$B$2),INDEX($B$5:$B$344,$A143+K$3)-INDEX($B$5:$B$344,$A143-1)-1,"")))</f>
        <v/>
      </c>
      <c r="L143" s="11">
        <f>IF(OR($A143=1,$B143="",$A143+L$3&gt;340),"",IF(INDEX($B$5:$B$344,$A143+L$3)="","",IF(AND(YEAR($B143)=$B$2,YEAR(INDEX($B$5:$B$344,$A143+L$3-1))=$B$2),INDEX($B$5:$B$344,$A143+L$3)-INDEX($B$5:$B$344,$A143-1)-1,"")))</f>
        <v/>
      </c>
      <c r="M143" s="11">
        <f>IF(OR($A143=1,$B143="",$A143+M$3&gt;340),"",IF(INDEX($B$5:$B$344,$A143+M$3)="","",IF(AND(YEAR($B143)=$B$2,YEAR(INDEX($B$5:$B$344,$A143+M$3-1))=$B$2),INDEX($B$5:$B$344,$A143+M$3)-INDEX($B$5:$B$344,$A143-1)-1,"")))</f>
        <v/>
      </c>
    </row>
    <row r="144">
      <c r="A144" s="11" t="n">
        <v>140</v>
      </c>
      <c r="B144" s="10">
        <f>IFERROR(INDEX('2_暦'!$A$7:$A$433,MATCH(A144,'2_暦'!$K$7:$K$433,0)),"")</f>
        <v/>
      </c>
      <c r="C144" s="11">
        <f>IF(OR($A144=1,$B144=""),"",IF(OR(YEAR($B144-1)=$B$2,YEAR(INDEX($B$5:$B$344,$A144-1)+1)=$B$2),$B144-INDEX($B$5:$B$344,$A144-1)-1,""))</f>
        <v/>
      </c>
      <c r="D144" s="11">
        <f>IF(OR($A144=1,$B144="",$A144+D$3&gt;340),"",IF(INDEX($B$5:$B$344,$A144+D$3)="","",IF(AND(YEAR($B144)=$B$2,YEAR(INDEX($B$5:$B$344,$A144+D$3-1))=$B$2),INDEX($B$5:$B$344,$A144+D$3)-INDEX($B$5:$B$344,$A144-1)-1,"")))</f>
        <v/>
      </c>
      <c r="E144" s="11">
        <f>IF(OR($A144=1,$B144="",$A144+E$3&gt;340),"",IF(INDEX($B$5:$B$344,$A144+E$3)="","",IF(AND(YEAR($B144)=$B$2,YEAR(INDEX($B$5:$B$344,$A144+E$3-1))=$B$2),INDEX($B$5:$B$344,$A144+E$3)-INDEX($B$5:$B$344,$A144-1)-1,"")))</f>
        <v/>
      </c>
      <c r="F144" s="11">
        <f>IF(OR($A144=1,$B144="",$A144+F$3&gt;340),"",IF(INDEX($B$5:$B$344,$A144+F$3)="","",IF(AND(YEAR($B144)=$B$2,YEAR(INDEX($B$5:$B$344,$A144+F$3-1))=$B$2),INDEX($B$5:$B$344,$A144+F$3)-INDEX($B$5:$B$344,$A144-1)-1,"")))</f>
        <v/>
      </c>
      <c r="G144" s="11">
        <f>IF(OR($A144=1,$B144="",$A144+G$3&gt;340),"",IF(INDEX($B$5:$B$344,$A144+G$3)="","",IF(AND(YEAR($B144)=$B$2,YEAR(INDEX($B$5:$B$344,$A144+G$3-1))=$B$2),INDEX($B$5:$B$344,$A144+G$3)-INDEX($B$5:$B$344,$A144-1)-1,"")))</f>
        <v/>
      </c>
      <c r="H144" s="11">
        <f>IF(OR($A144=1,$B144="",$A144+H$3&gt;340),"",IF(INDEX($B$5:$B$344,$A144+H$3)="","",IF(AND(YEAR($B144)=$B$2,YEAR(INDEX($B$5:$B$344,$A144+H$3-1))=$B$2),INDEX($B$5:$B$344,$A144+H$3)-INDEX($B$5:$B$344,$A144-1)-1,"")))</f>
        <v/>
      </c>
      <c r="I144" s="11">
        <f>IF(OR($A144=1,$B144="",$A144+I$3&gt;340),"",IF(INDEX($B$5:$B$344,$A144+I$3)="","",IF(AND(YEAR($B144)=$B$2,YEAR(INDEX($B$5:$B$344,$A144+I$3-1))=$B$2),INDEX($B$5:$B$344,$A144+I$3)-INDEX($B$5:$B$344,$A144-1)-1,"")))</f>
        <v/>
      </c>
      <c r="J144" s="11">
        <f>IF(OR($A144=1,$B144="",$A144+J$3&gt;340),"",IF(INDEX($B$5:$B$344,$A144+J$3)="","",IF(AND(YEAR($B144)=$B$2,YEAR(INDEX($B$5:$B$344,$A144+J$3-1))=$B$2),INDEX($B$5:$B$344,$A144+J$3)-INDEX($B$5:$B$344,$A144-1)-1,"")))</f>
        <v/>
      </c>
      <c r="K144" s="11">
        <f>IF(OR($A144=1,$B144="",$A144+K$3&gt;340),"",IF(INDEX($B$5:$B$344,$A144+K$3)="","",IF(AND(YEAR($B144)=$B$2,YEAR(INDEX($B$5:$B$344,$A144+K$3-1))=$B$2),INDEX($B$5:$B$344,$A144+K$3)-INDEX($B$5:$B$344,$A144-1)-1,"")))</f>
        <v/>
      </c>
      <c r="L144" s="11">
        <f>IF(OR($A144=1,$B144="",$A144+L$3&gt;340),"",IF(INDEX($B$5:$B$344,$A144+L$3)="","",IF(AND(YEAR($B144)=$B$2,YEAR(INDEX($B$5:$B$344,$A144+L$3-1))=$B$2),INDEX($B$5:$B$344,$A144+L$3)-INDEX($B$5:$B$344,$A144-1)-1,"")))</f>
        <v/>
      </c>
      <c r="M144" s="11">
        <f>IF(OR($A144=1,$B144="",$A144+M$3&gt;340),"",IF(INDEX($B$5:$B$344,$A144+M$3)="","",IF(AND(YEAR($B144)=$B$2,YEAR(INDEX($B$5:$B$344,$A144+M$3-1))=$B$2),INDEX($B$5:$B$344,$A144+M$3)-INDEX($B$5:$B$344,$A144-1)-1,"")))</f>
        <v/>
      </c>
    </row>
    <row r="145">
      <c r="A145" s="11" t="n">
        <v>141</v>
      </c>
      <c r="B145" s="10">
        <f>IFERROR(INDEX('2_暦'!$A$7:$A$433,MATCH(A145,'2_暦'!$K$7:$K$433,0)),"")</f>
        <v/>
      </c>
      <c r="C145" s="11">
        <f>IF(OR($A145=1,$B145=""),"",IF(OR(YEAR($B145-1)=$B$2,YEAR(INDEX($B$5:$B$344,$A145-1)+1)=$B$2),$B145-INDEX($B$5:$B$344,$A145-1)-1,""))</f>
        <v/>
      </c>
      <c r="D145" s="11">
        <f>IF(OR($A145=1,$B145="",$A145+D$3&gt;340),"",IF(INDEX($B$5:$B$344,$A145+D$3)="","",IF(AND(YEAR($B145)=$B$2,YEAR(INDEX($B$5:$B$344,$A145+D$3-1))=$B$2),INDEX($B$5:$B$344,$A145+D$3)-INDEX($B$5:$B$344,$A145-1)-1,"")))</f>
        <v/>
      </c>
      <c r="E145" s="11">
        <f>IF(OR($A145=1,$B145="",$A145+E$3&gt;340),"",IF(INDEX($B$5:$B$344,$A145+E$3)="","",IF(AND(YEAR($B145)=$B$2,YEAR(INDEX($B$5:$B$344,$A145+E$3-1))=$B$2),INDEX($B$5:$B$344,$A145+E$3)-INDEX($B$5:$B$344,$A145-1)-1,"")))</f>
        <v/>
      </c>
      <c r="F145" s="11">
        <f>IF(OR($A145=1,$B145="",$A145+F$3&gt;340),"",IF(INDEX($B$5:$B$344,$A145+F$3)="","",IF(AND(YEAR($B145)=$B$2,YEAR(INDEX($B$5:$B$344,$A145+F$3-1))=$B$2),INDEX($B$5:$B$344,$A145+F$3)-INDEX($B$5:$B$344,$A145-1)-1,"")))</f>
        <v/>
      </c>
      <c r="G145" s="11">
        <f>IF(OR($A145=1,$B145="",$A145+G$3&gt;340),"",IF(INDEX($B$5:$B$344,$A145+G$3)="","",IF(AND(YEAR($B145)=$B$2,YEAR(INDEX($B$5:$B$344,$A145+G$3-1))=$B$2),INDEX($B$5:$B$344,$A145+G$3)-INDEX($B$5:$B$344,$A145-1)-1,"")))</f>
        <v/>
      </c>
      <c r="H145" s="11">
        <f>IF(OR($A145=1,$B145="",$A145+H$3&gt;340),"",IF(INDEX($B$5:$B$344,$A145+H$3)="","",IF(AND(YEAR($B145)=$B$2,YEAR(INDEX($B$5:$B$344,$A145+H$3-1))=$B$2),INDEX($B$5:$B$344,$A145+H$3)-INDEX($B$5:$B$344,$A145-1)-1,"")))</f>
        <v/>
      </c>
      <c r="I145" s="11">
        <f>IF(OR($A145=1,$B145="",$A145+I$3&gt;340),"",IF(INDEX($B$5:$B$344,$A145+I$3)="","",IF(AND(YEAR($B145)=$B$2,YEAR(INDEX($B$5:$B$344,$A145+I$3-1))=$B$2),INDEX($B$5:$B$344,$A145+I$3)-INDEX($B$5:$B$344,$A145-1)-1,"")))</f>
        <v/>
      </c>
      <c r="J145" s="11">
        <f>IF(OR($A145=1,$B145="",$A145+J$3&gt;340),"",IF(INDEX($B$5:$B$344,$A145+J$3)="","",IF(AND(YEAR($B145)=$B$2,YEAR(INDEX($B$5:$B$344,$A145+J$3-1))=$B$2),INDEX($B$5:$B$344,$A145+J$3)-INDEX($B$5:$B$344,$A145-1)-1,"")))</f>
        <v/>
      </c>
      <c r="K145" s="11">
        <f>IF(OR($A145=1,$B145="",$A145+K$3&gt;340),"",IF(INDEX($B$5:$B$344,$A145+K$3)="","",IF(AND(YEAR($B145)=$B$2,YEAR(INDEX($B$5:$B$344,$A145+K$3-1))=$B$2),INDEX($B$5:$B$344,$A145+K$3)-INDEX($B$5:$B$344,$A145-1)-1,"")))</f>
        <v/>
      </c>
      <c r="L145" s="11">
        <f>IF(OR($A145=1,$B145="",$A145+L$3&gt;340),"",IF(INDEX($B$5:$B$344,$A145+L$3)="","",IF(AND(YEAR($B145)=$B$2,YEAR(INDEX($B$5:$B$344,$A145+L$3-1))=$B$2),INDEX($B$5:$B$344,$A145+L$3)-INDEX($B$5:$B$344,$A145-1)-1,"")))</f>
        <v/>
      </c>
      <c r="M145" s="11">
        <f>IF(OR($A145=1,$B145="",$A145+M$3&gt;340),"",IF(INDEX($B$5:$B$344,$A145+M$3)="","",IF(AND(YEAR($B145)=$B$2,YEAR(INDEX($B$5:$B$344,$A145+M$3-1))=$B$2),INDEX($B$5:$B$344,$A145+M$3)-INDEX($B$5:$B$344,$A145-1)-1,"")))</f>
        <v/>
      </c>
    </row>
    <row r="146">
      <c r="A146" s="11" t="n">
        <v>142</v>
      </c>
      <c r="B146" s="10">
        <f>IFERROR(INDEX('2_暦'!$A$7:$A$433,MATCH(A146,'2_暦'!$K$7:$K$433,0)),"")</f>
        <v/>
      </c>
      <c r="C146" s="11">
        <f>IF(OR($A146=1,$B146=""),"",IF(OR(YEAR($B146-1)=$B$2,YEAR(INDEX($B$5:$B$344,$A146-1)+1)=$B$2),$B146-INDEX($B$5:$B$344,$A146-1)-1,""))</f>
        <v/>
      </c>
      <c r="D146" s="11">
        <f>IF(OR($A146=1,$B146="",$A146+D$3&gt;340),"",IF(INDEX($B$5:$B$344,$A146+D$3)="","",IF(AND(YEAR($B146)=$B$2,YEAR(INDEX($B$5:$B$344,$A146+D$3-1))=$B$2),INDEX($B$5:$B$344,$A146+D$3)-INDEX($B$5:$B$344,$A146-1)-1,"")))</f>
        <v/>
      </c>
      <c r="E146" s="11">
        <f>IF(OR($A146=1,$B146="",$A146+E$3&gt;340),"",IF(INDEX($B$5:$B$344,$A146+E$3)="","",IF(AND(YEAR($B146)=$B$2,YEAR(INDEX($B$5:$B$344,$A146+E$3-1))=$B$2),INDEX($B$5:$B$344,$A146+E$3)-INDEX($B$5:$B$344,$A146-1)-1,"")))</f>
        <v/>
      </c>
      <c r="F146" s="11">
        <f>IF(OR($A146=1,$B146="",$A146+F$3&gt;340),"",IF(INDEX($B$5:$B$344,$A146+F$3)="","",IF(AND(YEAR($B146)=$B$2,YEAR(INDEX($B$5:$B$344,$A146+F$3-1))=$B$2),INDEX($B$5:$B$344,$A146+F$3)-INDEX($B$5:$B$344,$A146-1)-1,"")))</f>
        <v/>
      </c>
      <c r="G146" s="11">
        <f>IF(OR($A146=1,$B146="",$A146+G$3&gt;340),"",IF(INDEX($B$5:$B$344,$A146+G$3)="","",IF(AND(YEAR($B146)=$B$2,YEAR(INDEX($B$5:$B$344,$A146+G$3-1))=$B$2),INDEX($B$5:$B$344,$A146+G$3)-INDEX($B$5:$B$344,$A146-1)-1,"")))</f>
        <v/>
      </c>
      <c r="H146" s="11">
        <f>IF(OR($A146=1,$B146="",$A146+H$3&gt;340),"",IF(INDEX($B$5:$B$344,$A146+H$3)="","",IF(AND(YEAR($B146)=$B$2,YEAR(INDEX($B$5:$B$344,$A146+H$3-1))=$B$2),INDEX($B$5:$B$344,$A146+H$3)-INDEX($B$5:$B$344,$A146-1)-1,"")))</f>
        <v/>
      </c>
      <c r="I146" s="11">
        <f>IF(OR($A146=1,$B146="",$A146+I$3&gt;340),"",IF(INDEX($B$5:$B$344,$A146+I$3)="","",IF(AND(YEAR($B146)=$B$2,YEAR(INDEX($B$5:$B$344,$A146+I$3-1))=$B$2),INDEX($B$5:$B$344,$A146+I$3)-INDEX($B$5:$B$344,$A146-1)-1,"")))</f>
        <v/>
      </c>
      <c r="J146" s="11">
        <f>IF(OR($A146=1,$B146="",$A146+J$3&gt;340),"",IF(INDEX($B$5:$B$344,$A146+J$3)="","",IF(AND(YEAR($B146)=$B$2,YEAR(INDEX($B$5:$B$344,$A146+J$3-1))=$B$2),INDEX($B$5:$B$344,$A146+J$3)-INDEX($B$5:$B$344,$A146-1)-1,"")))</f>
        <v/>
      </c>
      <c r="K146" s="11">
        <f>IF(OR($A146=1,$B146="",$A146+K$3&gt;340),"",IF(INDEX($B$5:$B$344,$A146+K$3)="","",IF(AND(YEAR($B146)=$B$2,YEAR(INDEX($B$5:$B$344,$A146+K$3-1))=$B$2),INDEX($B$5:$B$344,$A146+K$3)-INDEX($B$5:$B$344,$A146-1)-1,"")))</f>
        <v/>
      </c>
      <c r="L146" s="11">
        <f>IF(OR($A146=1,$B146="",$A146+L$3&gt;340),"",IF(INDEX($B$5:$B$344,$A146+L$3)="","",IF(AND(YEAR($B146)=$B$2,YEAR(INDEX($B$5:$B$344,$A146+L$3-1))=$B$2),INDEX($B$5:$B$344,$A146+L$3)-INDEX($B$5:$B$344,$A146-1)-1,"")))</f>
        <v/>
      </c>
      <c r="M146" s="11">
        <f>IF(OR($A146=1,$B146="",$A146+M$3&gt;340),"",IF(INDEX($B$5:$B$344,$A146+M$3)="","",IF(AND(YEAR($B146)=$B$2,YEAR(INDEX($B$5:$B$344,$A146+M$3-1))=$B$2),INDEX($B$5:$B$344,$A146+M$3)-INDEX($B$5:$B$344,$A146-1)-1,"")))</f>
        <v/>
      </c>
    </row>
    <row r="147">
      <c r="A147" s="11" t="n">
        <v>143</v>
      </c>
      <c r="B147" s="10">
        <f>IFERROR(INDEX('2_暦'!$A$7:$A$433,MATCH(A147,'2_暦'!$K$7:$K$433,0)),"")</f>
        <v/>
      </c>
      <c r="C147" s="11">
        <f>IF(OR($A147=1,$B147=""),"",IF(OR(YEAR($B147-1)=$B$2,YEAR(INDEX($B$5:$B$344,$A147-1)+1)=$B$2),$B147-INDEX($B$5:$B$344,$A147-1)-1,""))</f>
        <v/>
      </c>
      <c r="D147" s="11">
        <f>IF(OR($A147=1,$B147="",$A147+D$3&gt;340),"",IF(INDEX($B$5:$B$344,$A147+D$3)="","",IF(AND(YEAR($B147)=$B$2,YEAR(INDEX($B$5:$B$344,$A147+D$3-1))=$B$2),INDEX($B$5:$B$344,$A147+D$3)-INDEX($B$5:$B$344,$A147-1)-1,"")))</f>
        <v/>
      </c>
      <c r="E147" s="11">
        <f>IF(OR($A147=1,$B147="",$A147+E$3&gt;340),"",IF(INDEX($B$5:$B$344,$A147+E$3)="","",IF(AND(YEAR($B147)=$B$2,YEAR(INDEX($B$5:$B$344,$A147+E$3-1))=$B$2),INDEX($B$5:$B$344,$A147+E$3)-INDEX($B$5:$B$344,$A147-1)-1,"")))</f>
        <v/>
      </c>
      <c r="F147" s="11">
        <f>IF(OR($A147=1,$B147="",$A147+F$3&gt;340),"",IF(INDEX($B$5:$B$344,$A147+F$3)="","",IF(AND(YEAR($B147)=$B$2,YEAR(INDEX($B$5:$B$344,$A147+F$3-1))=$B$2),INDEX($B$5:$B$344,$A147+F$3)-INDEX($B$5:$B$344,$A147-1)-1,"")))</f>
        <v/>
      </c>
      <c r="G147" s="11">
        <f>IF(OR($A147=1,$B147="",$A147+G$3&gt;340),"",IF(INDEX($B$5:$B$344,$A147+G$3)="","",IF(AND(YEAR($B147)=$B$2,YEAR(INDEX($B$5:$B$344,$A147+G$3-1))=$B$2),INDEX($B$5:$B$344,$A147+G$3)-INDEX($B$5:$B$344,$A147-1)-1,"")))</f>
        <v/>
      </c>
      <c r="H147" s="11">
        <f>IF(OR($A147=1,$B147="",$A147+H$3&gt;340),"",IF(INDEX($B$5:$B$344,$A147+H$3)="","",IF(AND(YEAR($B147)=$B$2,YEAR(INDEX($B$5:$B$344,$A147+H$3-1))=$B$2),INDEX($B$5:$B$344,$A147+H$3)-INDEX($B$5:$B$344,$A147-1)-1,"")))</f>
        <v/>
      </c>
      <c r="I147" s="11">
        <f>IF(OR($A147=1,$B147="",$A147+I$3&gt;340),"",IF(INDEX($B$5:$B$344,$A147+I$3)="","",IF(AND(YEAR($B147)=$B$2,YEAR(INDEX($B$5:$B$344,$A147+I$3-1))=$B$2),INDEX($B$5:$B$344,$A147+I$3)-INDEX($B$5:$B$344,$A147-1)-1,"")))</f>
        <v/>
      </c>
      <c r="J147" s="11">
        <f>IF(OR($A147=1,$B147="",$A147+J$3&gt;340),"",IF(INDEX($B$5:$B$344,$A147+J$3)="","",IF(AND(YEAR($B147)=$B$2,YEAR(INDEX($B$5:$B$344,$A147+J$3-1))=$B$2),INDEX($B$5:$B$344,$A147+J$3)-INDEX($B$5:$B$344,$A147-1)-1,"")))</f>
        <v/>
      </c>
      <c r="K147" s="11">
        <f>IF(OR($A147=1,$B147="",$A147+K$3&gt;340),"",IF(INDEX($B$5:$B$344,$A147+K$3)="","",IF(AND(YEAR($B147)=$B$2,YEAR(INDEX($B$5:$B$344,$A147+K$3-1))=$B$2),INDEX($B$5:$B$344,$A147+K$3)-INDEX($B$5:$B$344,$A147-1)-1,"")))</f>
        <v/>
      </c>
      <c r="L147" s="11">
        <f>IF(OR($A147=1,$B147="",$A147+L$3&gt;340),"",IF(INDEX($B$5:$B$344,$A147+L$3)="","",IF(AND(YEAR($B147)=$B$2,YEAR(INDEX($B$5:$B$344,$A147+L$3-1))=$B$2),INDEX($B$5:$B$344,$A147+L$3)-INDEX($B$5:$B$344,$A147-1)-1,"")))</f>
        <v/>
      </c>
      <c r="M147" s="11">
        <f>IF(OR($A147=1,$B147="",$A147+M$3&gt;340),"",IF(INDEX($B$5:$B$344,$A147+M$3)="","",IF(AND(YEAR($B147)=$B$2,YEAR(INDEX($B$5:$B$344,$A147+M$3-1))=$B$2),INDEX($B$5:$B$344,$A147+M$3)-INDEX($B$5:$B$344,$A147-1)-1,"")))</f>
        <v/>
      </c>
    </row>
    <row r="148">
      <c r="A148" s="11" t="n">
        <v>144</v>
      </c>
      <c r="B148" s="10">
        <f>IFERROR(INDEX('2_暦'!$A$7:$A$433,MATCH(A148,'2_暦'!$K$7:$K$433,0)),"")</f>
        <v/>
      </c>
      <c r="C148" s="11">
        <f>IF(OR($A148=1,$B148=""),"",IF(OR(YEAR($B148-1)=$B$2,YEAR(INDEX($B$5:$B$344,$A148-1)+1)=$B$2),$B148-INDEX($B$5:$B$344,$A148-1)-1,""))</f>
        <v/>
      </c>
      <c r="D148" s="11">
        <f>IF(OR($A148=1,$B148="",$A148+D$3&gt;340),"",IF(INDEX($B$5:$B$344,$A148+D$3)="","",IF(AND(YEAR($B148)=$B$2,YEAR(INDEX($B$5:$B$344,$A148+D$3-1))=$B$2),INDEX($B$5:$B$344,$A148+D$3)-INDEX($B$5:$B$344,$A148-1)-1,"")))</f>
        <v/>
      </c>
      <c r="E148" s="11">
        <f>IF(OR($A148=1,$B148="",$A148+E$3&gt;340),"",IF(INDEX($B$5:$B$344,$A148+E$3)="","",IF(AND(YEAR($B148)=$B$2,YEAR(INDEX($B$5:$B$344,$A148+E$3-1))=$B$2),INDEX($B$5:$B$344,$A148+E$3)-INDEX($B$5:$B$344,$A148-1)-1,"")))</f>
        <v/>
      </c>
      <c r="F148" s="11">
        <f>IF(OR($A148=1,$B148="",$A148+F$3&gt;340),"",IF(INDEX($B$5:$B$344,$A148+F$3)="","",IF(AND(YEAR($B148)=$B$2,YEAR(INDEX($B$5:$B$344,$A148+F$3-1))=$B$2),INDEX($B$5:$B$344,$A148+F$3)-INDEX($B$5:$B$344,$A148-1)-1,"")))</f>
        <v/>
      </c>
      <c r="G148" s="11">
        <f>IF(OR($A148=1,$B148="",$A148+G$3&gt;340),"",IF(INDEX($B$5:$B$344,$A148+G$3)="","",IF(AND(YEAR($B148)=$B$2,YEAR(INDEX($B$5:$B$344,$A148+G$3-1))=$B$2),INDEX($B$5:$B$344,$A148+G$3)-INDEX($B$5:$B$344,$A148-1)-1,"")))</f>
        <v/>
      </c>
      <c r="H148" s="11">
        <f>IF(OR($A148=1,$B148="",$A148+H$3&gt;340),"",IF(INDEX($B$5:$B$344,$A148+H$3)="","",IF(AND(YEAR($B148)=$B$2,YEAR(INDEX($B$5:$B$344,$A148+H$3-1))=$B$2),INDEX($B$5:$B$344,$A148+H$3)-INDEX($B$5:$B$344,$A148-1)-1,"")))</f>
        <v/>
      </c>
      <c r="I148" s="11">
        <f>IF(OR($A148=1,$B148="",$A148+I$3&gt;340),"",IF(INDEX($B$5:$B$344,$A148+I$3)="","",IF(AND(YEAR($B148)=$B$2,YEAR(INDEX($B$5:$B$344,$A148+I$3-1))=$B$2),INDEX($B$5:$B$344,$A148+I$3)-INDEX($B$5:$B$344,$A148-1)-1,"")))</f>
        <v/>
      </c>
      <c r="J148" s="11">
        <f>IF(OR($A148=1,$B148="",$A148+J$3&gt;340),"",IF(INDEX($B$5:$B$344,$A148+J$3)="","",IF(AND(YEAR($B148)=$B$2,YEAR(INDEX($B$5:$B$344,$A148+J$3-1))=$B$2),INDEX($B$5:$B$344,$A148+J$3)-INDEX($B$5:$B$344,$A148-1)-1,"")))</f>
        <v/>
      </c>
      <c r="K148" s="11">
        <f>IF(OR($A148=1,$B148="",$A148+K$3&gt;340),"",IF(INDEX($B$5:$B$344,$A148+K$3)="","",IF(AND(YEAR($B148)=$B$2,YEAR(INDEX($B$5:$B$344,$A148+K$3-1))=$B$2),INDEX($B$5:$B$344,$A148+K$3)-INDEX($B$5:$B$344,$A148-1)-1,"")))</f>
        <v/>
      </c>
      <c r="L148" s="11">
        <f>IF(OR($A148=1,$B148="",$A148+L$3&gt;340),"",IF(INDEX($B$5:$B$344,$A148+L$3)="","",IF(AND(YEAR($B148)=$B$2,YEAR(INDEX($B$5:$B$344,$A148+L$3-1))=$B$2),INDEX($B$5:$B$344,$A148+L$3)-INDEX($B$5:$B$344,$A148-1)-1,"")))</f>
        <v/>
      </c>
      <c r="M148" s="11">
        <f>IF(OR($A148=1,$B148="",$A148+M$3&gt;340),"",IF(INDEX($B$5:$B$344,$A148+M$3)="","",IF(AND(YEAR($B148)=$B$2,YEAR(INDEX($B$5:$B$344,$A148+M$3-1))=$B$2),INDEX($B$5:$B$344,$A148+M$3)-INDEX($B$5:$B$344,$A148-1)-1,"")))</f>
        <v/>
      </c>
    </row>
    <row r="149">
      <c r="A149" s="11" t="n">
        <v>145</v>
      </c>
      <c r="B149" s="10">
        <f>IFERROR(INDEX('2_暦'!$A$7:$A$433,MATCH(A149,'2_暦'!$K$7:$K$433,0)),"")</f>
        <v/>
      </c>
      <c r="C149" s="11">
        <f>IF(OR($A149=1,$B149=""),"",IF(OR(YEAR($B149-1)=$B$2,YEAR(INDEX($B$5:$B$344,$A149-1)+1)=$B$2),$B149-INDEX($B$5:$B$344,$A149-1)-1,""))</f>
        <v/>
      </c>
      <c r="D149" s="11">
        <f>IF(OR($A149=1,$B149="",$A149+D$3&gt;340),"",IF(INDEX($B$5:$B$344,$A149+D$3)="","",IF(AND(YEAR($B149)=$B$2,YEAR(INDEX($B$5:$B$344,$A149+D$3-1))=$B$2),INDEX($B$5:$B$344,$A149+D$3)-INDEX($B$5:$B$344,$A149-1)-1,"")))</f>
        <v/>
      </c>
      <c r="E149" s="11">
        <f>IF(OR($A149=1,$B149="",$A149+E$3&gt;340),"",IF(INDEX($B$5:$B$344,$A149+E$3)="","",IF(AND(YEAR($B149)=$B$2,YEAR(INDEX($B$5:$B$344,$A149+E$3-1))=$B$2),INDEX($B$5:$B$344,$A149+E$3)-INDEX($B$5:$B$344,$A149-1)-1,"")))</f>
        <v/>
      </c>
      <c r="F149" s="11">
        <f>IF(OR($A149=1,$B149="",$A149+F$3&gt;340),"",IF(INDEX($B$5:$B$344,$A149+F$3)="","",IF(AND(YEAR($B149)=$B$2,YEAR(INDEX($B$5:$B$344,$A149+F$3-1))=$B$2),INDEX($B$5:$B$344,$A149+F$3)-INDEX($B$5:$B$344,$A149-1)-1,"")))</f>
        <v/>
      </c>
      <c r="G149" s="11">
        <f>IF(OR($A149=1,$B149="",$A149+G$3&gt;340),"",IF(INDEX($B$5:$B$344,$A149+G$3)="","",IF(AND(YEAR($B149)=$B$2,YEAR(INDEX($B$5:$B$344,$A149+G$3-1))=$B$2),INDEX($B$5:$B$344,$A149+G$3)-INDEX($B$5:$B$344,$A149-1)-1,"")))</f>
        <v/>
      </c>
      <c r="H149" s="11">
        <f>IF(OR($A149=1,$B149="",$A149+H$3&gt;340),"",IF(INDEX($B$5:$B$344,$A149+H$3)="","",IF(AND(YEAR($B149)=$B$2,YEAR(INDEX($B$5:$B$344,$A149+H$3-1))=$B$2),INDEX($B$5:$B$344,$A149+H$3)-INDEX($B$5:$B$344,$A149-1)-1,"")))</f>
        <v/>
      </c>
      <c r="I149" s="11">
        <f>IF(OR($A149=1,$B149="",$A149+I$3&gt;340),"",IF(INDEX($B$5:$B$344,$A149+I$3)="","",IF(AND(YEAR($B149)=$B$2,YEAR(INDEX($B$5:$B$344,$A149+I$3-1))=$B$2),INDEX($B$5:$B$344,$A149+I$3)-INDEX($B$5:$B$344,$A149-1)-1,"")))</f>
        <v/>
      </c>
      <c r="J149" s="11">
        <f>IF(OR($A149=1,$B149="",$A149+J$3&gt;340),"",IF(INDEX($B$5:$B$344,$A149+J$3)="","",IF(AND(YEAR($B149)=$B$2,YEAR(INDEX($B$5:$B$344,$A149+J$3-1))=$B$2),INDEX($B$5:$B$344,$A149+J$3)-INDEX($B$5:$B$344,$A149-1)-1,"")))</f>
        <v/>
      </c>
      <c r="K149" s="11">
        <f>IF(OR($A149=1,$B149="",$A149+K$3&gt;340),"",IF(INDEX($B$5:$B$344,$A149+K$3)="","",IF(AND(YEAR($B149)=$B$2,YEAR(INDEX($B$5:$B$344,$A149+K$3-1))=$B$2),INDEX($B$5:$B$344,$A149+K$3)-INDEX($B$5:$B$344,$A149-1)-1,"")))</f>
        <v/>
      </c>
      <c r="L149" s="11">
        <f>IF(OR($A149=1,$B149="",$A149+L$3&gt;340),"",IF(INDEX($B$5:$B$344,$A149+L$3)="","",IF(AND(YEAR($B149)=$B$2,YEAR(INDEX($B$5:$B$344,$A149+L$3-1))=$B$2),INDEX($B$5:$B$344,$A149+L$3)-INDEX($B$5:$B$344,$A149-1)-1,"")))</f>
        <v/>
      </c>
      <c r="M149" s="11">
        <f>IF(OR($A149=1,$B149="",$A149+M$3&gt;340),"",IF(INDEX($B$5:$B$344,$A149+M$3)="","",IF(AND(YEAR($B149)=$B$2,YEAR(INDEX($B$5:$B$344,$A149+M$3-1))=$B$2),INDEX($B$5:$B$344,$A149+M$3)-INDEX($B$5:$B$344,$A149-1)-1,"")))</f>
        <v/>
      </c>
    </row>
    <row r="150">
      <c r="A150" s="11" t="n">
        <v>146</v>
      </c>
      <c r="B150" s="10">
        <f>IFERROR(INDEX('2_暦'!$A$7:$A$433,MATCH(A150,'2_暦'!$K$7:$K$433,0)),"")</f>
        <v/>
      </c>
      <c r="C150" s="11">
        <f>IF(OR($A150=1,$B150=""),"",IF(OR(YEAR($B150-1)=$B$2,YEAR(INDEX($B$5:$B$344,$A150-1)+1)=$B$2),$B150-INDEX($B$5:$B$344,$A150-1)-1,""))</f>
        <v/>
      </c>
      <c r="D150" s="11">
        <f>IF(OR($A150=1,$B150="",$A150+D$3&gt;340),"",IF(INDEX($B$5:$B$344,$A150+D$3)="","",IF(AND(YEAR($B150)=$B$2,YEAR(INDEX($B$5:$B$344,$A150+D$3-1))=$B$2),INDEX($B$5:$B$344,$A150+D$3)-INDEX($B$5:$B$344,$A150-1)-1,"")))</f>
        <v/>
      </c>
      <c r="E150" s="11">
        <f>IF(OR($A150=1,$B150="",$A150+E$3&gt;340),"",IF(INDEX($B$5:$B$344,$A150+E$3)="","",IF(AND(YEAR($B150)=$B$2,YEAR(INDEX($B$5:$B$344,$A150+E$3-1))=$B$2),INDEX($B$5:$B$344,$A150+E$3)-INDEX($B$5:$B$344,$A150-1)-1,"")))</f>
        <v/>
      </c>
      <c r="F150" s="11">
        <f>IF(OR($A150=1,$B150="",$A150+F$3&gt;340),"",IF(INDEX($B$5:$B$344,$A150+F$3)="","",IF(AND(YEAR($B150)=$B$2,YEAR(INDEX($B$5:$B$344,$A150+F$3-1))=$B$2),INDEX($B$5:$B$344,$A150+F$3)-INDEX($B$5:$B$344,$A150-1)-1,"")))</f>
        <v/>
      </c>
      <c r="G150" s="11">
        <f>IF(OR($A150=1,$B150="",$A150+G$3&gt;340),"",IF(INDEX($B$5:$B$344,$A150+G$3)="","",IF(AND(YEAR($B150)=$B$2,YEAR(INDEX($B$5:$B$344,$A150+G$3-1))=$B$2),INDEX($B$5:$B$344,$A150+G$3)-INDEX($B$5:$B$344,$A150-1)-1,"")))</f>
        <v/>
      </c>
      <c r="H150" s="11">
        <f>IF(OR($A150=1,$B150="",$A150+H$3&gt;340),"",IF(INDEX($B$5:$B$344,$A150+H$3)="","",IF(AND(YEAR($B150)=$B$2,YEAR(INDEX($B$5:$B$344,$A150+H$3-1))=$B$2),INDEX($B$5:$B$344,$A150+H$3)-INDEX($B$5:$B$344,$A150-1)-1,"")))</f>
        <v/>
      </c>
      <c r="I150" s="11">
        <f>IF(OR($A150=1,$B150="",$A150+I$3&gt;340),"",IF(INDEX($B$5:$B$344,$A150+I$3)="","",IF(AND(YEAR($B150)=$B$2,YEAR(INDEX($B$5:$B$344,$A150+I$3-1))=$B$2),INDEX($B$5:$B$344,$A150+I$3)-INDEX($B$5:$B$344,$A150-1)-1,"")))</f>
        <v/>
      </c>
      <c r="J150" s="11">
        <f>IF(OR($A150=1,$B150="",$A150+J$3&gt;340),"",IF(INDEX($B$5:$B$344,$A150+J$3)="","",IF(AND(YEAR($B150)=$B$2,YEAR(INDEX($B$5:$B$344,$A150+J$3-1))=$B$2),INDEX($B$5:$B$344,$A150+J$3)-INDEX($B$5:$B$344,$A150-1)-1,"")))</f>
        <v/>
      </c>
      <c r="K150" s="11">
        <f>IF(OR($A150=1,$B150="",$A150+K$3&gt;340),"",IF(INDEX($B$5:$B$344,$A150+K$3)="","",IF(AND(YEAR($B150)=$B$2,YEAR(INDEX($B$5:$B$344,$A150+K$3-1))=$B$2),INDEX($B$5:$B$344,$A150+K$3)-INDEX($B$5:$B$344,$A150-1)-1,"")))</f>
        <v/>
      </c>
      <c r="L150" s="11">
        <f>IF(OR($A150=1,$B150="",$A150+L$3&gt;340),"",IF(INDEX($B$5:$B$344,$A150+L$3)="","",IF(AND(YEAR($B150)=$B$2,YEAR(INDEX($B$5:$B$344,$A150+L$3-1))=$B$2),INDEX($B$5:$B$344,$A150+L$3)-INDEX($B$5:$B$344,$A150-1)-1,"")))</f>
        <v/>
      </c>
      <c r="M150" s="11">
        <f>IF(OR($A150=1,$B150="",$A150+M$3&gt;340),"",IF(INDEX($B$5:$B$344,$A150+M$3)="","",IF(AND(YEAR($B150)=$B$2,YEAR(INDEX($B$5:$B$344,$A150+M$3-1))=$B$2),INDEX($B$5:$B$344,$A150+M$3)-INDEX($B$5:$B$344,$A150-1)-1,"")))</f>
        <v/>
      </c>
    </row>
    <row r="151">
      <c r="A151" s="11" t="n">
        <v>147</v>
      </c>
      <c r="B151" s="10">
        <f>IFERROR(INDEX('2_暦'!$A$7:$A$433,MATCH(A151,'2_暦'!$K$7:$K$433,0)),"")</f>
        <v/>
      </c>
      <c r="C151" s="11">
        <f>IF(OR($A151=1,$B151=""),"",IF(OR(YEAR($B151-1)=$B$2,YEAR(INDEX($B$5:$B$344,$A151-1)+1)=$B$2),$B151-INDEX($B$5:$B$344,$A151-1)-1,""))</f>
        <v/>
      </c>
      <c r="D151" s="11">
        <f>IF(OR($A151=1,$B151="",$A151+D$3&gt;340),"",IF(INDEX($B$5:$B$344,$A151+D$3)="","",IF(AND(YEAR($B151)=$B$2,YEAR(INDEX($B$5:$B$344,$A151+D$3-1))=$B$2),INDEX($B$5:$B$344,$A151+D$3)-INDEX($B$5:$B$344,$A151-1)-1,"")))</f>
        <v/>
      </c>
      <c r="E151" s="11">
        <f>IF(OR($A151=1,$B151="",$A151+E$3&gt;340),"",IF(INDEX($B$5:$B$344,$A151+E$3)="","",IF(AND(YEAR($B151)=$B$2,YEAR(INDEX($B$5:$B$344,$A151+E$3-1))=$B$2),INDEX($B$5:$B$344,$A151+E$3)-INDEX($B$5:$B$344,$A151-1)-1,"")))</f>
        <v/>
      </c>
      <c r="F151" s="11">
        <f>IF(OR($A151=1,$B151="",$A151+F$3&gt;340),"",IF(INDEX($B$5:$B$344,$A151+F$3)="","",IF(AND(YEAR($B151)=$B$2,YEAR(INDEX($B$5:$B$344,$A151+F$3-1))=$B$2),INDEX($B$5:$B$344,$A151+F$3)-INDEX($B$5:$B$344,$A151-1)-1,"")))</f>
        <v/>
      </c>
      <c r="G151" s="11">
        <f>IF(OR($A151=1,$B151="",$A151+G$3&gt;340),"",IF(INDEX($B$5:$B$344,$A151+G$3)="","",IF(AND(YEAR($B151)=$B$2,YEAR(INDEX($B$5:$B$344,$A151+G$3-1))=$B$2),INDEX($B$5:$B$344,$A151+G$3)-INDEX($B$5:$B$344,$A151-1)-1,"")))</f>
        <v/>
      </c>
      <c r="H151" s="11">
        <f>IF(OR($A151=1,$B151="",$A151+H$3&gt;340),"",IF(INDEX($B$5:$B$344,$A151+H$3)="","",IF(AND(YEAR($B151)=$B$2,YEAR(INDEX($B$5:$B$344,$A151+H$3-1))=$B$2),INDEX($B$5:$B$344,$A151+H$3)-INDEX($B$5:$B$344,$A151-1)-1,"")))</f>
        <v/>
      </c>
      <c r="I151" s="11">
        <f>IF(OR($A151=1,$B151="",$A151+I$3&gt;340),"",IF(INDEX($B$5:$B$344,$A151+I$3)="","",IF(AND(YEAR($B151)=$B$2,YEAR(INDEX($B$5:$B$344,$A151+I$3-1))=$B$2),INDEX($B$5:$B$344,$A151+I$3)-INDEX($B$5:$B$344,$A151-1)-1,"")))</f>
        <v/>
      </c>
      <c r="J151" s="11">
        <f>IF(OR($A151=1,$B151="",$A151+J$3&gt;340),"",IF(INDEX($B$5:$B$344,$A151+J$3)="","",IF(AND(YEAR($B151)=$B$2,YEAR(INDEX($B$5:$B$344,$A151+J$3-1))=$B$2),INDEX($B$5:$B$344,$A151+J$3)-INDEX($B$5:$B$344,$A151-1)-1,"")))</f>
        <v/>
      </c>
      <c r="K151" s="11">
        <f>IF(OR($A151=1,$B151="",$A151+K$3&gt;340),"",IF(INDEX($B$5:$B$344,$A151+K$3)="","",IF(AND(YEAR($B151)=$B$2,YEAR(INDEX($B$5:$B$344,$A151+K$3-1))=$B$2),INDEX($B$5:$B$344,$A151+K$3)-INDEX($B$5:$B$344,$A151-1)-1,"")))</f>
        <v/>
      </c>
      <c r="L151" s="11">
        <f>IF(OR($A151=1,$B151="",$A151+L$3&gt;340),"",IF(INDEX($B$5:$B$344,$A151+L$3)="","",IF(AND(YEAR($B151)=$B$2,YEAR(INDEX($B$5:$B$344,$A151+L$3-1))=$B$2),INDEX($B$5:$B$344,$A151+L$3)-INDEX($B$5:$B$344,$A151-1)-1,"")))</f>
        <v/>
      </c>
      <c r="M151" s="11">
        <f>IF(OR($A151=1,$B151="",$A151+M$3&gt;340),"",IF(INDEX($B$5:$B$344,$A151+M$3)="","",IF(AND(YEAR($B151)=$B$2,YEAR(INDEX($B$5:$B$344,$A151+M$3-1))=$B$2),INDEX($B$5:$B$344,$A151+M$3)-INDEX($B$5:$B$344,$A151-1)-1,"")))</f>
        <v/>
      </c>
    </row>
    <row r="152">
      <c r="A152" s="11" t="n">
        <v>148</v>
      </c>
      <c r="B152" s="10">
        <f>IFERROR(INDEX('2_暦'!$A$7:$A$433,MATCH(A152,'2_暦'!$K$7:$K$433,0)),"")</f>
        <v/>
      </c>
      <c r="C152" s="11">
        <f>IF(OR($A152=1,$B152=""),"",IF(OR(YEAR($B152-1)=$B$2,YEAR(INDEX($B$5:$B$344,$A152-1)+1)=$B$2),$B152-INDEX($B$5:$B$344,$A152-1)-1,""))</f>
        <v/>
      </c>
      <c r="D152" s="11">
        <f>IF(OR($A152=1,$B152="",$A152+D$3&gt;340),"",IF(INDEX($B$5:$B$344,$A152+D$3)="","",IF(AND(YEAR($B152)=$B$2,YEAR(INDEX($B$5:$B$344,$A152+D$3-1))=$B$2),INDEX($B$5:$B$344,$A152+D$3)-INDEX($B$5:$B$344,$A152-1)-1,"")))</f>
        <v/>
      </c>
      <c r="E152" s="11">
        <f>IF(OR($A152=1,$B152="",$A152+E$3&gt;340),"",IF(INDEX($B$5:$B$344,$A152+E$3)="","",IF(AND(YEAR($B152)=$B$2,YEAR(INDEX($B$5:$B$344,$A152+E$3-1))=$B$2),INDEX($B$5:$B$344,$A152+E$3)-INDEX($B$5:$B$344,$A152-1)-1,"")))</f>
        <v/>
      </c>
      <c r="F152" s="11">
        <f>IF(OR($A152=1,$B152="",$A152+F$3&gt;340),"",IF(INDEX($B$5:$B$344,$A152+F$3)="","",IF(AND(YEAR($B152)=$B$2,YEAR(INDEX($B$5:$B$344,$A152+F$3-1))=$B$2),INDEX($B$5:$B$344,$A152+F$3)-INDEX($B$5:$B$344,$A152-1)-1,"")))</f>
        <v/>
      </c>
      <c r="G152" s="11">
        <f>IF(OR($A152=1,$B152="",$A152+G$3&gt;340),"",IF(INDEX($B$5:$B$344,$A152+G$3)="","",IF(AND(YEAR($B152)=$B$2,YEAR(INDEX($B$5:$B$344,$A152+G$3-1))=$B$2),INDEX($B$5:$B$344,$A152+G$3)-INDEX($B$5:$B$344,$A152-1)-1,"")))</f>
        <v/>
      </c>
      <c r="H152" s="11">
        <f>IF(OR($A152=1,$B152="",$A152+H$3&gt;340),"",IF(INDEX($B$5:$B$344,$A152+H$3)="","",IF(AND(YEAR($B152)=$B$2,YEAR(INDEX($B$5:$B$344,$A152+H$3-1))=$B$2),INDEX($B$5:$B$344,$A152+H$3)-INDEX($B$5:$B$344,$A152-1)-1,"")))</f>
        <v/>
      </c>
      <c r="I152" s="11">
        <f>IF(OR($A152=1,$B152="",$A152+I$3&gt;340),"",IF(INDEX($B$5:$B$344,$A152+I$3)="","",IF(AND(YEAR($B152)=$B$2,YEAR(INDEX($B$5:$B$344,$A152+I$3-1))=$B$2),INDEX($B$5:$B$344,$A152+I$3)-INDEX($B$5:$B$344,$A152-1)-1,"")))</f>
        <v/>
      </c>
      <c r="J152" s="11">
        <f>IF(OR($A152=1,$B152="",$A152+J$3&gt;340),"",IF(INDEX($B$5:$B$344,$A152+J$3)="","",IF(AND(YEAR($B152)=$B$2,YEAR(INDEX($B$5:$B$344,$A152+J$3-1))=$B$2),INDEX($B$5:$B$344,$A152+J$3)-INDEX($B$5:$B$344,$A152-1)-1,"")))</f>
        <v/>
      </c>
      <c r="K152" s="11">
        <f>IF(OR($A152=1,$B152="",$A152+K$3&gt;340),"",IF(INDEX($B$5:$B$344,$A152+K$3)="","",IF(AND(YEAR($B152)=$B$2,YEAR(INDEX($B$5:$B$344,$A152+K$3-1))=$B$2),INDEX($B$5:$B$344,$A152+K$3)-INDEX($B$5:$B$344,$A152-1)-1,"")))</f>
        <v/>
      </c>
      <c r="L152" s="11">
        <f>IF(OR($A152=1,$B152="",$A152+L$3&gt;340),"",IF(INDEX($B$5:$B$344,$A152+L$3)="","",IF(AND(YEAR($B152)=$B$2,YEAR(INDEX($B$5:$B$344,$A152+L$3-1))=$B$2),INDEX($B$5:$B$344,$A152+L$3)-INDEX($B$5:$B$344,$A152-1)-1,"")))</f>
        <v/>
      </c>
      <c r="M152" s="11">
        <f>IF(OR($A152=1,$B152="",$A152+M$3&gt;340),"",IF(INDEX($B$5:$B$344,$A152+M$3)="","",IF(AND(YEAR($B152)=$B$2,YEAR(INDEX($B$5:$B$344,$A152+M$3-1))=$B$2),INDEX($B$5:$B$344,$A152+M$3)-INDEX($B$5:$B$344,$A152-1)-1,"")))</f>
        <v/>
      </c>
    </row>
    <row r="153">
      <c r="A153" s="11" t="n">
        <v>149</v>
      </c>
      <c r="B153" s="10">
        <f>IFERROR(INDEX('2_暦'!$A$7:$A$433,MATCH(A153,'2_暦'!$K$7:$K$433,0)),"")</f>
        <v/>
      </c>
      <c r="C153" s="11">
        <f>IF(OR($A153=1,$B153=""),"",IF(OR(YEAR($B153-1)=$B$2,YEAR(INDEX($B$5:$B$344,$A153-1)+1)=$B$2),$B153-INDEX($B$5:$B$344,$A153-1)-1,""))</f>
        <v/>
      </c>
      <c r="D153" s="11">
        <f>IF(OR($A153=1,$B153="",$A153+D$3&gt;340),"",IF(INDEX($B$5:$B$344,$A153+D$3)="","",IF(AND(YEAR($B153)=$B$2,YEAR(INDEX($B$5:$B$344,$A153+D$3-1))=$B$2),INDEX($B$5:$B$344,$A153+D$3)-INDEX($B$5:$B$344,$A153-1)-1,"")))</f>
        <v/>
      </c>
      <c r="E153" s="11">
        <f>IF(OR($A153=1,$B153="",$A153+E$3&gt;340),"",IF(INDEX($B$5:$B$344,$A153+E$3)="","",IF(AND(YEAR($B153)=$B$2,YEAR(INDEX($B$5:$B$344,$A153+E$3-1))=$B$2),INDEX($B$5:$B$344,$A153+E$3)-INDEX($B$5:$B$344,$A153-1)-1,"")))</f>
        <v/>
      </c>
      <c r="F153" s="11">
        <f>IF(OR($A153=1,$B153="",$A153+F$3&gt;340),"",IF(INDEX($B$5:$B$344,$A153+F$3)="","",IF(AND(YEAR($B153)=$B$2,YEAR(INDEX($B$5:$B$344,$A153+F$3-1))=$B$2),INDEX($B$5:$B$344,$A153+F$3)-INDEX($B$5:$B$344,$A153-1)-1,"")))</f>
        <v/>
      </c>
      <c r="G153" s="11">
        <f>IF(OR($A153=1,$B153="",$A153+G$3&gt;340),"",IF(INDEX($B$5:$B$344,$A153+G$3)="","",IF(AND(YEAR($B153)=$B$2,YEAR(INDEX($B$5:$B$344,$A153+G$3-1))=$B$2),INDEX($B$5:$B$344,$A153+G$3)-INDEX($B$5:$B$344,$A153-1)-1,"")))</f>
        <v/>
      </c>
      <c r="H153" s="11">
        <f>IF(OR($A153=1,$B153="",$A153+H$3&gt;340),"",IF(INDEX($B$5:$B$344,$A153+H$3)="","",IF(AND(YEAR($B153)=$B$2,YEAR(INDEX($B$5:$B$344,$A153+H$3-1))=$B$2),INDEX($B$5:$B$344,$A153+H$3)-INDEX($B$5:$B$344,$A153-1)-1,"")))</f>
        <v/>
      </c>
      <c r="I153" s="11">
        <f>IF(OR($A153=1,$B153="",$A153+I$3&gt;340),"",IF(INDEX($B$5:$B$344,$A153+I$3)="","",IF(AND(YEAR($B153)=$B$2,YEAR(INDEX($B$5:$B$344,$A153+I$3-1))=$B$2),INDEX($B$5:$B$344,$A153+I$3)-INDEX($B$5:$B$344,$A153-1)-1,"")))</f>
        <v/>
      </c>
      <c r="J153" s="11">
        <f>IF(OR($A153=1,$B153="",$A153+J$3&gt;340),"",IF(INDEX($B$5:$B$344,$A153+J$3)="","",IF(AND(YEAR($B153)=$B$2,YEAR(INDEX($B$5:$B$344,$A153+J$3-1))=$B$2),INDEX($B$5:$B$344,$A153+J$3)-INDEX($B$5:$B$344,$A153-1)-1,"")))</f>
        <v/>
      </c>
      <c r="K153" s="11">
        <f>IF(OR($A153=1,$B153="",$A153+K$3&gt;340),"",IF(INDEX($B$5:$B$344,$A153+K$3)="","",IF(AND(YEAR($B153)=$B$2,YEAR(INDEX($B$5:$B$344,$A153+K$3-1))=$B$2),INDEX($B$5:$B$344,$A153+K$3)-INDEX($B$5:$B$344,$A153-1)-1,"")))</f>
        <v/>
      </c>
      <c r="L153" s="11">
        <f>IF(OR($A153=1,$B153="",$A153+L$3&gt;340),"",IF(INDEX($B$5:$B$344,$A153+L$3)="","",IF(AND(YEAR($B153)=$B$2,YEAR(INDEX($B$5:$B$344,$A153+L$3-1))=$B$2),INDEX($B$5:$B$344,$A153+L$3)-INDEX($B$5:$B$344,$A153-1)-1,"")))</f>
        <v/>
      </c>
      <c r="M153" s="11">
        <f>IF(OR($A153=1,$B153="",$A153+M$3&gt;340),"",IF(INDEX($B$5:$B$344,$A153+M$3)="","",IF(AND(YEAR($B153)=$B$2,YEAR(INDEX($B$5:$B$344,$A153+M$3-1))=$B$2),INDEX($B$5:$B$344,$A153+M$3)-INDEX($B$5:$B$344,$A153-1)-1,"")))</f>
        <v/>
      </c>
    </row>
    <row r="154">
      <c r="A154" s="11" t="n">
        <v>150</v>
      </c>
      <c r="B154" s="10">
        <f>IFERROR(INDEX('2_暦'!$A$7:$A$433,MATCH(A154,'2_暦'!$K$7:$K$433,0)),"")</f>
        <v/>
      </c>
      <c r="C154" s="11">
        <f>IF(OR($A154=1,$B154=""),"",IF(OR(YEAR($B154-1)=$B$2,YEAR(INDEX($B$5:$B$344,$A154-1)+1)=$B$2),$B154-INDEX($B$5:$B$344,$A154-1)-1,""))</f>
        <v/>
      </c>
      <c r="D154" s="11">
        <f>IF(OR($A154=1,$B154="",$A154+D$3&gt;340),"",IF(INDEX($B$5:$B$344,$A154+D$3)="","",IF(AND(YEAR($B154)=$B$2,YEAR(INDEX($B$5:$B$344,$A154+D$3-1))=$B$2),INDEX($B$5:$B$344,$A154+D$3)-INDEX($B$5:$B$344,$A154-1)-1,"")))</f>
        <v/>
      </c>
      <c r="E154" s="11">
        <f>IF(OR($A154=1,$B154="",$A154+E$3&gt;340),"",IF(INDEX($B$5:$B$344,$A154+E$3)="","",IF(AND(YEAR($B154)=$B$2,YEAR(INDEX($B$5:$B$344,$A154+E$3-1))=$B$2),INDEX($B$5:$B$344,$A154+E$3)-INDEX($B$5:$B$344,$A154-1)-1,"")))</f>
        <v/>
      </c>
      <c r="F154" s="11">
        <f>IF(OR($A154=1,$B154="",$A154+F$3&gt;340),"",IF(INDEX($B$5:$B$344,$A154+F$3)="","",IF(AND(YEAR($B154)=$B$2,YEAR(INDEX($B$5:$B$344,$A154+F$3-1))=$B$2),INDEX($B$5:$B$344,$A154+F$3)-INDEX($B$5:$B$344,$A154-1)-1,"")))</f>
        <v/>
      </c>
      <c r="G154" s="11">
        <f>IF(OR($A154=1,$B154="",$A154+G$3&gt;340),"",IF(INDEX($B$5:$B$344,$A154+G$3)="","",IF(AND(YEAR($B154)=$B$2,YEAR(INDEX($B$5:$B$344,$A154+G$3-1))=$B$2),INDEX($B$5:$B$344,$A154+G$3)-INDEX($B$5:$B$344,$A154-1)-1,"")))</f>
        <v/>
      </c>
      <c r="H154" s="11">
        <f>IF(OR($A154=1,$B154="",$A154+H$3&gt;340),"",IF(INDEX($B$5:$B$344,$A154+H$3)="","",IF(AND(YEAR($B154)=$B$2,YEAR(INDEX($B$5:$B$344,$A154+H$3-1))=$B$2),INDEX($B$5:$B$344,$A154+H$3)-INDEX($B$5:$B$344,$A154-1)-1,"")))</f>
        <v/>
      </c>
      <c r="I154" s="11">
        <f>IF(OR($A154=1,$B154="",$A154+I$3&gt;340),"",IF(INDEX($B$5:$B$344,$A154+I$3)="","",IF(AND(YEAR($B154)=$B$2,YEAR(INDEX($B$5:$B$344,$A154+I$3-1))=$B$2),INDEX($B$5:$B$344,$A154+I$3)-INDEX($B$5:$B$344,$A154-1)-1,"")))</f>
        <v/>
      </c>
      <c r="J154" s="11">
        <f>IF(OR($A154=1,$B154="",$A154+J$3&gt;340),"",IF(INDEX($B$5:$B$344,$A154+J$3)="","",IF(AND(YEAR($B154)=$B$2,YEAR(INDEX($B$5:$B$344,$A154+J$3-1))=$B$2),INDEX($B$5:$B$344,$A154+J$3)-INDEX($B$5:$B$344,$A154-1)-1,"")))</f>
        <v/>
      </c>
      <c r="K154" s="11">
        <f>IF(OR($A154=1,$B154="",$A154+K$3&gt;340),"",IF(INDEX($B$5:$B$344,$A154+K$3)="","",IF(AND(YEAR($B154)=$B$2,YEAR(INDEX($B$5:$B$344,$A154+K$3-1))=$B$2),INDEX($B$5:$B$344,$A154+K$3)-INDEX($B$5:$B$344,$A154-1)-1,"")))</f>
        <v/>
      </c>
      <c r="L154" s="11">
        <f>IF(OR($A154=1,$B154="",$A154+L$3&gt;340),"",IF(INDEX($B$5:$B$344,$A154+L$3)="","",IF(AND(YEAR($B154)=$B$2,YEAR(INDEX($B$5:$B$344,$A154+L$3-1))=$B$2),INDEX($B$5:$B$344,$A154+L$3)-INDEX($B$5:$B$344,$A154-1)-1,"")))</f>
        <v/>
      </c>
      <c r="M154" s="11">
        <f>IF(OR($A154=1,$B154="",$A154+M$3&gt;340),"",IF(INDEX($B$5:$B$344,$A154+M$3)="","",IF(AND(YEAR($B154)=$B$2,YEAR(INDEX($B$5:$B$344,$A154+M$3-1))=$B$2),INDEX($B$5:$B$344,$A154+M$3)-INDEX($B$5:$B$344,$A154-1)-1,"")))</f>
        <v/>
      </c>
    </row>
    <row r="155">
      <c r="A155" s="11" t="n">
        <v>151</v>
      </c>
      <c r="B155" s="10">
        <f>IFERROR(INDEX('2_暦'!$A$7:$A$433,MATCH(A155,'2_暦'!$K$7:$K$433,0)),"")</f>
        <v/>
      </c>
      <c r="C155" s="11">
        <f>IF(OR($A155=1,$B155=""),"",IF(OR(YEAR($B155-1)=$B$2,YEAR(INDEX($B$5:$B$344,$A155-1)+1)=$B$2),$B155-INDEX($B$5:$B$344,$A155-1)-1,""))</f>
        <v/>
      </c>
      <c r="D155" s="11">
        <f>IF(OR($A155=1,$B155="",$A155+D$3&gt;340),"",IF(INDEX($B$5:$B$344,$A155+D$3)="","",IF(AND(YEAR($B155)=$B$2,YEAR(INDEX($B$5:$B$344,$A155+D$3-1))=$B$2),INDEX($B$5:$B$344,$A155+D$3)-INDEX($B$5:$B$344,$A155-1)-1,"")))</f>
        <v/>
      </c>
      <c r="E155" s="11">
        <f>IF(OR($A155=1,$B155="",$A155+E$3&gt;340),"",IF(INDEX($B$5:$B$344,$A155+E$3)="","",IF(AND(YEAR($B155)=$B$2,YEAR(INDEX($B$5:$B$344,$A155+E$3-1))=$B$2),INDEX($B$5:$B$344,$A155+E$3)-INDEX($B$5:$B$344,$A155-1)-1,"")))</f>
        <v/>
      </c>
      <c r="F155" s="11">
        <f>IF(OR($A155=1,$B155="",$A155+F$3&gt;340),"",IF(INDEX($B$5:$B$344,$A155+F$3)="","",IF(AND(YEAR($B155)=$B$2,YEAR(INDEX($B$5:$B$344,$A155+F$3-1))=$B$2),INDEX($B$5:$B$344,$A155+F$3)-INDEX($B$5:$B$344,$A155-1)-1,"")))</f>
        <v/>
      </c>
      <c r="G155" s="11">
        <f>IF(OR($A155=1,$B155="",$A155+G$3&gt;340),"",IF(INDEX($B$5:$B$344,$A155+G$3)="","",IF(AND(YEAR($B155)=$B$2,YEAR(INDEX($B$5:$B$344,$A155+G$3-1))=$B$2),INDEX($B$5:$B$344,$A155+G$3)-INDEX($B$5:$B$344,$A155-1)-1,"")))</f>
        <v/>
      </c>
      <c r="H155" s="11">
        <f>IF(OR($A155=1,$B155="",$A155+H$3&gt;340),"",IF(INDEX($B$5:$B$344,$A155+H$3)="","",IF(AND(YEAR($B155)=$B$2,YEAR(INDEX($B$5:$B$344,$A155+H$3-1))=$B$2),INDEX($B$5:$B$344,$A155+H$3)-INDEX($B$5:$B$344,$A155-1)-1,"")))</f>
        <v/>
      </c>
      <c r="I155" s="11">
        <f>IF(OR($A155=1,$B155="",$A155+I$3&gt;340),"",IF(INDEX($B$5:$B$344,$A155+I$3)="","",IF(AND(YEAR($B155)=$B$2,YEAR(INDEX($B$5:$B$344,$A155+I$3-1))=$B$2),INDEX($B$5:$B$344,$A155+I$3)-INDEX($B$5:$B$344,$A155-1)-1,"")))</f>
        <v/>
      </c>
      <c r="J155" s="11">
        <f>IF(OR($A155=1,$B155="",$A155+J$3&gt;340),"",IF(INDEX($B$5:$B$344,$A155+J$3)="","",IF(AND(YEAR($B155)=$B$2,YEAR(INDEX($B$5:$B$344,$A155+J$3-1))=$B$2),INDEX($B$5:$B$344,$A155+J$3)-INDEX($B$5:$B$344,$A155-1)-1,"")))</f>
        <v/>
      </c>
      <c r="K155" s="11">
        <f>IF(OR($A155=1,$B155="",$A155+K$3&gt;340),"",IF(INDEX($B$5:$B$344,$A155+K$3)="","",IF(AND(YEAR($B155)=$B$2,YEAR(INDEX($B$5:$B$344,$A155+K$3-1))=$B$2),INDEX($B$5:$B$344,$A155+K$3)-INDEX($B$5:$B$344,$A155-1)-1,"")))</f>
        <v/>
      </c>
      <c r="L155" s="11">
        <f>IF(OR($A155=1,$B155="",$A155+L$3&gt;340),"",IF(INDEX($B$5:$B$344,$A155+L$3)="","",IF(AND(YEAR($B155)=$B$2,YEAR(INDEX($B$5:$B$344,$A155+L$3-1))=$B$2),INDEX($B$5:$B$344,$A155+L$3)-INDEX($B$5:$B$344,$A155-1)-1,"")))</f>
        <v/>
      </c>
      <c r="M155" s="11">
        <f>IF(OR($A155=1,$B155="",$A155+M$3&gt;340),"",IF(INDEX($B$5:$B$344,$A155+M$3)="","",IF(AND(YEAR($B155)=$B$2,YEAR(INDEX($B$5:$B$344,$A155+M$3-1))=$B$2),INDEX($B$5:$B$344,$A155+M$3)-INDEX($B$5:$B$344,$A155-1)-1,"")))</f>
        <v/>
      </c>
    </row>
    <row r="156">
      <c r="A156" s="11" t="n">
        <v>152</v>
      </c>
      <c r="B156" s="10">
        <f>IFERROR(INDEX('2_暦'!$A$7:$A$433,MATCH(A156,'2_暦'!$K$7:$K$433,0)),"")</f>
        <v/>
      </c>
      <c r="C156" s="11">
        <f>IF(OR($A156=1,$B156=""),"",IF(OR(YEAR($B156-1)=$B$2,YEAR(INDEX($B$5:$B$344,$A156-1)+1)=$B$2),$B156-INDEX($B$5:$B$344,$A156-1)-1,""))</f>
        <v/>
      </c>
      <c r="D156" s="11">
        <f>IF(OR($A156=1,$B156="",$A156+D$3&gt;340),"",IF(INDEX($B$5:$B$344,$A156+D$3)="","",IF(AND(YEAR($B156)=$B$2,YEAR(INDEX($B$5:$B$344,$A156+D$3-1))=$B$2),INDEX($B$5:$B$344,$A156+D$3)-INDEX($B$5:$B$344,$A156-1)-1,"")))</f>
        <v/>
      </c>
      <c r="E156" s="11">
        <f>IF(OR($A156=1,$B156="",$A156+E$3&gt;340),"",IF(INDEX($B$5:$B$344,$A156+E$3)="","",IF(AND(YEAR($B156)=$B$2,YEAR(INDEX($B$5:$B$344,$A156+E$3-1))=$B$2),INDEX($B$5:$B$344,$A156+E$3)-INDEX($B$5:$B$344,$A156-1)-1,"")))</f>
        <v/>
      </c>
      <c r="F156" s="11">
        <f>IF(OR($A156=1,$B156="",$A156+F$3&gt;340),"",IF(INDEX($B$5:$B$344,$A156+F$3)="","",IF(AND(YEAR($B156)=$B$2,YEAR(INDEX($B$5:$B$344,$A156+F$3-1))=$B$2),INDEX($B$5:$B$344,$A156+F$3)-INDEX($B$5:$B$344,$A156-1)-1,"")))</f>
        <v/>
      </c>
      <c r="G156" s="11">
        <f>IF(OR($A156=1,$B156="",$A156+G$3&gt;340),"",IF(INDEX($B$5:$B$344,$A156+G$3)="","",IF(AND(YEAR($B156)=$B$2,YEAR(INDEX($B$5:$B$344,$A156+G$3-1))=$B$2),INDEX($B$5:$B$344,$A156+G$3)-INDEX($B$5:$B$344,$A156-1)-1,"")))</f>
        <v/>
      </c>
      <c r="H156" s="11">
        <f>IF(OR($A156=1,$B156="",$A156+H$3&gt;340),"",IF(INDEX($B$5:$B$344,$A156+H$3)="","",IF(AND(YEAR($B156)=$B$2,YEAR(INDEX($B$5:$B$344,$A156+H$3-1))=$B$2),INDEX($B$5:$B$344,$A156+H$3)-INDEX($B$5:$B$344,$A156-1)-1,"")))</f>
        <v/>
      </c>
      <c r="I156" s="11">
        <f>IF(OR($A156=1,$B156="",$A156+I$3&gt;340),"",IF(INDEX($B$5:$B$344,$A156+I$3)="","",IF(AND(YEAR($B156)=$B$2,YEAR(INDEX($B$5:$B$344,$A156+I$3-1))=$B$2),INDEX($B$5:$B$344,$A156+I$3)-INDEX($B$5:$B$344,$A156-1)-1,"")))</f>
        <v/>
      </c>
      <c r="J156" s="11">
        <f>IF(OR($A156=1,$B156="",$A156+J$3&gt;340),"",IF(INDEX($B$5:$B$344,$A156+J$3)="","",IF(AND(YEAR($B156)=$B$2,YEAR(INDEX($B$5:$B$344,$A156+J$3-1))=$B$2),INDEX($B$5:$B$344,$A156+J$3)-INDEX($B$5:$B$344,$A156-1)-1,"")))</f>
        <v/>
      </c>
      <c r="K156" s="11">
        <f>IF(OR($A156=1,$B156="",$A156+K$3&gt;340),"",IF(INDEX($B$5:$B$344,$A156+K$3)="","",IF(AND(YEAR($B156)=$B$2,YEAR(INDEX($B$5:$B$344,$A156+K$3-1))=$B$2),INDEX($B$5:$B$344,$A156+K$3)-INDEX($B$5:$B$344,$A156-1)-1,"")))</f>
        <v/>
      </c>
      <c r="L156" s="11">
        <f>IF(OR($A156=1,$B156="",$A156+L$3&gt;340),"",IF(INDEX($B$5:$B$344,$A156+L$3)="","",IF(AND(YEAR($B156)=$B$2,YEAR(INDEX($B$5:$B$344,$A156+L$3-1))=$B$2),INDEX($B$5:$B$344,$A156+L$3)-INDEX($B$5:$B$344,$A156-1)-1,"")))</f>
        <v/>
      </c>
      <c r="M156" s="11">
        <f>IF(OR($A156=1,$B156="",$A156+M$3&gt;340),"",IF(INDEX($B$5:$B$344,$A156+M$3)="","",IF(AND(YEAR($B156)=$B$2,YEAR(INDEX($B$5:$B$344,$A156+M$3-1))=$B$2),INDEX($B$5:$B$344,$A156+M$3)-INDEX($B$5:$B$344,$A156-1)-1,"")))</f>
        <v/>
      </c>
    </row>
    <row r="157">
      <c r="A157" s="11" t="n">
        <v>153</v>
      </c>
      <c r="B157" s="10">
        <f>IFERROR(INDEX('2_暦'!$A$7:$A$433,MATCH(A157,'2_暦'!$K$7:$K$433,0)),"")</f>
        <v/>
      </c>
      <c r="C157" s="11">
        <f>IF(OR($A157=1,$B157=""),"",IF(OR(YEAR($B157-1)=$B$2,YEAR(INDEX($B$5:$B$344,$A157-1)+1)=$B$2),$B157-INDEX($B$5:$B$344,$A157-1)-1,""))</f>
        <v/>
      </c>
      <c r="D157" s="11">
        <f>IF(OR($A157=1,$B157="",$A157+D$3&gt;340),"",IF(INDEX($B$5:$B$344,$A157+D$3)="","",IF(AND(YEAR($B157)=$B$2,YEAR(INDEX($B$5:$B$344,$A157+D$3-1))=$B$2),INDEX($B$5:$B$344,$A157+D$3)-INDEX($B$5:$B$344,$A157-1)-1,"")))</f>
        <v/>
      </c>
      <c r="E157" s="11">
        <f>IF(OR($A157=1,$B157="",$A157+E$3&gt;340),"",IF(INDEX($B$5:$B$344,$A157+E$3)="","",IF(AND(YEAR($B157)=$B$2,YEAR(INDEX($B$5:$B$344,$A157+E$3-1))=$B$2),INDEX($B$5:$B$344,$A157+E$3)-INDEX($B$5:$B$344,$A157-1)-1,"")))</f>
        <v/>
      </c>
      <c r="F157" s="11">
        <f>IF(OR($A157=1,$B157="",$A157+F$3&gt;340),"",IF(INDEX($B$5:$B$344,$A157+F$3)="","",IF(AND(YEAR($B157)=$B$2,YEAR(INDEX($B$5:$B$344,$A157+F$3-1))=$B$2),INDEX($B$5:$B$344,$A157+F$3)-INDEX($B$5:$B$344,$A157-1)-1,"")))</f>
        <v/>
      </c>
      <c r="G157" s="11">
        <f>IF(OR($A157=1,$B157="",$A157+G$3&gt;340),"",IF(INDEX($B$5:$B$344,$A157+G$3)="","",IF(AND(YEAR($B157)=$B$2,YEAR(INDEX($B$5:$B$344,$A157+G$3-1))=$B$2),INDEX($B$5:$B$344,$A157+G$3)-INDEX($B$5:$B$344,$A157-1)-1,"")))</f>
        <v/>
      </c>
      <c r="H157" s="11">
        <f>IF(OR($A157=1,$B157="",$A157+H$3&gt;340),"",IF(INDEX($B$5:$B$344,$A157+H$3)="","",IF(AND(YEAR($B157)=$B$2,YEAR(INDEX($B$5:$B$344,$A157+H$3-1))=$B$2),INDEX($B$5:$B$344,$A157+H$3)-INDEX($B$5:$B$344,$A157-1)-1,"")))</f>
        <v/>
      </c>
      <c r="I157" s="11">
        <f>IF(OR($A157=1,$B157="",$A157+I$3&gt;340),"",IF(INDEX($B$5:$B$344,$A157+I$3)="","",IF(AND(YEAR($B157)=$B$2,YEAR(INDEX($B$5:$B$344,$A157+I$3-1))=$B$2),INDEX($B$5:$B$344,$A157+I$3)-INDEX($B$5:$B$344,$A157-1)-1,"")))</f>
        <v/>
      </c>
      <c r="J157" s="11">
        <f>IF(OR($A157=1,$B157="",$A157+J$3&gt;340),"",IF(INDEX($B$5:$B$344,$A157+J$3)="","",IF(AND(YEAR($B157)=$B$2,YEAR(INDEX($B$5:$B$344,$A157+J$3-1))=$B$2),INDEX($B$5:$B$344,$A157+J$3)-INDEX($B$5:$B$344,$A157-1)-1,"")))</f>
        <v/>
      </c>
      <c r="K157" s="11">
        <f>IF(OR($A157=1,$B157="",$A157+K$3&gt;340),"",IF(INDEX($B$5:$B$344,$A157+K$3)="","",IF(AND(YEAR($B157)=$B$2,YEAR(INDEX($B$5:$B$344,$A157+K$3-1))=$B$2),INDEX($B$5:$B$344,$A157+K$3)-INDEX($B$5:$B$344,$A157-1)-1,"")))</f>
        <v/>
      </c>
      <c r="L157" s="11">
        <f>IF(OR($A157=1,$B157="",$A157+L$3&gt;340),"",IF(INDEX($B$5:$B$344,$A157+L$3)="","",IF(AND(YEAR($B157)=$B$2,YEAR(INDEX($B$5:$B$344,$A157+L$3-1))=$B$2),INDEX($B$5:$B$344,$A157+L$3)-INDEX($B$5:$B$344,$A157-1)-1,"")))</f>
        <v/>
      </c>
      <c r="M157" s="11">
        <f>IF(OR($A157=1,$B157="",$A157+M$3&gt;340),"",IF(INDEX($B$5:$B$344,$A157+M$3)="","",IF(AND(YEAR($B157)=$B$2,YEAR(INDEX($B$5:$B$344,$A157+M$3-1))=$B$2),INDEX($B$5:$B$344,$A157+M$3)-INDEX($B$5:$B$344,$A157-1)-1,"")))</f>
        <v/>
      </c>
    </row>
    <row r="158">
      <c r="A158" s="11" t="n">
        <v>154</v>
      </c>
      <c r="B158" s="10">
        <f>IFERROR(INDEX('2_暦'!$A$7:$A$433,MATCH(A158,'2_暦'!$K$7:$K$433,0)),"")</f>
        <v/>
      </c>
      <c r="C158" s="11">
        <f>IF(OR($A158=1,$B158=""),"",IF(OR(YEAR($B158-1)=$B$2,YEAR(INDEX($B$5:$B$344,$A158-1)+1)=$B$2),$B158-INDEX($B$5:$B$344,$A158-1)-1,""))</f>
        <v/>
      </c>
      <c r="D158" s="11">
        <f>IF(OR($A158=1,$B158="",$A158+D$3&gt;340),"",IF(INDEX($B$5:$B$344,$A158+D$3)="","",IF(AND(YEAR($B158)=$B$2,YEAR(INDEX($B$5:$B$344,$A158+D$3-1))=$B$2),INDEX($B$5:$B$344,$A158+D$3)-INDEX($B$5:$B$344,$A158-1)-1,"")))</f>
        <v/>
      </c>
      <c r="E158" s="11">
        <f>IF(OR($A158=1,$B158="",$A158+E$3&gt;340),"",IF(INDEX($B$5:$B$344,$A158+E$3)="","",IF(AND(YEAR($B158)=$B$2,YEAR(INDEX($B$5:$B$344,$A158+E$3-1))=$B$2),INDEX($B$5:$B$344,$A158+E$3)-INDEX($B$5:$B$344,$A158-1)-1,"")))</f>
        <v/>
      </c>
      <c r="F158" s="11">
        <f>IF(OR($A158=1,$B158="",$A158+F$3&gt;340),"",IF(INDEX($B$5:$B$344,$A158+F$3)="","",IF(AND(YEAR($B158)=$B$2,YEAR(INDEX($B$5:$B$344,$A158+F$3-1))=$B$2),INDEX($B$5:$B$344,$A158+F$3)-INDEX($B$5:$B$344,$A158-1)-1,"")))</f>
        <v/>
      </c>
      <c r="G158" s="11">
        <f>IF(OR($A158=1,$B158="",$A158+G$3&gt;340),"",IF(INDEX($B$5:$B$344,$A158+G$3)="","",IF(AND(YEAR($B158)=$B$2,YEAR(INDEX($B$5:$B$344,$A158+G$3-1))=$B$2),INDEX($B$5:$B$344,$A158+G$3)-INDEX($B$5:$B$344,$A158-1)-1,"")))</f>
        <v/>
      </c>
      <c r="H158" s="11">
        <f>IF(OR($A158=1,$B158="",$A158+H$3&gt;340),"",IF(INDEX($B$5:$B$344,$A158+H$3)="","",IF(AND(YEAR($B158)=$B$2,YEAR(INDEX($B$5:$B$344,$A158+H$3-1))=$B$2),INDEX($B$5:$B$344,$A158+H$3)-INDEX($B$5:$B$344,$A158-1)-1,"")))</f>
        <v/>
      </c>
      <c r="I158" s="11">
        <f>IF(OR($A158=1,$B158="",$A158+I$3&gt;340),"",IF(INDEX($B$5:$B$344,$A158+I$3)="","",IF(AND(YEAR($B158)=$B$2,YEAR(INDEX($B$5:$B$344,$A158+I$3-1))=$B$2),INDEX($B$5:$B$344,$A158+I$3)-INDEX($B$5:$B$344,$A158-1)-1,"")))</f>
        <v/>
      </c>
      <c r="J158" s="11">
        <f>IF(OR($A158=1,$B158="",$A158+J$3&gt;340),"",IF(INDEX($B$5:$B$344,$A158+J$3)="","",IF(AND(YEAR($B158)=$B$2,YEAR(INDEX($B$5:$B$344,$A158+J$3-1))=$B$2),INDEX($B$5:$B$344,$A158+J$3)-INDEX($B$5:$B$344,$A158-1)-1,"")))</f>
        <v/>
      </c>
      <c r="K158" s="11">
        <f>IF(OR($A158=1,$B158="",$A158+K$3&gt;340),"",IF(INDEX($B$5:$B$344,$A158+K$3)="","",IF(AND(YEAR($B158)=$B$2,YEAR(INDEX($B$5:$B$344,$A158+K$3-1))=$B$2),INDEX($B$5:$B$344,$A158+K$3)-INDEX($B$5:$B$344,$A158-1)-1,"")))</f>
        <v/>
      </c>
      <c r="L158" s="11">
        <f>IF(OR($A158=1,$B158="",$A158+L$3&gt;340),"",IF(INDEX($B$5:$B$344,$A158+L$3)="","",IF(AND(YEAR($B158)=$B$2,YEAR(INDEX($B$5:$B$344,$A158+L$3-1))=$B$2),INDEX($B$5:$B$344,$A158+L$3)-INDEX($B$5:$B$344,$A158-1)-1,"")))</f>
        <v/>
      </c>
      <c r="M158" s="11">
        <f>IF(OR($A158=1,$B158="",$A158+M$3&gt;340),"",IF(INDEX($B$5:$B$344,$A158+M$3)="","",IF(AND(YEAR($B158)=$B$2,YEAR(INDEX($B$5:$B$344,$A158+M$3-1))=$B$2),INDEX($B$5:$B$344,$A158+M$3)-INDEX($B$5:$B$344,$A158-1)-1,"")))</f>
        <v/>
      </c>
    </row>
    <row r="159">
      <c r="A159" s="11" t="n">
        <v>155</v>
      </c>
      <c r="B159" s="10">
        <f>IFERROR(INDEX('2_暦'!$A$7:$A$433,MATCH(A159,'2_暦'!$K$7:$K$433,0)),"")</f>
        <v/>
      </c>
      <c r="C159" s="11">
        <f>IF(OR($A159=1,$B159=""),"",IF(OR(YEAR($B159-1)=$B$2,YEAR(INDEX($B$5:$B$344,$A159-1)+1)=$B$2),$B159-INDEX($B$5:$B$344,$A159-1)-1,""))</f>
        <v/>
      </c>
      <c r="D159" s="11">
        <f>IF(OR($A159=1,$B159="",$A159+D$3&gt;340),"",IF(INDEX($B$5:$B$344,$A159+D$3)="","",IF(AND(YEAR($B159)=$B$2,YEAR(INDEX($B$5:$B$344,$A159+D$3-1))=$B$2),INDEX($B$5:$B$344,$A159+D$3)-INDEX($B$5:$B$344,$A159-1)-1,"")))</f>
        <v/>
      </c>
      <c r="E159" s="11">
        <f>IF(OR($A159=1,$B159="",$A159+E$3&gt;340),"",IF(INDEX($B$5:$B$344,$A159+E$3)="","",IF(AND(YEAR($B159)=$B$2,YEAR(INDEX($B$5:$B$344,$A159+E$3-1))=$B$2),INDEX($B$5:$B$344,$A159+E$3)-INDEX($B$5:$B$344,$A159-1)-1,"")))</f>
        <v/>
      </c>
      <c r="F159" s="11">
        <f>IF(OR($A159=1,$B159="",$A159+F$3&gt;340),"",IF(INDEX($B$5:$B$344,$A159+F$3)="","",IF(AND(YEAR($B159)=$B$2,YEAR(INDEX($B$5:$B$344,$A159+F$3-1))=$B$2),INDEX($B$5:$B$344,$A159+F$3)-INDEX($B$5:$B$344,$A159-1)-1,"")))</f>
        <v/>
      </c>
      <c r="G159" s="11">
        <f>IF(OR($A159=1,$B159="",$A159+G$3&gt;340),"",IF(INDEX($B$5:$B$344,$A159+G$3)="","",IF(AND(YEAR($B159)=$B$2,YEAR(INDEX($B$5:$B$344,$A159+G$3-1))=$B$2),INDEX($B$5:$B$344,$A159+G$3)-INDEX($B$5:$B$344,$A159-1)-1,"")))</f>
        <v/>
      </c>
      <c r="H159" s="11">
        <f>IF(OR($A159=1,$B159="",$A159+H$3&gt;340),"",IF(INDEX($B$5:$B$344,$A159+H$3)="","",IF(AND(YEAR($B159)=$B$2,YEAR(INDEX($B$5:$B$344,$A159+H$3-1))=$B$2),INDEX($B$5:$B$344,$A159+H$3)-INDEX($B$5:$B$344,$A159-1)-1,"")))</f>
        <v/>
      </c>
      <c r="I159" s="11">
        <f>IF(OR($A159=1,$B159="",$A159+I$3&gt;340),"",IF(INDEX($B$5:$B$344,$A159+I$3)="","",IF(AND(YEAR($B159)=$B$2,YEAR(INDEX($B$5:$B$344,$A159+I$3-1))=$B$2),INDEX($B$5:$B$344,$A159+I$3)-INDEX($B$5:$B$344,$A159-1)-1,"")))</f>
        <v/>
      </c>
      <c r="J159" s="11">
        <f>IF(OR($A159=1,$B159="",$A159+J$3&gt;340),"",IF(INDEX($B$5:$B$344,$A159+J$3)="","",IF(AND(YEAR($B159)=$B$2,YEAR(INDEX($B$5:$B$344,$A159+J$3-1))=$B$2),INDEX($B$5:$B$344,$A159+J$3)-INDEX($B$5:$B$344,$A159-1)-1,"")))</f>
        <v/>
      </c>
      <c r="K159" s="11">
        <f>IF(OR($A159=1,$B159="",$A159+K$3&gt;340),"",IF(INDEX($B$5:$B$344,$A159+K$3)="","",IF(AND(YEAR($B159)=$B$2,YEAR(INDEX($B$5:$B$344,$A159+K$3-1))=$B$2),INDEX($B$5:$B$344,$A159+K$3)-INDEX($B$5:$B$344,$A159-1)-1,"")))</f>
        <v/>
      </c>
      <c r="L159" s="11">
        <f>IF(OR($A159=1,$B159="",$A159+L$3&gt;340),"",IF(INDEX($B$5:$B$344,$A159+L$3)="","",IF(AND(YEAR($B159)=$B$2,YEAR(INDEX($B$5:$B$344,$A159+L$3-1))=$B$2),INDEX($B$5:$B$344,$A159+L$3)-INDEX($B$5:$B$344,$A159-1)-1,"")))</f>
        <v/>
      </c>
      <c r="M159" s="11">
        <f>IF(OR($A159=1,$B159="",$A159+M$3&gt;340),"",IF(INDEX($B$5:$B$344,$A159+M$3)="","",IF(AND(YEAR($B159)=$B$2,YEAR(INDEX($B$5:$B$344,$A159+M$3-1))=$B$2),INDEX($B$5:$B$344,$A159+M$3)-INDEX($B$5:$B$344,$A159-1)-1,"")))</f>
        <v/>
      </c>
    </row>
    <row r="160">
      <c r="A160" s="11" t="n">
        <v>156</v>
      </c>
      <c r="B160" s="10">
        <f>IFERROR(INDEX('2_暦'!$A$7:$A$433,MATCH(A160,'2_暦'!$K$7:$K$433,0)),"")</f>
        <v/>
      </c>
      <c r="C160" s="11">
        <f>IF(OR($A160=1,$B160=""),"",IF(OR(YEAR($B160-1)=$B$2,YEAR(INDEX($B$5:$B$344,$A160-1)+1)=$B$2),$B160-INDEX($B$5:$B$344,$A160-1)-1,""))</f>
        <v/>
      </c>
      <c r="D160" s="11">
        <f>IF(OR($A160=1,$B160="",$A160+D$3&gt;340),"",IF(INDEX($B$5:$B$344,$A160+D$3)="","",IF(AND(YEAR($B160)=$B$2,YEAR(INDEX($B$5:$B$344,$A160+D$3-1))=$B$2),INDEX($B$5:$B$344,$A160+D$3)-INDEX($B$5:$B$344,$A160-1)-1,"")))</f>
        <v/>
      </c>
      <c r="E160" s="11">
        <f>IF(OR($A160=1,$B160="",$A160+E$3&gt;340),"",IF(INDEX($B$5:$B$344,$A160+E$3)="","",IF(AND(YEAR($B160)=$B$2,YEAR(INDEX($B$5:$B$344,$A160+E$3-1))=$B$2),INDEX($B$5:$B$344,$A160+E$3)-INDEX($B$5:$B$344,$A160-1)-1,"")))</f>
        <v/>
      </c>
      <c r="F160" s="11">
        <f>IF(OR($A160=1,$B160="",$A160+F$3&gt;340),"",IF(INDEX($B$5:$B$344,$A160+F$3)="","",IF(AND(YEAR($B160)=$B$2,YEAR(INDEX($B$5:$B$344,$A160+F$3-1))=$B$2),INDEX($B$5:$B$344,$A160+F$3)-INDEX($B$5:$B$344,$A160-1)-1,"")))</f>
        <v/>
      </c>
      <c r="G160" s="11">
        <f>IF(OR($A160=1,$B160="",$A160+G$3&gt;340),"",IF(INDEX($B$5:$B$344,$A160+G$3)="","",IF(AND(YEAR($B160)=$B$2,YEAR(INDEX($B$5:$B$344,$A160+G$3-1))=$B$2),INDEX($B$5:$B$344,$A160+G$3)-INDEX($B$5:$B$344,$A160-1)-1,"")))</f>
        <v/>
      </c>
      <c r="H160" s="11">
        <f>IF(OR($A160=1,$B160="",$A160+H$3&gt;340),"",IF(INDEX($B$5:$B$344,$A160+H$3)="","",IF(AND(YEAR($B160)=$B$2,YEAR(INDEX($B$5:$B$344,$A160+H$3-1))=$B$2),INDEX($B$5:$B$344,$A160+H$3)-INDEX($B$5:$B$344,$A160-1)-1,"")))</f>
        <v/>
      </c>
      <c r="I160" s="11">
        <f>IF(OR($A160=1,$B160="",$A160+I$3&gt;340),"",IF(INDEX($B$5:$B$344,$A160+I$3)="","",IF(AND(YEAR($B160)=$B$2,YEAR(INDEX($B$5:$B$344,$A160+I$3-1))=$B$2),INDEX($B$5:$B$344,$A160+I$3)-INDEX($B$5:$B$344,$A160-1)-1,"")))</f>
        <v/>
      </c>
      <c r="J160" s="11">
        <f>IF(OR($A160=1,$B160="",$A160+J$3&gt;340),"",IF(INDEX($B$5:$B$344,$A160+J$3)="","",IF(AND(YEAR($B160)=$B$2,YEAR(INDEX($B$5:$B$344,$A160+J$3-1))=$B$2),INDEX($B$5:$B$344,$A160+J$3)-INDEX($B$5:$B$344,$A160-1)-1,"")))</f>
        <v/>
      </c>
      <c r="K160" s="11">
        <f>IF(OR($A160=1,$B160="",$A160+K$3&gt;340),"",IF(INDEX($B$5:$B$344,$A160+K$3)="","",IF(AND(YEAR($B160)=$B$2,YEAR(INDEX($B$5:$B$344,$A160+K$3-1))=$B$2),INDEX($B$5:$B$344,$A160+K$3)-INDEX($B$5:$B$344,$A160-1)-1,"")))</f>
        <v/>
      </c>
      <c r="L160" s="11">
        <f>IF(OR($A160=1,$B160="",$A160+L$3&gt;340),"",IF(INDEX($B$5:$B$344,$A160+L$3)="","",IF(AND(YEAR($B160)=$B$2,YEAR(INDEX($B$5:$B$344,$A160+L$3-1))=$B$2),INDEX($B$5:$B$344,$A160+L$3)-INDEX($B$5:$B$344,$A160-1)-1,"")))</f>
        <v/>
      </c>
      <c r="M160" s="11">
        <f>IF(OR($A160=1,$B160="",$A160+M$3&gt;340),"",IF(INDEX($B$5:$B$344,$A160+M$3)="","",IF(AND(YEAR($B160)=$B$2,YEAR(INDEX($B$5:$B$344,$A160+M$3-1))=$B$2),INDEX($B$5:$B$344,$A160+M$3)-INDEX($B$5:$B$344,$A160-1)-1,"")))</f>
        <v/>
      </c>
    </row>
    <row r="161">
      <c r="A161" s="11" t="n">
        <v>157</v>
      </c>
      <c r="B161" s="10">
        <f>IFERROR(INDEX('2_暦'!$A$7:$A$433,MATCH(A161,'2_暦'!$K$7:$K$433,0)),"")</f>
        <v/>
      </c>
      <c r="C161" s="11">
        <f>IF(OR($A161=1,$B161=""),"",IF(OR(YEAR($B161-1)=$B$2,YEAR(INDEX($B$5:$B$344,$A161-1)+1)=$B$2),$B161-INDEX($B$5:$B$344,$A161-1)-1,""))</f>
        <v/>
      </c>
      <c r="D161" s="11">
        <f>IF(OR($A161=1,$B161="",$A161+D$3&gt;340),"",IF(INDEX($B$5:$B$344,$A161+D$3)="","",IF(AND(YEAR($B161)=$B$2,YEAR(INDEX($B$5:$B$344,$A161+D$3-1))=$B$2),INDEX($B$5:$B$344,$A161+D$3)-INDEX($B$5:$B$344,$A161-1)-1,"")))</f>
        <v/>
      </c>
      <c r="E161" s="11">
        <f>IF(OR($A161=1,$B161="",$A161+E$3&gt;340),"",IF(INDEX($B$5:$B$344,$A161+E$3)="","",IF(AND(YEAR($B161)=$B$2,YEAR(INDEX($B$5:$B$344,$A161+E$3-1))=$B$2),INDEX($B$5:$B$344,$A161+E$3)-INDEX($B$5:$B$344,$A161-1)-1,"")))</f>
        <v/>
      </c>
      <c r="F161" s="11">
        <f>IF(OR($A161=1,$B161="",$A161+F$3&gt;340),"",IF(INDEX($B$5:$B$344,$A161+F$3)="","",IF(AND(YEAR($B161)=$B$2,YEAR(INDEX($B$5:$B$344,$A161+F$3-1))=$B$2),INDEX($B$5:$B$344,$A161+F$3)-INDEX($B$5:$B$344,$A161-1)-1,"")))</f>
        <v/>
      </c>
      <c r="G161" s="11">
        <f>IF(OR($A161=1,$B161="",$A161+G$3&gt;340),"",IF(INDEX($B$5:$B$344,$A161+G$3)="","",IF(AND(YEAR($B161)=$B$2,YEAR(INDEX($B$5:$B$344,$A161+G$3-1))=$B$2),INDEX($B$5:$B$344,$A161+G$3)-INDEX($B$5:$B$344,$A161-1)-1,"")))</f>
        <v/>
      </c>
      <c r="H161" s="11">
        <f>IF(OR($A161=1,$B161="",$A161+H$3&gt;340),"",IF(INDEX($B$5:$B$344,$A161+H$3)="","",IF(AND(YEAR($B161)=$B$2,YEAR(INDEX($B$5:$B$344,$A161+H$3-1))=$B$2),INDEX($B$5:$B$344,$A161+H$3)-INDEX($B$5:$B$344,$A161-1)-1,"")))</f>
        <v/>
      </c>
      <c r="I161" s="11">
        <f>IF(OR($A161=1,$B161="",$A161+I$3&gt;340),"",IF(INDEX($B$5:$B$344,$A161+I$3)="","",IF(AND(YEAR($B161)=$B$2,YEAR(INDEX($B$5:$B$344,$A161+I$3-1))=$B$2),INDEX($B$5:$B$344,$A161+I$3)-INDEX($B$5:$B$344,$A161-1)-1,"")))</f>
        <v/>
      </c>
      <c r="J161" s="11">
        <f>IF(OR($A161=1,$B161="",$A161+J$3&gt;340),"",IF(INDEX($B$5:$B$344,$A161+J$3)="","",IF(AND(YEAR($B161)=$B$2,YEAR(INDEX($B$5:$B$344,$A161+J$3-1))=$B$2),INDEX($B$5:$B$344,$A161+J$3)-INDEX($B$5:$B$344,$A161-1)-1,"")))</f>
        <v/>
      </c>
      <c r="K161" s="11">
        <f>IF(OR($A161=1,$B161="",$A161+K$3&gt;340),"",IF(INDEX($B$5:$B$344,$A161+K$3)="","",IF(AND(YEAR($B161)=$B$2,YEAR(INDEX($B$5:$B$344,$A161+K$3-1))=$B$2),INDEX($B$5:$B$344,$A161+K$3)-INDEX($B$5:$B$344,$A161-1)-1,"")))</f>
        <v/>
      </c>
      <c r="L161" s="11">
        <f>IF(OR($A161=1,$B161="",$A161+L$3&gt;340),"",IF(INDEX($B$5:$B$344,$A161+L$3)="","",IF(AND(YEAR($B161)=$B$2,YEAR(INDEX($B$5:$B$344,$A161+L$3-1))=$B$2),INDEX($B$5:$B$344,$A161+L$3)-INDEX($B$5:$B$344,$A161-1)-1,"")))</f>
        <v/>
      </c>
      <c r="M161" s="11">
        <f>IF(OR($A161=1,$B161="",$A161+M$3&gt;340),"",IF(INDEX($B$5:$B$344,$A161+M$3)="","",IF(AND(YEAR($B161)=$B$2,YEAR(INDEX($B$5:$B$344,$A161+M$3-1))=$B$2),INDEX($B$5:$B$344,$A161+M$3)-INDEX($B$5:$B$344,$A161-1)-1,"")))</f>
        <v/>
      </c>
    </row>
    <row r="162">
      <c r="A162" s="11" t="n">
        <v>158</v>
      </c>
      <c r="B162" s="10">
        <f>IFERROR(INDEX('2_暦'!$A$7:$A$433,MATCH(A162,'2_暦'!$K$7:$K$433,0)),"")</f>
        <v/>
      </c>
      <c r="C162" s="11">
        <f>IF(OR($A162=1,$B162=""),"",IF(OR(YEAR($B162-1)=$B$2,YEAR(INDEX($B$5:$B$344,$A162-1)+1)=$B$2),$B162-INDEX($B$5:$B$344,$A162-1)-1,""))</f>
        <v/>
      </c>
      <c r="D162" s="11">
        <f>IF(OR($A162=1,$B162="",$A162+D$3&gt;340),"",IF(INDEX($B$5:$B$344,$A162+D$3)="","",IF(AND(YEAR($B162)=$B$2,YEAR(INDEX($B$5:$B$344,$A162+D$3-1))=$B$2),INDEX($B$5:$B$344,$A162+D$3)-INDEX($B$5:$B$344,$A162-1)-1,"")))</f>
        <v/>
      </c>
      <c r="E162" s="11">
        <f>IF(OR($A162=1,$B162="",$A162+E$3&gt;340),"",IF(INDEX($B$5:$B$344,$A162+E$3)="","",IF(AND(YEAR($B162)=$B$2,YEAR(INDEX($B$5:$B$344,$A162+E$3-1))=$B$2),INDEX($B$5:$B$344,$A162+E$3)-INDEX($B$5:$B$344,$A162-1)-1,"")))</f>
        <v/>
      </c>
      <c r="F162" s="11">
        <f>IF(OR($A162=1,$B162="",$A162+F$3&gt;340),"",IF(INDEX($B$5:$B$344,$A162+F$3)="","",IF(AND(YEAR($B162)=$B$2,YEAR(INDEX($B$5:$B$344,$A162+F$3-1))=$B$2),INDEX($B$5:$B$344,$A162+F$3)-INDEX($B$5:$B$344,$A162-1)-1,"")))</f>
        <v/>
      </c>
      <c r="G162" s="11">
        <f>IF(OR($A162=1,$B162="",$A162+G$3&gt;340),"",IF(INDEX($B$5:$B$344,$A162+G$3)="","",IF(AND(YEAR($B162)=$B$2,YEAR(INDEX($B$5:$B$344,$A162+G$3-1))=$B$2),INDEX($B$5:$B$344,$A162+G$3)-INDEX($B$5:$B$344,$A162-1)-1,"")))</f>
        <v/>
      </c>
      <c r="H162" s="11">
        <f>IF(OR($A162=1,$B162="",$A162+H$3&gt;340),"",IF(INDEX($B$5:$B$344,$A162+H$3)="","",IF(AND(YEAR($B162)=$B$2,YEAR(INDEX($B$5:$B$344,$A162+H$3-1))=$B$2),INDEX($B$5:$B$344,$A162+H$3)-INDEX($B$5:$B$344,$A162-1)-1,"")))</f>
        <v/>
      </c>
      <c r="I162" s="11">
        <f>IF(OR($A162=1,$B162="",$A162+I$3&gt;340),"",IF(INDEX($B$5:$B$344,$A162+I$3)="","",IF(AND(YEAR($B162)=$B$2,YEAR(INDEX($B$5:$B$344,$A162+I$3-1))=$B$2),INDEX($B$5:$B$344,$A162+I$3)-INDEX($B$5:$B$344,$A162-1)-1,"")))</f>
        <v/>
      </c>
      <c r="J162" s="11">
        <f>IF(OR($A162=1,$B162="",$A162+J$3&gt;340),"",IF(INDEX($B$5:$B$344,$A162+J$3)="","",IF(AND(YEAR($B162)=$B$2,YEAR(INDEX($B$5:$B$344,$A162+J$3-1))=$B$2),INDEX($B$5:$B$344,$A162+J$3)-INDEX($B$5:$B$344,$A162-1)-1,"")))</f>
        <v/>
      </c>
      <c r="K162" s="11">
        <f>IF(OR($A162=1,$B162="",$A162+K$3&gt;340),"",IF(INDEX($B$5:$B$344,$A162+K$3)="","",IF(AND(YEAR($B162)=$B$2,YEAR(INDEX($B$5:$B$344,$A162+K$3-1))=$B$2),INDEX($B$5:$B$344,$A162+K$3)-INDEX($B$5:$B$344,$A162-1)-1,"")))</f>
        <v/>
      </c>
      <c r="L162" s="11">
        <f>IF(OR($A162=1,$B162="",$A162+L$3&gt;340),"",IF(INDEX($B$5:$B$344,$A162+L$3)="","",IF(AND(YEAR($B162)=$B$2,YEAR(INDEX($B$5:$B$344,$A162+L$3-1))=$B$2),INDEX($B$5:$B$344,$A162+L$3)-INDEX($B$5:$B$344,$A162-1)-1,"")))</f>
        <v/>
      </c>
      <c r="M162" s="11">
        <f>IF(OR($A162=1,$B162="",$A162+M$3&gt;340),"",IF(INDEX($B$5:$B$344,$A162+M$3)="","",IF(AND(YEAR($B162)=$B$2,YEAR(INDEX($B$5:$B$344,$A162+M$3-1))=$B$2),INDEX($B$5:$B$344,$A162+M$3)-INDEX($B$5:$B$344,$A162-1)-1,"")))</f>
        <v/>
      </c>
    </row>
    <row r="163">
      <c r="A163" s="11" t="n">
        <v>159</v>
      </c>
      <c r="B163" s="10">
        <f>IFERROR(INDEX('2_暦'!$A$7:$A$433,MATCH(A163,'2_暦'!$K$7:$K$433,0)),"")</f>
        <v/>
      </c>
      <c r="C163" s="11">
        <f>IF(OR($A163=1,$B163=""),"",IF(OR(YEAR($B163-1)=$B$2,YEAR(INDEX($B$5:$B$344,$A163-1)+1)=$B$2),$B163-INDEX($B$5:$B$344,$A163-1)-1,""))</f>
        <v/>
      </c>
      <c r="D163" s="11">
        <f>IF(OR($A163=1,$B163="",$A163+D$3&gt;340),"",IF(INDEX($B$5:$B$344,$A163+D$3)="","",IF(AND(YEAR($B163)=$B$2,YEAR(INDEX($B$5:$B$344,$A163+D$3-1))=$B$2),INDEX($B$5:$B$344,$A163+D$3)-INDEX($B$5:$B$344,$A163-1)-1,"")))</f>
        <v/>
      </c>
      <c r="E163" s="11">
        <f>IF(OR($A163=1,$B163="",$A163+E$3&gt;340),"",IF(INDEX($B$5:$B$344,$A163+E$3)="","",IF(AND(YEAR($B163)=$B$2,YEAR(INDEX($B$5:$B$344,$A163+E$3-1))=$B$2),INDEX($B$5:$B$344,$A163+E$3)-INDEX($B$5:$B$344,$A163-1)-1,"")))</f>
        <v/>
      </c>
      <c r="F163" s="11">
        <f>IF(OR($A163=1,$B163="",$A163+F$3&gt;340),"",IF(INDEX($B$5:$B$344,$A163+F$3)="","",IF(AND(YEAR($B163)=$B$2,YEAR(INDEX($B$5:$B$344,$A163+F$3-1))=$B$2),INDEX($B$5:$B$344,$A163+F$3)-INDEX($B$5:$B$344,$A163-1)-1,"")))</f>
        <v/>
      </c>
      <c r="G163" s="11">
        <f>IF(OR($A163=1,$B163="",$A163+G$3&gt;340),"",IF(INDEX($B$5:$B$344,$A163+G$3)="","",IF(AND(YEAR($B163)=$B$2,YEAR(INDEX($B$5:$B$344,$A163+G$3-1))=$B$2),INDEX($B$5:$B$344,$A163+G$3)-INDEX($B$5:$B$344,$A163-1)-1,"")))</f>
        <v/>
      </c>
      <c r="H163" s="11">
        <f>IF(OR($A163=1,$B163="",$A163+H$3&gt;340),"",IF(INDEX($B$5:$B$344,$A163+H$3)="","",IF(AND(YEAR($B163)=$B$2,YEAR(INDEX($B$5:$B$344,$A163+H$3-1))=$B$2),INDEX($B$5:$B$344,$A163+H$3)-INDEX($B$5:$B$344,$A163-1)-1,"")))</f>
        <v/>
      </c>
      <c r="I163" s="11">
        <f>IF(OR($A163=1,$B163="",$A163+I$3&gt;340),"",IF(INDEX($B$5:$B$344,$A163+I$3)="","",IF(AND(YEAR($B163)=$B$2,YEAR(INDEX($B$5:$B$344,$A163+I$3-1))=$B$2),INDEX($B$5:$B$344,$A163+I$3)-INDEX($B$5:$B$344,$A163-1)-1,"")))</f>
        <v/>
      </c>
      <c r="J163" s="11">
        <f>IF(OR($A163=1,$B163="",$A163+J$3&gt;340),"",IF(INDEX($B$5:$B$344,$A163+J$3)="","",IF(AND(YEAR($B163)=$B$2,YEAR(INDEX($B$5:$B$344,$A163+J$3-1))=$B$2),INDEX($B$5:$B$344,$A163+J$3)-INDEX($B$5:$B$344,$A163-1)-1,"")))</f>
        <v/>
      </c>
      <c r="K163" s="11">
        <f>IF(OR($A163=1,$B163="",$A163+K$3&gt;340),"",IF(INDEX($B$5:$B$344,$A163+K$3)="","",IF(AND(YEAR($B163)=$B$2,YEAR(INDEX($B$5:$B$344,$A163+K$3-1))=$B$2),INDEX($B$5:$B$344,$A163+K$3)-INDEX($B$5:$B$344,$A163-1)-1,"")))</f>
        <v/>
      </c>
      <c r="L163" s="11">
        <f>IF(OR($A163=1,$B163="",$A163+L$3&gt;340),"",IF(INDEX($B$5:$B$344,$A163+L$3)="","",IF(AND(YEAR($B163)=$B$2,YEAR(INDEX($B$5:$B$344,$A163+L$3-1))=$B$2),INDEX($B$5:$B$344,$A163+L$3)-INDEX($B$5:$B$344,$A163-1)-1,"")))</f>
        <v/>
      </c>
      <c r="M163" s="11">
        <f>IF(OR($A163=1,$B163="",$A163+M$3&gt;340),"",IF(INDEX($B$5:$B$344,$A163+M$3)="","",IF(AND(YEAR($B163)=$B$2,YEAR(INDEX($B$5:$B$344,$A163+M$3-1))=$B$2),INDEX($B$5:$B$344,$A163+M$3)-INDEX($B$5:$B$344,$A163-1)-1,"")))</f>
        <v/>
      </c>
    </row>
    <row r="164">
      <c r="A164" s="11" t="n">
        <v>160</v>
      </c>
      <c r="B164" s="10">
        <f>IFERROR(INDEX('2_暦'!$A$7:$A$433,MATCH(A164,'2_暦'!$K$7:$K$433,0)),"")</f>
        <v/>
      </c>
      <c r="C164" s="11">
        <f>IF(OR($A164=1,$B164=""),"",IF(OR(YEAR($B164-1)=$B$2,YEAR(INDEX($B$5:$B$344,$A164-1)+1)=$B$2),$B164-INDEX($B$5:$B$344,$A164-1)-1,""))</f>
        <v/>
      </c>
      <c r="D164" s="11">
        <f>IF(OR($A164=1,$B164="",$A164+D$3&gt;340),"",IF(INDEX($B$5:$B$344,$A164+D$3)="","",IF(AND(YEAR($B164)=$B$2,YEAR(INDEX($B$5:$B$344,$A164+D$3-1))=$B$2),INDEX($B$5:$B$344,$A164+D$3)-INDEX($B$5:$B$344,$A164-1)-1,"")))</f>
        <v/>
      </c>
      <c r="E164" s="11">
        <f>IF(OR($A164=1,$B164="",$A164+E$3&gt;340),"",IF(INDEX($B$5:$B$344,$A164+E$3)="","",IF(AND(YEAR($B164)=$B$2,YEAR(INDEX($B$5:$B$344,$A164+E$3-1))=$B$2),INDEX($B$5:$B$344,$A164+E$3)-INDEX($B$5:$B$344,$A164-1)-1,"")))</f>
        <v/>
      </c>
      <c r="F164" s="11">
        <f>IF(OR($A164=1,$B164="",$A164+F$3&gt;340),"",IF(INDEX($B$5:$B$344,$A164+F$3)="","",IF(AND(YEAR($B164)=$B$2,YEAR(INDEX($B$5:$B$344,$A164+F$3-1))=$B$2),INDEX($B$5:$B$344,$A164+F$3)-INDEX($B$5:$B$344,$A164-1)-1,"")))</f>
        <v/>
      </c>
      <c r="G164" s="11">
        <f>IF(OR($A164=1,$B164="",$A164+G$3&gt;340),"",IF(INDEX($B$5:$B$344,$A164+G$3)="","",IF(AND(YEAR($B164)=$B$2,YEAR(INDEX($B$5:$B$344,$A164+G$3-1))=$B$2),INDEX($B$5:$B$344,$A164+G$3)-INDEX($B$5:$B$344,$A164-1)-1,"")))</f>
        <v/>
      </c>
      <c r="H164" s="11">
        <f>IF(OR($A164=1,$B164="",$A164+H$3&gt;340),"",IF(INDEX($B$5:$B$344,$A164+H$3)="","",IF(AND(YEAR($B164)=$B$2,YEAR(INDEX($B$5:$B$344,$A164+H$3-1))=$B$2),INDEX($B$5:$B$344,$A164+H$3)-INDEX($B$5:$B$344,$A164-1)-1,"")))</f>
        <v/>
      </c>
      <c r="I164" s="11">
        <f>IF(OR($A164=1,$B164="",$A164+I$3&gt;340),"",IF(INDEX($B$5:$B$344,$A164+I$3)="","",IF(AND(YEAR($B164)=$B$2,YEAR(INDEX($B$5:$B$344,$A164+I$3-1))=$B$2),INDEX($B$5:$B$344,$A164+I$3)-INDEX($B$5:$B$344,$A164-1)-1,"")))</f>
        <v/>
      </c>
      <c r="J164" s="11">
        <f>IF(OR($A164=1,$B164="",$A164+J$3&gt;340),"",IF(INDEX($B$5:$B$344,$A164+J$3)="","",IF(AND(YEAR($B164)=$B$2,YEAR(INDEX($B$5:$B$344,$A164+J$3-1))=$B$2),INDEX($B$5:$B$344,$A164+J$3)-INDEX($B$5:$B$344,$A164-1)-1,"")))</f>
        <v/>
      </c>
      <c r="K164" s="11">
        <f>IF(OR($A164=1,$B164="",$A164+K$3&gt;340),"",IF(INDEX($B$5:$B$344,$A164+K$3)="","",IF(AND(YEAR($B164)=$B$2,YEAR(INDEX($B$5:$B$344,$A164+K$3-1))=$B$2),INDEX($B$5:$B$344,$A164+K$3)-INDEX($B$5:$B$344,$A164-1)-1,"")))</f>
        <v/>
      </c>
      <c r="L164" s="11">
        <f>IF(OR($A164=1,$B164="",$A164+L$3&gt;340),"",IF(INDEX($B$5:$B$344,$A164+L$3)="","",IF(AND(YEAR($B164)=$B$2,YEAR(INDEX($B$5:$B$344,$A164+L$3-1))=$B$2),INDEX($B$5:$B$344,$A164+L$3)-INDEX($B$5:$B$344,$A164-1)-1,"")))</f>
        <v/>
      </c>
      <c r="M164" s="11">
        <f>IF(OR($A164=1,$B164="",$A164+M$3&gt;340),"",IF(INDEX($B$5:$B$344,$A164+M$3)="","",IF(AND(YEAR($B164)=$B$2,YEAR(INDEX($B$5:$B$344,$A164+M$3-1))=$B$2),INDEX($B$5:$B$344,$A164+M$3)-INDEX($B$5:$B$344,$A164-1)-1,"")))</f>
        <v/>
      </c>
    </row>
    <row r="165">
      <c r="A165" s="11" t="n">
        <v>161</v>
      </c>
      <c r="B165" s="10">
        <f>IFERROR(INDEX('2_暦'!$A$7:$A$433,MATCH(A165,'2_暦'!$K$7:$K$433,0)),"")</f>
        <v/>
      </c>
      <c r="C165" s="11">
        <f>IF(OR($A165=1,$B165=""),"",IF(OR(YEAR($B165-1)=$B$2,YEAR(INDEX($B$5:$B$344,$A165-1)+1)=$B$2),$B165-INDEX($B$5:$B$344,$A165-1)-1,""))</f>
        <v/>
      </c>
      <c r="D165" s="11">
        <f>IF(OR($A165=1,$B165="",$A165+D$3&gt;340),"",IF(INDEX($B$5:$B$344,$A165+D$3)="","",IF(AND(YEAR($B165)=$B$2,YEAR(INDEX($B$5:$B$344,$A165+D$3-1))=$B$2),INDEX($B$5:$B$344,$A165+D$3)-INDEX($B$5:$B$344,$A165-1)-1,"")))</f>
        <v/>
      </c>
      <c r="E165" s="11">
        <f>IF(OR($A165=1,$B165="",$A165+E$3&gt;340),"",IF(INDEX($B$5:$B$344,$A165+E$3)="","",IF(AND(YEAR($B165)=$B$2,YEAR(INDEX($B$5:$B$344,$A165+E$3-1))=$B$2),INDEX($B$5:$B$344,$A165+E$3)-INDEX($B$5:$B$344,$A165-1)-1,"")))</f>
        <v/>
      </c>
      <c r="F165" s="11">
        <f>IF(OR($A165=1,$B165="",$A165+F$3&gt;340),"",IF(INDEX($B$5:$B$344,$A165+F$3)="","",IF(AND(YEAR($B165)=$B$2,YEAR(INDEX($B$5:$B$344,$A165+F$3-1))=$B$2),INDEX($B$5:$B$344,$A165+F$3)-INDEX($B$5:$B$344,$A165-1)-1,"")))</f>
        <v/>
      </c>
      <c r="G165" s="11">
        <f>IF(OR($A165=1,$B165="",$A165+G$3&gt;340),"",IF(INDEX($B$5:$B$344,$A165+G$3)="","",IF(AND(YEAR($B165)=$B$2,YEAR(INDEX($B$5:$B$344,$A165+G$3-1))=$B$2),INDEX($B$5:$B$344,$A165+G$3)-INDEX($B$5:$B$344,$A165-1)-1,"")))</f>
        <v/>
      </c>
      <c r="H165" s="11">
        <f>IF(OR($A165=1,$B165="",$A165+H$3&gt;340),"",IF(INDEX($B$5:$B$344,$A165+H$3)="","",IF(AND(YEAR($B165)=$B$2,YEAR(INDEX($B$5:$B$344,$A165+H$3-1))=$B$2),INDEX($B$5:$B$344,$A165+H$3)-INDEX($B$5:$B$344,$A165-1)-1,"")))</f>
        <v/>
      </c>
      <c r="I165" s="11">
        <f>IF(OR($A165=1,$B165="",$A165+I$3&gt;340),"",IF(INDEX($B$5:$B$344,$A165+I$3)="","",IF(AND(YEAR($B165)=$B$2,YEAR(INDEX($B$5:$B$344,$A165+I$3-1))=$B$2),INDEX($B$5:$B$344,$A165+I$3)-INDEX($B$5:$B$344,$A165-1)-1,"")))</f>
        <v/>
      </c>
      <c r="J165" s="11">
        <f>IF(OR($A165=1,$B165="",$A165+J$3&gt;340),"",IF(INDEX($B$5:$B$344,$A165+J$3)="","",IF(AND(YEAR($B165)=$B$2,YEAR(INDEX($B$5:$B$344,$A165+J$3-1))=$B$2),INDEX($B$5:$B$344,$A165+J$3)-INDEX($B$5:$B$344,$A165-1)-1,"")))</f>
        <v/>
      </c>
      <c r="K165" s="11">
        <f>IF(OR($A165=1,$B165="",$A165+K$3&gt;340),"",IF(INDEX($B$5:$B$344,$A165+K$3)="","",IF(AND(YEAR($B165)=$B$2,YEAR(INDEX($B$5:$B$344,$A165+K$3-1))=$B$2),INDEX($B$5:$B$344,$A165+K$3)-INDEX($B$5:$B$344,$A165-1)-1,"")))</f>
        <v/>
      </c>
      <c r="L165" s="11">
        <f>IF(OR($A165=1,$B165="",$A165+L$3&gt;340),"",IF(INDEX($B$5:$B$344,$A165+L$3)="","",IF(AND(YEAR($B165)=$B$2,YEAR(INDEX($B$5:$B$344,$A165+L$3-1))=$B$2),INDEX($B$5:$B$344,$A165+L$3)-INDEX($B$5:$B$344,$A165-1)-1,"")))</f>
        <v/>
      </c>
      <c r="M165" s="11">
        <f>IF(OR($A165=1,$B165="",$A165+M$3&gt;340),"",IF(INDEX($B$5:$B$344,$A165+M$3)="","",IF(AND(YEAR($B165)=$B$2,YEAR(INDEX($B$5:$B$344,$A165+M$3-1))=$B$2),INDEX($B$5:$B$344,$A165+M$3)-INDEX($B$5:$B$344,$A165-1)-1,"")))</f>
        <v/>
      </c>
    </row>
    <row r="166">
      <c r="A166" s="11" t="n">
        <v>162</v>
      </c>
      <c r="B166" s="10">
        <f>IFERROR(INDEX('2_暦'!$A$7:$A$433,MATCH(A166,'2_暦'!$K$7:$K$433,0)),"")</f>
        <v/>
      </c>
      <c r="C166" s="11">
        <f>IF(OR($A166=1,$B166=""),"",IF(OR(YEAR($B166-1)=$B$2,YEAR(INDEX($B$5:$B$344,$A166-1)+1)=$B$2),$B166-INDEX($B$5:$B$344,$A166-1)-1,""))</f>
        <v/>
      </c>
      <c r="D166" s="11">
        <f>IF(OR($A166=1,$B166="",$A166+D$3&gt;340),"",IF(INDEX($B$5:$B$344,$A166+D$3)="","",IF(AND(YEAR($B166)=$B$2,YEAR(INDEX($B$5:$B$344,$A166+D$3-1))=$B$2),INDEX($B$5:$B$344,$A166+D$3)-INDEX($B$5:$B$344,$A166-1)-1,"")))</f>
        <v/>
      </c>
      <c r="E166" s="11">
        <f>IF(OR($A166=1,$B166="",$A166+E$3&gt;340),"",IF(INDEX($B$5:$B$344,$A166+E$3)="","",IF(AND(YEAR($B166)=$B$2,YEAR(INDEX($B$5:$B$344,$A166+E$3-1))=$B$2),INDEX($B$5:$B$344,$A166+E$3)-INDEX($B$5:$B$344,$A166-1)-1,"")))</f>
        <v/>
      </c>
      <c r="F166" s="11">
        <f>IF(OR($A166=1,$B166="",$A166+F$3&gt;340),"",IF(INDEX($B$5:$B$344,$A166+F$3)="","",IF(AND(YEAR($B166)=$B$2,YEAR(INDEX($B$5:$B$344,$A166+F$3-1))=$B$2),INDEX($B$5:$B$344,$A166+F$3)-INDEX($B$5:$B$344,$A166-1)-1,"")))</f>
        <v/>
      </c>
      <c r="G166" s="11">
        <f>IF(OR($A166=1,$B166="",$A166+G$3&gt;340),"",IF(INDEX($B$5:$B$344,$A166+G$3)="","",IF(AND(YEAR($B166)=$B$2,YEAR(INDEX($B$5:$B$344,$A166+G$3-1))=$B$2),INDEX($B$5:$B$344,$A166+G$3)-INDEX($B$5:$B$344,$A166-1)-1,"")))</f>
        <v/>
      </c>
      <c r="H166" s="11">
        <f>IF(OR($A166=1,$B166="",$A166+H$3&gt;340),"",IF(INDEX($B$5:$B$344,$A166+H$3)="","",IF(AND(YEAR($B166)=$B$2,YEAR(INDEX($B$5:$B$344,$A166+H$3-1))=$B$2),INDEX($B$5:$B$344,$A166+H$3)-INDEX($B$5:$B$344,$A166-1)-1,"")))</f>
        <v/>
      </c>
      <c r="I166" s="11">
        <f>IF(OR($A166=1,$B166="",$A166+I$3&gt;340),"",IF(INDEX($B$5:$B$344,$A166+I$3)="","",IF(AND(YEAR($B166)=$B$2,YEAR(INDEX($B$5:$B$344,$A166+I$3-1))=$B$2),INDEX($B$5:$B$344,$A166+I$3)-INDEX($B$5:$B$344,$A166-1)-1,"")))</f>
        <v/>
      </c>
      <c r="J166" s="11">
        <f>IF(OR($A166=1,$B166="",$A166+J$3&gt;340),"",IF(INDEX($B$5:$B$344,$A166+J$3)="","",IF(AND(YEAR($B166)=$B$2,YEAR(INDEX($B$5:$B$344,$A166+J$3-1))=$B$2),INDEX($B$5:$B$344,$A166+J$3)-INDEX($B$5:$B$344,$A166-1)-1,"")))</f>
        <v/>
      </c>
      <c r="K166" s="11">
        <f>IF(OR($A166=1,$B166="",$A166+K$3&gt;340),"",IF(INDEX($B$5:$B$344,$A166+K$3)="","",IF(AND(YEAR($B166)=$B$2,YEAR(INDEX($B$5:$B$344,$A166+K$3-1))=$B$2),INDEX($B$5:$B$344,$A166+K$3)-INDEX($B$5:$B$344,$A166-1)-1,"")))</f>
        <v/>
      </c>
      <c r="L166" s="11">
        <f>IF(OR($A166=1,$B166="",$A166+L$3&gt;340),"",IF(INDEX($B$5:$B$344,$A166+L$3)="","",IF(AND(YEAR($B166)=$B$2,YEAR(INDEX($B$5:$B$344,$A166+L$3-1))=$B$2),INDEX($B$5:$B$344,$A166+L$3)-INDEX($B$5:$B$344,$A166-1)-1,"")))</f>
        <v/>
      </c>
      <c r="M166" s="11">
        <f>IF(OR($A166=1,$B166="",$A166+M$3&gt;340),"",IF(INDEX($B$5:$B$344,$A166+M$3)="","",IF(AND(YEAR($B166)=$B$2,YEAR(INDEX($B$5:$B$344,$A166+M$3-1))=$B$2),INDEX($B$5:$B$344,$A166+M$3)-INDEX($B$5:$B$344,$A166-1)-1,"")))</f>
        <v/>
      </c>
    </row>
    <row r="167">
      <c r="A167" s="11" t="n">
        <v>163</v>
      </c>
      <c r="B167" s="10">
        <f>IFERROR(INDEX('2_暦'!$A$7:$A$433,MATCH(A167,'2_暦'!$K$7:$K$433,0)),"")</f>
        <v/>
      </c>
      <c r="C167" s="11">
        <f>IF(OR($A167=1,$B167=""),"",IF(OR(YEAR($B167-1)=$B$2,YEAR(INDEX($B$5:$B$344,$A167-1)+1)=$B$2),$B167-INDEX($B$5:$B$344,$A167-1)-1,""))</f>
        <v/>
      </c>
      <c r="D167" s="11">
        <f>IF(OR($A167=1,$B167="",$A167+D$3&gt;340),"",IF(INDEX($B$5:$B$344,$A167+D$3)="","",IF(AND(YEAR($B167)=$B$2,YEAR(INDEX($B$5:$B$344,$A167+D$3-1))=$B$2),INDEX($B$5:$B$344,$A167+D$3)-INDEX($B$5:$B$344,$A167-1)-1,"")))</f>
        <v/>
      </c>
      <c r="E167" s="11">
        <f>IF(OR($A167=1,$B167="",$A167+E$3&gt;340),"",IF(INDEX($B$5:$B$344,$A167+E$3)="","",IF(AND(YEAR($B167)=$B$2,YEAR(INDEX($B$5:$B$344,$A167+E$3-1))=$B$2),INDEX($B$5:$B$344,$A167+E$3)-INDEX($B$5:$B$344,$A167-1)-1,"")))</f>
        <v/>
      </c>
      <c r="F167" s="11">
        <f>IF(OR($A167=1,$B167="",$A167+F$3&gt;340),"",IF(INDEX($B$5:$B$344,$A167+F$3)="","",IF(AND(YEAR($B167)=$B$2,YEAR(INDEX($B$5:$B$344,$A167+F$3-1))=$B$2),INDEX($B$5:$B$344,$A167+F$3)-INDEX($B$5:$B$344,$A167-1)-1,"")))</f>
        <v/>
      </c>
      <c r="G167" s="11">
        <f>IF(OR($A167=1,$B167="",$A167+G$3&gt;340),"",IF(INDEX($B$5:$B$344,$A167+G$3)="","",IF(AND(YEAR($B167)=$B$2,YEAR(INDEX($B$5:$B$344,$A167+G$3-1))=$B$2),INDEX($B$5:$B$344,$A167+G$3)-INDEX($B$5:$B$344,$A167-1)-1,"")))</f>
        <v/>
      </c>
      <c r="H167" s="11">
        <f>IF(OR($A167=1,$B167="",$A167+H$3&gt;340),"",IF(INDEX($B$5:$B$344,$A167+H$3)="","",IF(AND(YEAR($B167)=$B$2,YEAR(INDEX($B$5:$B$344,$A167+H$3-1))=$B$2),INDEX($B$5:$B$344,$A167+H$3)-INDEX($B$5:$B$344,$A167-1)-1,"")))</f>
        <v/>
      </c>
      <c r="I167" s="11">
        <f>IF(OR($A167=1,$B167="",$A167+I$3&gt;340),"",IF(INDEX($B$5:$B$344,$A167+I$3)="","",IF(AND(YEAR($B167)=$B$2,YEAR(INDEX($B$5:$B$344,$A167+I$3-1))=$B$2),INDEX($B$5:$B$344,$A167+I$3)-INDEX($B$5:$B$344,$A167-1)-1,"")))</f>
        <v/>
      </c>
      <c r="J167" s="11">
        <f>IF(OR($A167=1,$B167="",$A167+J$3&gt;340),"",IF(INDEX($B$5:$B$344,$A167+J$3)="","",IF(AND(YEAR($B167)=$B$2,YEAR(INDEX($B$5:$B$344,$A167+J$3-1))=$B$2),INDEX($B$5:$B$344,$A167+J$3)-INDEX($B$5:$B$344,$A167-1)-1,"")))</f>
        <v/>
      </c>
      <c r="K167" s="11">
        <f>IF(OR($A167=1,$B167="",$A167+K$3&gt;340),"",IF(INDEX($B$5:$B$344,$A167+K$3)="","",IF(AND(YEAR($B167)=$B$2,YEAR(INDEX($B$5:$B$344,$A167+K$3-1))=$B$2),INDEX($B$5:$B$344,$A167+K$3)-INDEX($B$5:$B$344,$A167-1)-1,"")))</f>
        <v/>
      </c>
      <c r="L167" s="11">
        <f>IF(OR($A167=1,$B167="",$A167+L$3&gt;340),"",IF(INDEX($B$5:$B$344,$A167+L$3)="","",IF(AND(YEAR($B167)=$B$2,YEAR(INDEX($B$5:$B$344,$A167+L$3-1))=$B$2),INDEX($B$5:$B$344,$A167+L$3)-INDEX($B$5:$B$344,$A167-1)-1,"")))</f>
        <v/>
      </c>
      <c r="M167" s="11">
        <f>IF(OR($A167=1,$B167="",$A167+M$3&gt;340),"",IF(INDEX($B$5:$B$344,$A167+M$3)="","",IF(AND(YEAR($B167)=$B$2,YEAR(INDEX($B$5:$B$344,$A167+M$3-1))=$B$2),INDEX($B$5:$B$344,$A167+M$3)-INDEX($B$5:$B$344,$A167-1)-1,"")))</f>
        <v/>
      </c>
    </row>
    <row r="168">
      <c r="A168" s="11" t="n">
        <v>164</v>
      </c>
      <c r="B168" s="10">
        <f>IFERROR(INDEX('2_暦'!$A$7:$A$433,MATCH(A168,'2_暦'!$K$7:$K$433,0)),"")</f>
        <v/>
      </c>
      <c r="C168" s="11">
        <f>IF(OR($A168=1,$B168=""),"",IF(OR(YEAR($B168-1)=$B$2,YEAR(INDEX($B$5:$B$344,$A168-1)+1)=$B$2),$B168-INDEX($B$5:$B$344,$A168-1)-1,""))</f>
        <v/>
      </c>
      <c r="D168" s="11">
        <f>IF(OR($A168=1,$B168="",$A168+D$3&gt;340),"",IF(INDEX($B$5:$B$344,$A168+D$3)="","",IF(AND(YEAR($B168)=$B$2,YEAR(INDEX($B$5:$B$344,$A168+D$3-1))=$B$2),INDEX($B$5:$B$344,$A168+D$3)-INDEX($B$5:$B$344,$A168-1)-1,"")))</f>
        <v/>
      </c>
      <c r="E168" s="11">
        <f>IF(OR($A168=1,$B168="",$A168+E$3&gt;340),"",IF(INDEX($B$5:$B$344,$A168+E$3)="","",IF(AND(YEAR($B168)=$B$2,YEAR(INDEX($B$5:$B$344,$A168+E$3-1))=$B$2),INDEX($B$5:$B$344,$A168+E$3)-INDEX($B$5:$B$344,$A168-1)-1,"")))</f>
        <v/>
      </c>
      <c r="F168" s="11">
        <f>IF(OR($A168=1,$B168="",$A168+F$3&gt;340),"",IF(INDEX($B$5:$B$344,$A168+F$3)="","",IF(AND(YEAR($B168)=$B$2,YEAR(INDEX($B$5:$B$344,$A168+F$3-1))=$B$2),INDEX($B$5:$B$344,$A168+F$3)-INDEX($B$5:$B$344,$A168-1)-1,"")))</f>
        <v/>
      </c>
      <c r="G168" s="11">
        <f>IF(OR($A168=1,$B168="",$A168+G$3&gt;340),"",IF(INDEX($B$5:$B$344,$A168+G$3)="","",IF(AND(YEAR($B168)=$B$2,YEAR(INDEX($B$5:$B$344,$A168+G$3-1))=$B$2),INDEX($B$5:$B$344,$A168+G$3)-INDEX($B$5:$B$344,$A168-1)-1,"")))</f>
        <v/>
      </c>
      <c r="H168" s="11">
        <f>IF(OR($A168=1,$B168="",$A168+H$3&gt;340),"",IF(INDEX($B$5:$B$344,$A168+H$3)="","",IF(AND(YEAR($B168)=$B$2,YEAR(INDEX($B$5:$B$344,$A168+H$3-1))=$B$2),INDEX($B$5:$B$344,$A168+H$3)-INDEX($B$5:$B$344,$A168-1)-1,"")))</f>
        <v/>
      </c>
      <c r="I168" s="11">
        <f>IF(OR($A168=1,$B168="",$A168+I$3&gt;340),"",IF(INDEX($B$5:$B$344,$A168+I$3)="","",IF(AND(YEAR($B168)=$B$2,YEAR(INDEX($B$5:$B$344,$A168+I$3-1))=$B$2),INDEX($B$5:$B$344,$A168+I$3)-INDEX($B$5:$B$344,$A168-1)-1,"")))</f>
        <v/>
      </c>
      <c r="J168" s="11">
        <f>IF(OR($A168=1,$B168="",$A168+J$3&gt;340),"",IF(INDEX($B$5:$B$344,$A168+J$3)="","",IF(AND(YEAR($B168)=$B$2,YEAR(INDEX($B$5:$B$344,$A168+J$3-1))=$B$2),INDEX($B$5:$B$344,$A168+J$3)-INDEX($B$5:$B$344,$A168-1)-1,"")))</f>
        <v/>
      </c>
      <c r="K168" s="11">
        <f>IF(OR($A168=1,$B168="",$A168+K$3&gt;340),"",IF(INDEX($B$5:$B$344,$A168+K$3)="","",IF(AND(YEAR($B168)=$B$2,YEAR(INDEX($B$5:$B$344,$A168+K$3-1))=$B$2),INDEX($B$5:$B$344,$A168+K$3)-INDEX($B$5:$B$344,$A168-1)-1,"")))</f>
        <v/>
      </c>
      <c r="L168" s="11">
        <f>IF(OR($A168=1,$B168="",$A168+L$3&gt;340),"",IF(INDEX($B$5:$B$344,$A168+L$3)="","",IF(AND(YEAR($B168)=$B$2,YEAR(INDEX($B$5:$B$344,$A168+L$3-1))=$B$2),INDEX($B$5:$B$344,$A168+L$3)-INDEX($B$5:$B$344,$A168-1)-1,"")))</f>
        <v/>
      </c>
      <c r="M168" s="11">
        <f>IF(OR($A168=1,$B168="",$A168+M$3&gt;340),"",IF(INDEX($B$5:$B$344,$A168+M$3)="","",IF(AND(YEAR($B168)=$B$2,YEAR(INDEX($B$5:$B$344,$A168+M$3-1))=$B$2),INDEX($B$5:$B$344,$A168+M$3)-INDEX($B$5:$B$344,$A168-1)-1,"")))</f>
        <v/>
      </c>
    </row>
    <row r="169">
      <c r="A169" s="11" t="n">
        <v>165</v>
      </c>
      <c r="B169" s="10">
        <f>IFERROR(INDEX('2_暦'!$A$7:$A$433,MATCH(A169,'2_暦'!$K$7:$K$433,0)),"")</f>
        <v/>
      </c>
      <c r="C169" s="11">
        <f>IF(OR($A169=1,$B169=""),"",IF(OR(YEAR($B169-1)=$B$2,YEAR(INDEX($B$5:$B$344,$A169-1)+1)=$B$2),$B169-INDEX($B$5:$B$344,$A169-1)-1,""))</f>
        <v/>
      </c>
      <c r="D169" s="11">
        <f>IF(OR($A169=1,$B169="",$A169+D$3&gt;340),"",IF(INDEX($B$5:$B$344,$A169+D$3)="","",IF(AND(YEAR($B169)=$B$2,YEAR(INDEX($B$5:$B$344,$A169+D$3-1))=$B$2),INDEX($B$5:$B$344,$A169+D$3)-INDEX($B$5:$B$344,$A169-1)-1,"")))</f>
        <v/>
      </c>
      <c r="E169" s="11">
        <f>IF(OR($A169=1,$B169="",$A169+E$3&gt;340),"",IF(INDEX($B$5:$B$344,$A169+E$3)="","",IF(AND(YEAR($B169)=$B$2,YEAR(INDEX($B$5:$B$344,$A169+E$3-1))=$B$2),INDEX($B$5:$B$344,$A169+E$3)-INDEX($B$5:$B$344,$A169-1)-1,"")))</f>
        <v/>
      </c>
      <c r="F169" s="11">
        <f>IF(OR($A169=1,$B169="",$A169+F$3&gt;340),"",IF(INDEX($B$5:$B$344,$A169+F$3)="","",IF(AND(YEAR($B169)=$B$2,YEAR(INDEX($B$5:$B$344,$A169+F$3-1))=$B$2),INDEX($B$5:$B$344,$A169+F$3)-INDEX($B$5:$B$344,$A169-1)-1,"")))</f>
        <v/>
      </c>
      <c r="G169" s="11">
        <f>IF(OR($A169=1,$B169="",$A169+G$3&gt;340),"",IF(INDEX($B$5:$B$344,$A169+G$3)="","",IF(AND(YEAR($B169)=$B$2,YEAR(INDEX($B$5:$B$344,$A169+G$3-1))=$B$2),INDEX($B$5:$B$344,$A169+G$3)-INDEX($B$5:$B$344,$A169-1)-1,"")))</f>
        <v/>
      </c>
      <c r="H169" s="11">
        <f>IF(OR($A169=1,$B169="",$A169+H$3&gt;340),"",IF(INDEX($B$5:$B$344,$A169+H$3)="","",IF(AND(YEAR($B169)=$B$2,YEAR(INDEX($B$5:$B$344,$A169+H$3-1))=$B$2),INDEX($B$5:$B$344,$A169+H$3)-INDEX($B$5:$B$344,$A169-1)-1,"")))</f>
        <v/>
      </c>
      <c r="I169" s="11">
        <f>IF(OR($A169=1,$B169="",$A169+I$3&gt;340),"",IF(INDEX($B$5:$B$344,$A169+I$3)="","",IF(AND(YEAR($B169)=$B$2,YEAR(INDEX($B$5:$B$344,$A169+I$3-1))=$B$2),INDEX($B$5:$B$344,$A169+I$3)-INDEX($B$5:$B$344,$A169-1)-1,"")))</f>
        <v/>
      </c>
      <c r="J169" s="11">
        <f>IF(OR($A169=1,$B169="",$A169+J$3&gt;340),"",IF(INDEX($B$5:$B$344,$A169+J$3)="","",IF(AND(YEAR($B169)=$B$2,YEAR(INDEX($B$5:$B$344,$A169+J$3-1))=$B$2),INDEX($B$5:$B$344,$A169+J$3)-INDEX($B$5:$B$344,$A169-1)-1,"")))</f>
        <v/>
      </c>
      <c r="K169" s="11">
        <f>IF(OR($A169=1,$B169="",$A169+K$3&gt;340),"",IF(INDEX($B$5:$B$344,$A169+K$3)="","",IF(AND(YEAR($B169)=$B$2,YEAR(INDEX($B$5:$B$344,$A169+K$3-1))=$B$2),INDEX($B$5:$B$344,$A169+K$3)-INDEX($B$5:$B$344,$A169-1)-1,"")))</f>
        <v/>
      </c>
      <c r="L169" s="11">
        <f>IF(OR($A169=1,$B169="",$A169+L$3&gt;340),"",IF(INDEX($B$5:$B$344,$A169+L$3)="","",IF(AND(YEAR($B169)=$B$2,YEAR(INDEX($B$5:$B$344,$A169+L$3-1))=$B$2),INDEX($B$5:$B$344,$A169+L$3)-INDEX($B$5:$B$344,$A169-1)-1,"")))</f>
        <v/>
      </c>
      <c r="M169" s="11">
        <f>IF(OR($A169=1,$B169="",$A169+M$3&gt;340),"",IF(INDEX($B$5:$B$344,$A169+M$3)="","",IF(AND(YEAR($B169)=$B$2,YEAR(INDEX($B$5:$B$344,$A169+M$3-1))=$B$2),INDEX($B$5:$B$344,$A169+M$3)-INDEX($B$5:$B$344,$A169-1)-1,"")))</f>
        <v/>
      </c>
    </row>
    <row r="170">
      <c r="A170" s="11" t="n">
        <v>166</v>
      </c>
      <c r="B170" s="10">
        <f>IFERROR(INDEX('2_暦'!$A$7:$A$433,MATCH(A170,'2_暦'!$K$7:$K$433,0)),"")</f>
        <v/>
      </c>
      <c r="C170" s="11">
        <f>IF(OR($A170=1,$B170=""),"",IF(OR(YEAR($B170-1)=$B$2,YEAR(INDEX($B$5:$B$344,$A170-1)+1)=$B$2),$B170-INDEX($B$5:$B$344,$A170-1)-1,""))</f>
        <v/>
      </c>
      <c r="D170" s="11">
        <f>IF(OR($A170=1,$B170="",$A170+D$3&gt;340),"",IF(INDEX($B$5:$B$344,$A170+D$3)="","",IF(AND(YEAR($B170)=$B$2,YEAR(INDEX($B$5:$B$344,$A170+D$3-1))=$B$2),INDEX($B$5:$B$344,$A170+D$3)-INDEX($B$5:$B$344,$A170-1)-1,"")))</f>
        <v/>
      </c>
      <c r="E170" s="11">
        <f>IF(OR($A170=1,$B170="",$A170+E$3&gt;340),"",IF(INDEX($B$5:$B$344,$A170+E$3)="","",IF(AND(YEAR($B170)=$B$2,YEAR(INDEX($B$5:$B$344,$A170+E$3-1))=$B$2),INDEX($B$5:$B$344,$A170+E$3)-INDEX($B$5:$B$344,$A170-1)-1,"")))</f>
        <v/>
      </c>
      <c r="F170" s="11">
        <f>IF(OR($A170=1,$B170="",$A170+F$3&gt;340),"",IF(INDEX($B$5:$B$344,$A170+F$3)="","",IF(AND(YEAR($B170)=$B$2,YEAR(INDEX($B$5:$B$344,$A170+F$3-1))=$B$2),INDEX($B$5:$B$344,$A170+F$3)-INDEX($B$5:$B$344,$A170-1)-1,"")))</f>
        <v/>
      </c>
      <c r="G170" s="11">
        <f>IF(OR($A170=1,$B170="",$A170+G$3&gt;340),"",IF(INDEX($B$5:$B$344,$A170+G$3)="","",IF(AND(YEAR($B170)=$B$2,YEAR(INDEX($B$5:$B$344,$A170+G$3-1))=$B$2),INDEX($B$5:$B$344,$A170+G$3)-INDEX($B$5:$B$344,$A170-1)-1,"")))</f>
        <v/>
      </c>
      <c r="H170" s="11">
        <f>IF(OR($A170=1,$B170="",$A170+H$3&gt;340),"",IF(INDEX($B$5:$B$344,$A170+H$3)="","",IF(AND(YEAR($B170)=$B$2,YEAR(INDEX($B$5:$B$344,$A170+H$3-1))=$B$2),INDEX($B$5:$B$344,$A170+H$3)-INDEX($B$5:$B$344,$A170-1)-1,"")))</f>
        <v/>
      </c>
      <c r="I170" s="11">
        <f>IF(OR($A170=1,$B170="",$A170+I$3&gt;340),"",IF(INDEX($B$5:$B$344,$A170+I$3)="","",IF(AND(YEAR($B170)=$B$2,YEAR(INDEX($B$5:$B$344,$A170+I$3-1))=$B$2),INDEX($B$5:$B$344,$A170+I$3)-INDEX($B$5:$B$344,$A170-1)-1,"")))</f>
        <v/>
      </c>
      <c r="J170" s="11">
        <f>IF(OR($A170=1,$B170="",$A170+J$3&gt;340),"",IF(INDEX($B$5:$B$344,$A170+J$3)="","",IF(AND(YEAR($B170)=$B$2,YEAR(INDEX($B$5:$B$344,$A170+J$3-1))=$B$2),INDEX($B$5:$B$344,$A170+J$3)-INDEX($B$5:$B$344,$A170-1)-1,"")))</f>
        <v/>
      </c>
      <c r="K170" s="11">
        <f>IF(OR($A170=1,$B170="",$A170+K$3&gt;340),"",IF(INDEX($B$5:$B$344,$A170+K$3)="","",IF(AND(YEAR($B170)=$B$2,YEAR(INDEX($B$5:$B$344,$A170+K$3-1))=$B$2),INDEX($B$5:$B$344,$A170+K$3)-INDEX($B$5:$B$344,$A170-1)-1,"")))</f>
        <v/>
      </c>
      <c r="L170" s="11">
        <f>IF(OR($A170=1,$B170="",$A170+L$3&gt;340),"",IF(INDEX($B$5:$B$344,$A170+L$3)="","",IF(AND(YEAR($B170)=$B$2,YEAR(INDEX($B$5:$B$344,$A170+L$3-1))=$B$2),INDEX($B$5:$B$344,$A170+L$3)-INDEX($B$5:$B$344,$A170-1)-1,"")))</f>
        <v/>
      </c>
      <c r="M170" s="11">
        <f>IF(OR($A170=1,$B170="",$A170+M$3&gt;340),"",IF(INDEX($B$5:$B$344,$A170+M$3)="","",IF(AND(YEAR($B170)=$B$2,YEAR(INDEX($B$5:$B$344,$A170+M$3-1))=$B$2),INDEX($B$5:$B$344,$A170+M$3)-INDEX($B$5:$B$344,$A170-1)-1,"")))</f>
        <v/>
      </c>
    </row>
    <row r="171">
      <c r="A171" s="11" t="n">
        <v>167</v>
      </c>
      <c r="B171" s="10">
        <f>IFERROR(INDEX('2_暦'!$A$7:$A$433,MATCH(A171,'2_暦'!$K$7:$K$433,0)),"")</f>
        <v/>
      </c>
      <c r="C171" s="11">
        <f>IF(OR($A171=1,$B171=""),"",IF(OR(YEAR($B171-1)=$B$2,YEAR(INDEX($B$5:$B$344,$A171-1)+1)=$B$2),$B171-INDEX($B$5:$B$344,$A171-1)-1,""))</f>
        <v/>
      </c>
      <c r="D171" s="11">
        <f>IF(OR($A171=1,$B171="",$A171+D$3&gt;340),"",IF(INDEX($B$5:$B$344,$A171+D$3)="","",IF(AND(YEAR($B171)=$B$2,YEAR(INDEX($B$5:$B$344,$A171+D$3-1))=$B$2),INDEX($B$5:$B$344,$A171+D$3)-INDEX($B$5:$B$344,$A171-1)-1,"")))</f>
        <v/>
      </c>
      <c r="E171" s="11">
        <f>IF(OR($A171=1,$B171="",$A171+E$3&gt;340),"",IF(INDEX($B$5:$B$344,$A171+E$3)="","",IF(AND(YEAR($B171)=$B$2,YEAR(INDEX($B$5:$B$344,$A171+E$3-1))=$B$2),INDEX($B$5:$B$344,$A171+E$3)-INDEX($B$5:$B$344,$A171-1)-1,"")))</f>
        <v/>
      </c>
      <c r="F171" s="11">
        <f>IF(OR($A171=1,$B171="",$A171+F$3&gt;340),"",IF(INDEX($B$5:$B$344,$A171+F$3)="","",IF(AND(YEAR($B171)=$B$2,YEAR(INDEX($B$5:$B$344,$A171+F$3-1))=$B$2),INDEX($B$5:$B$344,$A171+F$3)-INDEX($B$5:$B$344,$A171-1)-1,"")))</f>
        <v/>
      </c>
      <c r="G171" s="11">
        <f>IF(OR($A171=1,$B171="",$A171+G$3&gt;340),"",IF(INDEX($B$5:$B$344,$A171+G$3)="","",IF(AND(YEAR($B171)=$B$2,YEAR(INDEX($B$5:$B$344,$A171+G$3-1))=$B$2),INDEX($B$5:$B$344,$A171+G$3)-INDEX($B$5:$B$344,$A171-1)-1,"")))</f>
        <v/>
      </c>
      <c r="H171" s="11">
        <f>IF(OR($A171=1,$B171="",$A171+H$3&gt;340),"",IF(INDEX($B$5:$B$344,$A171+H$3)="","",IF(AND(YEAR($B171)=$B$2,YEAR(INDEX($B$5:$B$344,$A171+H$3-1))=$B$2),INDEX($B$5:$B$344,$A171+H$3)-INDEX($B$5:$B$344,$A171-1)-1,"")))</f>
        <v/>
      </c>
      <c r="I171" s="11">
        <f>IF(OR($A171=1,$B171="",$A171+I$3&gt;340),"",IF(INDEX($B$5:$B$344,$A171+I$3)="","",IF(AND(YEAR($B171)=$B$2,YEAR(INDEX($B$5:$B$344,$A171+I$3-1))=$B$2),INDEX($B$5:$B$344,$A171+I$3)-INDEX($B$5:$B$344,$A171-1)-1,"")))</f>
        <v/>
      </c>
      <c r="J171" s="11">
        <f>IF(OR($A171=1,$B171="",$A171+J$3&gt;340),"",IF(INDEX($B$5:$B$344,$A171+J$3)="","",IF(AND(YEAR($B171)=$B$2,YEAR(INDEX($B$5:$B$344,$A171+J$3-1))=$B$2),INDEX($B$5:$B$344,$A171+J$3)-INDEX($B$5:$B$344,$A171-1)-1,"")))</f>
        <v/>
      </c>
      <c r="K171" s="11">
        <f>IF(OR($A171=1,$B171="",$A171+K$3&gt;340),"",IF(INDEX($B$5:$B$344,$A171+K$3)="","",IF(AND(YEAR($B171)=$B$2,YEAR(INDEX($B$5:$B$344,$A171+K$3-1))=$B$2),INDEX($B$5:$B$344,$A171+K$3)-INDEX($B$5:$B$344,$A171-1)-1,"")))</f>
        <v/>
      </c>
      <c r="L171" s="11">
        <f>IF(OR($A171=1,$B171="",$A171+L$3&gt;340),"",IF(INDEX($B$5:$B$344,$A171+L$3)="","",IF(AND(YEAR($B171)=$B$2,YEAR(INDEX($B$5:$B$344,$A171+L$3-1))=$B$2),INDEX($B$5:$B$344,$A171+L$3)-INDEX($B$5:$B$344,$A171-1)-1,"")))</f>
        <v/>
      </c>
      <c r="M171" s="11">
        <f>IF(OR($A171=1,$B171="",$A171+M$3&gt;340),"",IF(INDEX($B$5:$B$344,$A171+M$3)="","",IF(AND(YEAR($B171)=$B$2,YEAR(INDEX($B$5:$B$344,$A171+M$3-1))=$B$2),INDEX($B$5:$B$344,$A171+M$3)-INDEX($B$5:$B$344,$A171-1)-1,"")))</f>
        <v/>
      </c>
    </row>
    <row r="172">
      <c r="A172" s="11" t="n">
        <v>168</v>
      </c>
      <c r="B172" s="10">
        <f>IFERROR(INDEX('2_暦'!$A$7:$A$433,MATCH(A172,'2_暦'!$K$7:$K$433,0)),"")</f>
        <v/>
      </c>
      <c r="C172" s="11">
        <f>IF(OR($A172=1,$B172=""),"",IF(OR(YEAR($B172-1)=$B$2,YEAR(INDEX($B$5:$B$344,$A172-1)+1)=$B$2),$B172-INDEX($B$5:$B$344,$A172-1)-1,""))</f>
        <v/>
      </c>
      <c r="D172" s="11">
        <f>IF(OR($A172=1,$B172="",$A172+D$3&gt;340),"",IF(INDEX($B$5:$B$344,$A172+D$3)="","",IF(AND(YEAR($B172)=$B$2,YEAR(INDEX($B$5:$B$344,$A172+D$3-1))=$B$2),INDEX($B$5:$B$344,$A172+D$3)-INDEX($B$5:$B$344,$A172-1)-1,"")))</f>
        <v/>
      </c>
      <c r="E172" s="11">
        <f>IF(OR($A172=1,$B172="",$A172+E$3&gt;340),"",IF(INDEX($B$5:$B$344,$A172+E$3)="","",IF(AND(YEAR($B172)=$B$2,YEAR(INDEX($B$5:$B$344,$A172+E$3-1))=$B$2),INDEX($B$5:$B$344,$A172+E$3)-INDEX($B$5:$B$344,$A172-1)-1,"")))</f>
        <v/>
      </c>
      <c r="F172" s="11">
        <f>IF(OR($A172=1,$B172="",$A172+F$3&gt;340),"",IF(INDEX($B$5:$B$344,$A172+F$3)="","",IF(AND(YEAR($B172)=$B$2,YEAR(INDEX($B$5:$B$344,$A172+F$3-1))=$B$2),INDEX($B$5:$B$344,$A172+F$3)-INDEX($B$5:$B$344,$A172-1)-1,"")))</f>
        <v/>
      </c>
      <c r="G172" s="11">
        <f>IF(OR($A172=1,$B172="",$A172+G$3&gt;340),"",IF(INDEX($B$5:$B$344,$A172+G$3)="","",IF(AND(YEAR($B172)=$B$2,YEAR(INDEX($B$5:$B$344,$A172+G$3-1))=$B$2),INDEX($B$5:$B$344,$A172+G$3)-INDEX($B$5:$B$344,$A172-1)-1,"")))</f>
        <v/>
      </c>
      <c r="H172" s="11">
        <f>IF(OR($A172=1,$B172="",$A172+H$3&gt;340),"",IF(INDEX($B$5:$B$344,$A172+H$3)="","",IF(AND(YEAR($B172)=$B$2,YEAR(INDEX($B$5:$B$344,$A172+H$3-1))=$B$2),INDEX($B$5:$B$344,$A172+H$3)-INDEX($B$5:$B$344,$A172-1)-1,"")))</f>
        <v/>
      </c>
      <c r="I172" s="11">
        <f>IF(OR($A172=1,$B172="",$A172+I$3&gt;340),"",IF(INDEX($B$5:$B$344,$A172+I$3)="","",IF(AND(YEAR($B172)=$B$2,YEAR(INDEX($B$5:$B$344,$A172+I$3-1))=$B$2),INDEX($B$5:$B$344,$A172+I$3)-INDEX($B$5:$B$344,$A172-1)-1,"")))</f>
        <v/>
      </c>
      <c r="J172" s="11">
        <f>IF(OR($A172=1,$B172="",$A172+J$3&gt;340),"",IF(INDEX($B$5:$B$344,$A172+J$3)="","",IF(AND(YEAR($B172)=$B$2,YEAR(INDEX($B$5:$B$344,$A172+J$3-1))=$B$2),INDEX($B$5:$B$344,$A172+J$3)-INDEX($B$5:$B$344,$A172-1)-1,"")))</f>
        <v/>
      </c>
      <c r="K172" s="11">
        <f>IF(OR($A172=1,$B172="",$A172+K$3&gt;340),"",IF(INDEX($B$5:$B$344,$A172+K$3)="","",IF(AND(YEAR($B172)=$B$2,YEAR(INDEX($B$5:$B$344,$A172+K$3-1))=$B$2),INDEX($B$5:$B$344,$A172+K$3)-INDEX($B$5:$B$344,$A172-1)-1,"")))</f>
        <v/>
      </c>
      <c r="L172" s="11">
        <f>IF(OR($A172=1,$B172="",$A172+L$3&gt;340),"",IF(INDEX($B$5:$B$344,$A172+L$3)="","",IF(AND(YEAR($B172)=$B$2,YEAR(INDEX($B$5:$B$344,$A172+L$3-1))=$B$2),INDEX($B$5:$B$344,$A172+L$3)-INDEX($B$5:$B$344,$A172-1)-1,"")))</f>
        <v/>
      </c>
      <c r="M172" s="11">
        <f>IF(OR($A172=1,$B172="",$A172+M$3&gt;340),"",IF(INDEX($B$5:$B$344,$A172+M$3)="","",IF(AND(YEAR($B172)=$B$2,YEAR(INDEX($B$5:$B$344,$A172+M$3-1))=$B$2),INDEX($B$5:$B$344,$A172+M$3)-INDEX($B$5:$B$344,$A172-1)-1,"")))</f>
        <v/>
      </c>
    </row>
    <row r="173">
      <c r="A173" s="11" t="n">
        <v>169</v>
      </c>
      <c r="B173" s="10">
        <f>IFERROR(INDEX('2_暦'!$A$7:$A$433,MATCH(A173,'2_暦'!$K$7:$K$433,0)),"")</f>
        <v/>
      </c>
      <c r="C173" s="11">
        <f>IF(OR($A173=1,$B173=""),"",IF(OR(YEAR($B173-1)=$B$2,YEAR(INDEX($B$5:$B$344,$A173-1)+1)=$B$2),$B173-INDEX($B$5:$B$344,$A173-1)-1,""))</f>
        <v/>
      </c>
      <c r="D173" s="11">
        <f>IF(OR($A173=1,$B173="",$A173+D$3&gt;340),"",IF(INDEX($B$5:$B$344,$A173+D$3)="","",IF(AND(YEAR($B173)=$B$2,YEAR(INDEX($B$5:$B$344,$A173+D$3-1))=$B$2),INDEX($B$5:$B$344,$A173+D$3)-INDEX($B$5:$B$344,$A173-1)-1,"")))</f>
        <v/>
      </c>
      <c r="E173" s="11">
        <f>IF(OR($A173=1,$B173="",$A173+E$3&gt;340),"",IF(INDEX($B$5:$B$344,$A173+E$3)="","",IF(AND(YEAR($B173)=$B$2,YEAR(INDEX($B$5:$B$344,$A173+E$3-1))=$B$2),INDEX($B$5:$B$344,$A173+E$3)-INDEX($B$5:$B$344,$A173-1)-1,"")))</f>
        <v/>
      </c>
      <c r="F173" s="11">
        <f>IF(OR($A173=1,$B173="",$A173+F$3&gt;340),"",IF(INDEX($B$5:$B$344,$A173+F$3)="","",IF(AND(YEAR($B173)=$B$2,YEAR(INDEX($B$5:$B$344,$A173+F$3-1))=$B$2),INDEX($B$5:$B$344,$A173+F$3)-INDEX($B$5:$B$344,$A173-1)-1,"")))</f>
        <v/>
      </c>
      <c r="G173" s="11">
        <f>IF(OR($A173=1,$B173="",$A173+G$3&gt;340),"",IF(INDEX($B$5:$B$344,$A173+G$3)="","",IF(AND(YEAR($B173)=$B$2,YEAR(INDEX($B$5:$B$344,$A173+G$3-1))=$B$2),INDEX($B$5:$B$344,$A173+G$3)-INDEX($B$5:$B$344,$A173-1)-1,"")))</f>
        <v/>
      </c>
      <c r="H173" s="11">
        <f>IF(OR($A173=1,$B173="",$A173+H$3&gt;340),"",IF(INDEX($B$5:$B$344,$A173+H$3)="","",IF(AND(YEAR($B173)=$B$2,YEAR(INDEX($B$5:$B$344,$A173+H$3-1))=$B$2),INDEX($B$5:$B$344,$A173+H$3)-INDEX($B$5:$B$344,$A173-1)-1,"")))</f>
        <v/>
      </c>
      <c r="I173" s="11">
        <f>IF(OR($A173=1,$B173="",$A173+I$3&gt;340),"",IF(INDEX($B$5:$B$344,$A173+I$3)="","",IF(AND(YEAR($B173)=$B$2,YEAR(INDEX($B$5:$B$344,$A173+I$3-1))=$B$2),INDEX($B$5:$B$344,$A173+I$3)-INDEX($B$5:$B$344,$A173-1)-1,"")))</f>
        <v/>
      </c>
      <c r="J173" s="11">
        <f>IF(OR($A173=1,$B173="",$A173+J$3&gt;340),"",IF(INDEX($B$5:$B$344,$A173+J$3)="","",IF(AND(YEAR($B173)=$B$2,YEAR(INDEX($B$5:$B$344,$A173+J$3-1))=$B$2),INDEX($B$5:$B$344,$A173+J$3)-INDEX($B$5:$B$344,$A173-1)-1,"")))</f>
        <v/>
      </c>
      <c r="K173" s="11">
        <f>IF(OR($A173=1,$B173="",$A173+K$3&gt;340),"",IF(INDEX($B$5:$B$344,$A173+K$3)="","",IF(AND(YEAR($B173)=$B$2,YEAR(INDEX($B$5:$B$344,$A173+K$3-1))=$B$2),INDEX($B$5:$B$344,$A173+K$3)-INDEX($B$5:$B$344,$A173-1)-1,"")))</f>
        <v/>
      </c>
      <c r="L173" s="11">
        <f>IF(OR($A173=1,$B173="",$A173+L$3&gt;340),"",IF(INDEX($B$5:$B$344,$A173+L$3)="","",IF(AND(YEAR($B173)=$B$2,YEAR(INDEX($B$5:$B$344,$A173+L$3-1))=$B$2),INDEX($B$5:$B$344,$A173+L$3)-INDEX($B$5:$B$344,$A173-1)-1,"")))</f>
        <v/>
      </c>
      <c r="M173" s="11">
        <f>IF(OR($A173=1,$B173="",$A173+M$3&gt;340),"",IF(INDEX($B$5:$B$344,$A173+M$3)="","",IF(AND(YEAR($B173)=$B$2,YEAR(INDEX($B$5:$B$344,$A173+M$3-1))=$B$2),INDEX($B$5:$B$344,$A173+M$3)-INDEX($B$5:$B$344,$A173-1)-1,"")))</f>
        <v/>
      </c>
    </row>
    <row r="174">
      <c r="A174" s="11" t="n">
        <v>170</v>
      </c>
      <c r="B174" s="10">
        <f>IFERROR(INDEX('2_暦'!$A$7:$A$433,MATCH(A174,'2_暦'!$K$7:$K$433,0)),"")</f>
        <v/>
      </c>
      <c r="C174" s="11">
        <f>IF(OR($A174=1,$B174=""),"",IF(OR(YEAR($B174-1)=$B$2,YEAR(INDEX($B$5:$B$344,$A174-1)+1)=$B$2),$B174-INDEX($B$5:$B$344,$A174-1)-1,""))</f>
        <v/>
      </c>
      <c r="D174" s="11">
        <f>IF(OR($A174=1,$B174="",$A174+D$3&gt;340),"",IF(INDEX($B$5:$B$344,$A174+D$3)="","",IF(AND(YEAR($B174)=$B$2,YEAR(INDEX($B$5:$B$344,$A174+D$3-1))=$B$2),INDEX($B$5:$B$344,$A174+D$3)-INDEX($B$5:$B$344,$A174-1)-1,"")))</f>
        <v/>
      </c>
      <c r="E174" s="11">
        <f>IF(OR($A174=1,$B174="",$A174+E$3&gt;340),"",IF(INDEX($B$5:$B$344,$A174+E$3)="","",IF(AND(YEAR($B174)=$B$2,YEAR(INDEX($B$5:$B$344,$A174+E$3-1))=$B$2),INDEX($B$5:$B$344,$A174+E$3)-INDEX($B$5:$B$344,$A174-1)-1,"")))</f>
        <v/>
      </c>
      <c r="F174" s="11">
        <f>IF(OR($A174=1,$B174="",$A174+F$3&gt;340),"",IF(INDEX($B$5:$B$344,$A174+F$3)="","",IF(AND(YEAR($B174)=$B$2,YEAR(INDEX($B$5:$B$344,$A174+F$3-1))=$B$2),INDEX($B$5:$B$344,$A174+F$3)-INDEX($B$5:$B$344,$A174-1)-1,"")))</f>
        <v/>
      </c>
      <c r="G174" s="11">
        <f>IF(OR($A174=1,$B174="",$A174+G$3&gt;340),"",IF(INDEX($B$5:$B$344,$A174+G$3)="","",IF(AND(YEAR($B174)=$B$2,YEAR(INDEX($B$5:$B$344,$A174+G$3-1))=$B$2),INDEX($B$5:$B$344,$A174+G$3)-INDEX($B$5:$B$344,$A174-1)-1,"")))</f>
        <v/>
      </c>
      <c r="H174" s="11">
        <f>IF(OR($A174=1,$B174="",$A174+H$3&gt;340),"",IF(INDEX($B$5:$B$344,$A174+H$3)="","",IF(AND(YEAR($B174)=$B$2,YEAR(INDEX($B$5:$B$344,$A174+H$3-1))=$B$2),INDEX($B$5:$B$344,$A174+H$3)-INDEX($B$5:$B$344,$A174-1)-1,"")))</f>
        <v/>
      </c>
      <c r="I174" s="11">
        <f>IF(OR($A174=1,$B174="",$A174+I$3&gt;340),"",IF(INDEX($B$5:$B$344,$A174+I$3)="","",IF(AND(YEAR($B174)=$B$2,YEAR(INDEX($B$5:$B$344,$A174+I$3-1))=$B$2),INDEX($B$5:$B$344,$A174+I$3)-INDEX($B$5:$B$344,$A174-1)-1,"")))</f>
        <v/>
      </c>
      <c r="J174" s="11">
        <f>IF(OR($A174=1,$B174="",$A174+J$3&gt;340),"",IF(INDEX($B$5:$B$344,$A174+J$3)="","",IF(AND(YEAR($B174)=$B$2,YEAR(INDEX($B$5:$B$344,$A174+J$3-1))=$B$2),INDEX($B$5:$B$344,$A174+J$3)-INDEX($B$5:$B$344,$A174-1)-1,"")))</f>
        <v/>
      </c>
      <c r="K174" s="11">
        <f>IF(OR($A174=1,$B174="",$A174+K$3&gt;340),"",IF(INDEX($B$5:$B$344,$A174+K$3)="","",IF(AND(YEAR($B174)=$B$2,YEAR(INDEX($B$5:$B$344,$A174+K$3-1))=$B$2),INDEX($B$5:$B$344,$A174+K$3)-INDEX($B$5:$B$344,$A174-1)-1,"")))</f>
        <v/>
      </c>
      <c r="L174" s="11">
        <f>IF(OR($A174=1,$B174="",$A174+L$3&gt;340),"",IF(INDEX($B$5:$B$344,$A174+L$3)="","",IF(AND(YEAR($B174)=$B$2,YEAR(INDEX($B$5:$B$344,$A174+L$3-1))=$B$2),INDEX($B$5:$B$344,$A174+L$3)-INDEX($B$5:$B$344,$A174-1)-1,"")))</f>
        <v/>
      </c>
      <c r="M174" s="11">
        <f>IF(OR($A174=1,$B174="",$A174+M$3&gt;340),"",IF(INDEX($B$5:$B$344,$A174+M$3)="","",IF(AND(YEAR($B174)=$B$2,YEAR(INDEX($B$5:$B$344,$A174+M$3-1))=$B$2),INDEX($B$5:$B$344,$A174+M$3)-INDEX($B$5:$B$344,$A174-1)-1,"")))</f>
        <v/>
      </c>
    </row>
    <row r="175">
      <c r="A175" s="11" t="n">
        <v>171</v>
      </c>
      <c r="B175" s="10">
        <f>IFERROR(INDEX('2_暦'!$A$7:$A$433,MATCH(A175,'2_暦'!$K$7:$K$433,0)),"")</f>
        <v/>
      </c>
      <c r="C175" s="11">
        <f>IF(OR($A175=1,$B175=""),"",IF(OR(YEAR($B175-1)=$B$2,YEAR(INDEX($B$5:$B$344,$A175-1)+1)=$B$2),$B175-INDEX($B$5:$B$344,$A175-1)-1,""))</f>
        <v/>
      </c>
      <c r="D175" s="11">
        <f>IF(OR($A175=1,$B175="",$A175+D$3&gt;340),"",IF(INDEX($B$5:$B$344,$A175+D$3)="","",IF(AND(YEAR($B175)=$B$2,YEAR(INDEX($B$5:$B$344,$A175+D$3-1))=$B$2),INDEX($B$5:$B$344,$A175+D$3)-INDEX($B$5:$B$344,$A175-1)-1,"")))</f>
        <v/>
      </c>
      <c r="E175" s="11">
        <f>IF(OR($A175=1,$B175="",$A175+E$3&gt;340),"",IF(INDEX($B$5:$B$344,$A175+E$3)="","",IF(AND(YEAR($B175)=$B$2,YEAR(INDEX($B$5:$B$344,$A175+E$3-1))=$B$2),INDEX($B$5:$B$344,$A175+E$3)-INDEX($B$5:$B$344,$A175-1)-1,"")))</f>
        <v/>
      </c>
      <c r="F175" s="11">
        <f>IF(OR($A175=1,$B175="",$A175+F$3&gt;340),"",IF(INDEX($B$5:$B$344,$A175+F$3)="","",IF(AND(YEAR($B175)=$B$2,YEAR(INDEX($B$5:$B$344,$A175+F$3-1))=$B$2),INDEX($B$5:$B$344,$A175+F$3)-INDEX($B$5:$B$344,$A175-1)-1,"")))</f>
        <v/>
      </c>
      <c r="G175" s="11">
        <f>IF(OR($A175=1,$B175="",$A175+G$3&gt;340),"",IF(INDEX($B$5:$B$344,$A175+G$3)="","",IF(AND(YEAR($B175)=$B$2,YEAR(INDEX($B$5:$B$344,$A175+G$3-1))=$B$2),INDEX($B$5:$B$344,$A175+G$3)-INDEX($B$5:$B$344,$A175-1)-1,"")))</f>
        <v/>
      </c>
      <c r="H175" s="11">
        <f>IF(OR($A175=1,$B175="",$A175+H$3&gt;340),"",IF(INDEX($B$5:$B$344,$A175+H$3)="","",IF(AND(YEAR($B175)=$B$2,YEAR(INDEX($B$5:$B$344,$A175+H$3-1))=$B$2),INDEX($B$5:$B$344,$A175+H$3)-INDEX($B$5:$B$344,$A175-1)-1,"")))</f>
        <v/>
      </c>
      <c r="I175" s="11">
        <f>IF(OR($A175=1,$B175="",$A175+I$3&gt;340),"",IF(INDEX($B$5:$B$344,$A175+I$3)="","",IF(AND(YEAR($B175)=$B$2,YEAR(INDEX($B$5:$B$344,$A175+I$3-1))=$B$2),INDEX($B$5:$B$344,$A175+I$3)-INDEX($B$5:$B$344,$A175-1)-1,"")))</f>
        <v/>
      </c>
      <c r="J175" s="11">
        <f>IF(OR($A175=1,$B175="",$A175+J$3&gt;340),"",IF(INDEX($B$5:$B$344,$A175+J$3)="","",IF(AND(YEAR($B175)=$B$2,YEAR(INDEX($B$5:$B$344,$A175+J$3-1))=$B$2),INDEX($B$5:$B$344,$A175+J$3)-INDEX($B$5:$B$344,$A175-1)-1,"")))</f>
        <v/>
      </c>
      <c r="K175" s="11">
        <f>IF(OR($A175=1,$B175="",$A175+K$3&gt;340),"",IF(INDEX($B$5:$B$344,$A175+K$3)="","",IF(AND(YEAR($B175)=$B$2,YEAR(INDEX($B$5:$B$344,$A175+K$3-1))=$B$2),INDEX($B$5:$B$344,$A175+K$3)-INDEX($B$5:$B$344,$A175-1)-1,"")))</f>
        <v/>
      </c>
      <c r="L175" s="11">
        <f>IF(OR($A175=1,$B175="",$A175+L$3&gt;340),"",IF(INDEX($B$5:$B$344,$A175+L$3)="","",IF(AND(YEAR($B175)=$B$2,YEAR(INDEX($B$5:$B$344,$A175+L$3-1))=$B$2),INDEX($B$5:$B$344,$A175+L$3)-INDEX($B$5:$B$344,$A175-1)-1,"")))</f>
        <v/>
      </c>
      <c r="M175" s="11">
        <f>IF(OR($A175=1,$B175="",$A175+M$3&gt;340),"",IF(INDEX($B$5:$B$344,$A175+M$3)="","",IF(AND(YEAR($B175)=$B$2,YEAR(INDEX($B$5:$B$344,$A175+M$3-1))=$B$2),INDEX($B$5:$B$344,$A175+M$3)-INDEX($B$5:$B$344,$A175-1)-1,"")))</f>
        <v/>
      </c>
    </row>
    <row r="176">
      <c r="A176" s="11" t="n">
        <v>172</v>
      </c>
      <c r="B176" s="10">
        <f>IFERROR(INDEX('2_暦'!$A$7:$A$433,MATCH(A176,'2_暦'!$K$7:$K$433,0)),"")</f>
        <v/>
      </c>
      <c r="C176" s="11">
        <f>IF(OR($A176=1,$B176=""),"",IF(OR(YEAR($B176-1)=$B$2,YEAR(INDEX($B$5:$B$344,$A176-1)+1)=$B$2),$B176-INDEX($B$5:$B$344,$A176-1)-1,""))</f>
        <v/>
      </c>
      <c r="D176" s="11">
        <f>IF(OR($A176=1,$B176="",$A176+D$3&gt;340),"",IF(INDEX($B$5:$B$344,$A176+D$3)="","",IF(AND(YEAR($B176)=$B$2,YEAR(INDEX($B$5:$B$344,$A176+D$3-1))=$B$2),INDEX($B$5:$B$344,$A176+D$3)-INDEX($B$5:$B$344,$A176-1)-1,"")))</f>
        <v/>
      </c>
      <c r="E176" s="11">
        <f>IF(OR($A176=1,$B176="",$A176+E$3&gt;340),"",IF(INDEX($B$5:$B$344,$A176+E$3)="","",IF(AND(YEAR($B176)=$B$2,YEAR(INDEX($B$5:$B$344,$A176+E$3-1))=$B$2),INDEX($B$5:$B$344,$A176+E$3)-INDEX($B$5:$B$344,$A176-1)-1,"")))</f>
        <v/>
      </c>
      <c r="F176" s="11">
        <f>IF(OR($A176=1,$B176="",$A176+F$3&gt;340),"",IF(INDEX($B$5:$B$344,$A176+F$3)="","",IF(AND(YEAR($B176)=$B$2,YEAR(INDEX($B$5:$B$344,$A176+F$3-1))=$B$2),INDEX($B$5:$B$344,$A176+F$3)-INDEX($B$5:$B$344,$A176-1)-1,"")))</f>
        <v/>
      </c>
      <c r="G176" s="11">
        <f>IF(OR($A176=1,$B176="",$A176+G$3&gt;340),"",IF(INDEX($B$5:$B$344,$A176+G$3)="","",IF(AND(YEAR($B176)=$B$2,YEAR(INDEX($B$5:$B$344,$A176+G$3-1))=$B$2),INDEX($B$5:$B$344,$A176+G$3)-INDEX($B$5:$B$344,$A176-1)-1,"")))</f>
        <v/>
      </c>
      <c r="H176" s="11">
        <f>IF(OR($A176=1,$B176="",$A176+H$3&gt;340),"",IF(INDEX($B$5:$B$344,$A176+H$3)="","",IF(AND(YEAR($B176)=$B$2,YEAR(INDEX($B$5:$B$344,$A176+H$3-1))=$B$2),INDEX($B$5:$B$344,$A176+H$3)-INDEX($B$5:$B$344,$A176-1)-1,"")))</f>
        <v/>
      </c>
      <c r="I176" s="11">
        <f>IF(OR($A176=1,$B176="",$A176+I$3&gt;340),"",IF(INDEX($B$5:$B$344,$A176+I$3)="","",IF(AND(YEAR($B176)=$B$2,YEAR(INDEX($B$5:$B$344,$A176+I$3-1))=$B$2),INDEX($B$5:$B$344,$A176+I$3)-INDEX($B$5:$B$344,$A176-1)-1,"")))</f>
        <v/>
      </c>
      <c r="J176" s="11">
        <f>IF(OR($A176=1,$B176="",$A176+J$3&gt;340),"",IF(INDEX($B$5:$B$344,$A176+J$3)="","",IF(AND(YEAR($B176)=$B$2,YEAR(INDEX($B$5:$B$344,$A176+J$3-1))=$B$2),INDEX($B$5:$B$344,$A176+J$3)-INDEX($B$5:$B$344,$A176-1)-1,"")))</f>
        <v/>
      </c>
      <c r="K176" s="11">
        <f>IF(OR($A176=1,$B176="",$A176+K$3&gt;340),"",IF(INDEX($B$5:$B$344,$A176+K$3)="","",IF(AND(YEAR($B176)=$B$2,YEAR(INDEX($B$5:$B$344,$A176+K$3-1))=$B$2),INDEX($B$5:$B$344,$A176+K$3)-INDEX($B$5:$B$344,$A176-1)-1,"")))</f>
        <v/>
      </c>
      <c r="L176" s="11">
        <f>IF(OR($A176=1,$B176="",$A176+L$3&gt;340),"",IF(INDEX($B$5:$B$344,$A176+L$3)="","",IF(AND(YEAR($B176)=$B$2,YEAR(INDEX($B$5:$B$344,$A176+L$3-1))=$B$2),INDEX($B$5:$B$344,$A176+L$3)-INDEX($B$5:$B$344,$A176-1)-1,"")))</f>
        <v/>
      </c>
      <c r="M176" s="11">
        <f>IF(OR($A176=1,$B176="",$A176+M$3&gt;340),"",IF(INDEX($B$5:$B$344,$A176+M$3)="","",IF(AND(YEAR($B176)=$B$2,YEAR(INDEX($B$5:$B$344,$A176+M$3-1))=$B$2),INDEX($B$5:$B$344,$A176+M$3)-INDEX($B$5:$B$344,$A176-1)-1,"")))</f>
        <v/>
      </c>
    </row>
    <row r="177">
      <c r="A177" s="11" t="n">
        <v>173</v>
      </c>
      <c r="B177" s="10">
        <f>IFERROR(INDEX('2_暦'!$A$7:$A$433,MATCH(A177,'2_暦'!$K$7:$K$433,0)),"")</f>
        <v/>
      </c>
      <c r="C177" s="11">
        <f>IF(OR($A177=1,$B177=""),"",IF(OR(YEAR($B177-1)=$B$2,YEAR(INDEX($B$5:$B$344,$A177-1)+1)=$B$2),$B177-INDEX($B$5:$B$344,$A177-1)-1,""))</f>
        <v/>
      </c>
      <c r="D177" s="11">
        <f>IF(OR($A177=1,$B177="",$A177+D$3&gt;340),"",IF(INDEX($B$5:$B$344,$A177+D$3)="","",IF(AND(YEAR($B177)=$B$2,YEAR(INDEX($B$5:$B$344,$A177+D$3-1))=$B$2),INDEX($B$5:$B$344,$A177+D$3)-INDEX($B$5:$B$344,$A177-1)-1,"")))</f>
        <v/>
      </c>
      <c r="E177" s="11">
        <f>IF(OR($A177=1,$B177="",$A177+E$3&gt;340),"",IF(INDEX($B$5:$B$344,$A177+E$3)="","",IF(AND(YEAR($B177)=$B$2,YEAR(INDEX($B$5:$B$344,$A177+E$3-1))=$B$2),INDEX($B$5:$B$344,$A177+E$3)-INDEX($B$5:$B$344,$A177-1)-1,"")))</f>
        <v/>
      </c>
      <c r="F177" s="11">
        <f>IF(OR($A177=1,$B177="",$A177+F$3&gt;340),"",IF(INDEX($B$5:$B$344,$A177+F$3)="","",IF(AND(YEAR($B177)=$B$2,YEAR(INDEX($B$5:$B$344,$A177+F$3-1))=$B$2),INDEX($B$5:$B$344,$A177+F$3)-INDEX($B$5:$B$344,$A177-1)-1,"")))</f>
        <v/>
      </c>
      <c r="G177" s="11">
        <f>IF(OR($A177=1,$B177="",$A177+G$3&gt;340),"",IF(INDEX($B$5:$B$344,$A177+G$3)="","",IF(AND(YEAR($B177)=$B$2,YEAR(INDEX($B$5:$B$344,$A177+G$3-1))=$B$2),INDEX($B$5:$B$344,$A177+G$3)-INDEX($B$5:$B$344,$A177-1)-1,"")))</f>
        <v/>
      </c>
      <c r="H177" s="11">
        <f>IF(OR($A177=1,$B177="",$A177+H$3&gt;340),"",IF(INDEX($B$5:$B$344,$A177+H$3)="","",IF(AND(YEAR($B177)=$B$2,YEAR(INDEX($B$5:$B$344,$A177+H$3-1))=$B$2),INDEX($B$5:$B$344,$A177+H$3)-INDEX($B$5:$B$344,$A177-1)-1,"")))</f>
        <v/>
      </c>
      <c r="I177" s="11">
        <f>IF(OR($A177=1,$B177="",$A177+I$3&gt;340),"",IF(INDEX($B$5:$B$344,$A177+I$3)="","",IF(AND(YEAR($B177)=$B$2,YEAR(INDEX($B$5:$B$344,$A177+I$3-1))=$B$2),INDEX($B$5:$B$344,$A177+I$3)-INDEX($B$5:$B$344,$A177-1)-1,"")))</f>
        <v/>
      </c>
      <c r="J177" s="11">
        <f>IF(OR($A177=1,$B177="",$A177+J$3&gt;340),"",IF(INDEX($B$5:$B$344,$A177+J$3)="","",IF(AND(YEAR($B177)=$B$2,YEAR(INDEX($B$5:$B$344,$A177+J$3-1))=$B$2),INDEX($B$5:$B$344,$A177+J$3)-INDEX($B$5:$B$344,$A177-1)-1,"")))</f>
        <v/>
      </c>
      <c r="K177" s="11">
        <f>IF(OR($A177=1,$B177="",$A177+K$3&gt;340),"",IF(INDEX($B$5:$B$344,$A177+K$3)="","",IF(AND(YEAR($B177)=$B$2,YEAR(INDEX($B$5:$B$344,$A177+K$3-1))=$B$2),INDEX($B$5:$B$344,$A177+K$3)-INDEX($B$5:$B$344,$A177-1)-1,"")))</f>
        <v/>
      </c>
      <c r="L177" s="11">
        <f>IF(OR($A177=1,$B177="",$A177+L$3&gt;340),"",IF(INDEX($B$5:$B$344,$A177+L$3)="","",IF(AND(YEAR($B177)=$B$2,YEAR(INDEX($B$5:$B$344,$A177+L$3-1))=$B$2),INDEX($B$5:$B$344,$A177+L$3)-INDEX($B$5:$B$344,$A177-1)-1,"")))</f>
        <v/>
      </c>
      <c r="M177" s="11">
        <f>IF(OR($A177=1,$B177="",$A177+M$3&gt;340),"",IF(INDEX($B$5:$B$344,$A177+M$3)="","",IF(AND(YEAR($B177)=$B$2,YEAR(INDEX($B$5:$B$344,$A177+M$3-1))=$B$2),INDEX($B$5:$B$344,$A177+M$3)-INDEX($B$5:$B$344,$A177-1)-1,"")))</f>
        <v/>
      </c>
    </row>
    <row r="178">
      <c r="A178" s="11" t="n">
        <v>174</v>
      </c>
      <c r="B178" s="10">
        <f>IFERROR(INDEX('2_暦'!$A$7:$A$433,MATCH(A178,'2_暦'!$K$7:$K$433,0)),"")</f>
        <v/>
      </c>
      <c r="C178" s="11">
        <f>IF(OR($A178=1,$B178=""),"",IF(OR(YEAR($B178-1)=$B$2,YEAR(INDEX($B$5:$B$344,$A178-1)+1)=$B$2),$B178-INDEX($B$5:$B$344,$A178-1)-1,""))</f>
        <v/>
      </c>
      <c r="D178" s="11">
        <f>IF(OR($A178=1,$B178="",$A178+D$3&gt;340),"",IF(INDEX($B$5:$B$344,$A178+D$3)="","",IF(AND(YEAR($B178)=$B$2,YEAR(INDEX($B$5:$B$344,$A178+D$3-1))=$B$2),INDEX($B$5:$B$344,$A178+D$3)-INDEX($B$5:$B$344,$A178-1)-1,"")))</f>
        <v/>
      </c>
      <c r="E178" s="11">
        <f>IF(OR($A178=1,$B178="",$A178+E$3&gt;340),"",IF(INDEX($B$5:$B$344,$A178+E$3)="","",IF(AND(YEAR($B178)=$B$2,YEAR(INDEX($B$5:$B$344,$A178+E$3-1))=$B$2),INDEX($B$5:$B$344,$A178+E$3)-INDEX($B$5:$B$344,$A178-1)-1,"")))</f>
        <v/>
      </c>
      <c r="F178" s="11">
        <f>IF(OR($A178=1,$B178="",$A178+F$3&gt;340),"",IF(INDEX($B$5:$B$344,$A178+F$3)="","",IF(AND(YEAR($B178)=$B$2,YEAR(INDEX($B$5:$B$344,$A178+F$3-1))=$B$2),INDEX($B$5:$B$344,$A178+F$3)-INDEX($B$5:$B$344,$A178-1)-1,"")))</f>
        <v/>
      </c>
      <c r="G178" s="11">
        <f>IF(OR($A178=1,$B178="",$A178+G$3&gt;340),"",IF(INDEX($B$5:$B$344,$A178+G$3)="","",IF(AND(YEAR($B178)=$B$2,YEAR(INDEX($B$5:$B$344,$A178+G$3-1))=$B$2),INDEX($B$5:$B$344,$A178+G$3)-INDEX($B$5:$B$344,$A178-1)-1,"")))</f>
        <v/>
      </c>
      <c r="H178" s="11">
        <f>IF(OR($A178=1,$B178="",$A178+H$3&gt;340),"",IF(INDEX($B$5:$B$344,$A178+H$3)="","",IF(AND(YEAR($B178)=$B$2,YEAR(INDEX($B$5:$B$344,$A178+H$3-1))=$B$2),INDEX($B$5:$B$344,$A178+H$3)-INDEX($B$5:$B$344,$A178-1)-1,"")))</f>
        <v/>
      </c>
      <c r="I178" s="11">
        <f>IF(OR($A178=1,$B178="",$A178+I$3&gt;340),"",IF(INDEX($B$5:$B$344,$A178+I$3)="","",IF(AND(YEAR($B178)=$B$2,YEAR(INDEX($B$5:$B$344,$A178+I$3-1))=$B$2),INDEX($B$5:$B$344,$A178+I$3)-INDEX($B$5:$B$344,$A178-1)-1,"")))</f>
        <v/>
      </c>
      <c r="J178" s="11">
        <f>IF(OR($A178=1,$B178="",$A178+J$3&gt;340),"",IF(INDEX($B$5:$B$344,$A178+J$3)="","",IF(AND(YEAR($B178)=$B$2,YEAR(INDEX($B$5:$B$344,$A178+J$3-1))=$B$2),INDEX($B$5:$B$344,$A178+J$3)-INDEX($B$5:$B$344,$A178-1)-1,"")))</f>
        <v/>
      </c>
      <c r="K178" s="11">
        <f>IF(OR($A178=1,$B178="",$A178+K$3&gt;340),"",IF(INDEX($B$5:$B$344,$A178+K$3)="","",IF(AND(YEAR($B178)=$B$2,YEAR(INDEX($B$5:$B$344,$A178+K$3-1))=$B$2),INDEX($B$5:$B$344,$A178+K$3)-INDEX($B$5:$B$344,$A178-1)-1,"")))</f>
        <v/>
      </c>
      <c r="L178" s="11">
        <f>IF(OR($A178=1,$B178="",$A178+L$3&gt;340),"",IF(INDEX($B$5:$B$344,$A178+L$3)="","",IF(AND(YEAR($B178)=$B$2,YEAR(INDEX($B$5:$B$344,$A178+L$3-1))=$B$2),INDEX($B$5:$B$344,$A178+L$3)-INDEX($B$5:$B$344,$A178-1)-1,"")))</f>
        <v/>
      </c>
      <c r="M178" s="11">
        <f>IF(OR($A178=1,$B178="",$A178+M$3&gt;340),"",IF(INDEX($B$5:$B$344,$A178+M$3)="","",IF(AND(YEAR($B178)=$B$2,YEAR(INDEX($B$5:$B$344,$A178+M$3-1))=$B$2),INDEX($B$5:$B$344,$A178+M$3)-INDEX($B$5:$B$344,$A178-1)-1,"")))</f>
        <v/>
      </c>
    </row>
    <row r="179">
      <c r="A179" s="11" t="n">
        <v>175</v>
      </c>
      <c r="B179" s="10">
        <f>IFERROR(INDEX('2_暦'!$A$7:$A$433,MATCH(A179,'2_暦'!$K$7:$K$433,0)),"")</f>
        <v/>
      </c>
      <c r="C179" s="11">
        <f>IF(OR($A179=1,$B179=""),"",IF(OR(YEAR($B179-1)=$B$2,YEAR(INDEX($B$5:$B$344,$A179-1)+1)=$B$2),$B179-INDEX($B$5:$B$344,$A179-1)-1,""))</f>
        <v/>
      </c>
      <c r="D179" s="11">
        <f>IF(OR($A179=1,$B179="",$A179+D$3&gt;340),"",IF(INDEX($B$5:$B$344,$A179+D$3)="","",IF(AND(YEAR($B179)=$B$2,YEAR(INDEX($B$5:$B$344,$A179+D$3-1))=$B$2),INDEX($B$5:$B$344,$A179+D$3)-INDEX($B$5:$B$344,$A179-1)-1,"")))</f>
        <v/>
      </c>
      <c r="E179" s="11">
        <f>IF(OR($A179=1,$B179="",$A179+E$3&gt;340),"",IF(INDEX($B$5:$B$344,$A179+E$3)="","",IF(AND(YEAR($B179)=$B$2,YEAR(INDEX($B$5:$B$344,$A179+E$3-1))=$B$2),INDEX($B$5:$B$344,$A179+E$3)-INDEX($B$5:$B$344,$A179-1)-1,"")))</f>
        <v/>
      </c>
      <c r="F179" s="11">
        <f>IF(OR($A179=1,$B179="",$A179+F$3&gt;340),"",IF(INDEX($B$5:$B$344,$A179+F$3)="","",IF(AND(YEAR($B179)=$B$2,YEAR(INDEX($B$5:$B$344,$A179+F$3-1))=$B$2),INDEX($B$5:$B$344,$A179+F$3)-INDEX($B$5:$B$344,$A179-1)-1,"")))</f>
        <v/>
      </c>
      <c r="G179" s="11">
        <f>IF(OR($A179=1,$B179="",$A179+G$3&gt;340),"",IF(INDEX($B$5:$B$344,$A179+G$3)="","",IF(AND(YEAR($B179)=$B$2,YEAR(INDEX($B$5:$B$344,$A179+G$3-1))=$B$2),INDEX($B$5:$B$344,$A179+G$3)-INDEX($B$5:$B$344,$A179-1)-1,"")))</f>
        <v/>
      </c>
      <c r="H179" s="11">
        <f>IF(OR($A179=1,$B179="",$A179+H$3&gt;340),"",IF(INDEX($B$5:$B$344,$A179+H$3)="","",IF(AND(YEAR($B179)=$B$2,YEAR(INDEX($B$5:$B$344,$A179+H$3-1))=$B$2),INDEX($B$5:$B$344,$A179+H$3)-INDEX($B$5:$B$344,$A179-1)-1,"")))</f>
        <v/>
      </c>
      <c r="I179" s="11">
        <f>IF(OR($A179=1,$B179="",$A179+I$3&gt;340),"",IF(INDEX($B$5:$B$344,$A179+I$3)="","",IF(AND(YEAR($B179)=$B$2,YEAR(INDEX($B$5:$B$344,$A179+I$3-1))=$B$2),INDEX($B$5:$B$344,$A179+I$3)-INDEX($B$5:$B$344,$A179-1)-1,"")))</f>
        <v/>
      </c>
      <c r="J179" s="11">
        <f>IF(OR($A179=1,$B179="",$A179+J$3&gt;340),"",IF(INDEX($B$5:$B$344,$A179+J$3)="","",IF(AND(YEAR($B179)=$B$2,YEAR(INDEX($B$5:$B$344,$A179+J$3-1))=$B$2),INDEX($B$5:$B$344,$A179+J$3)-INDEX($B$5:$B$344,$A179-1)-1,"")))</f>
        <v/>
      </c>
      <c r="K179" s="11">
        <f>IF(OR($A179=1,$B179="",$A179+K$3&gt;340),"",IF(INDEX($B$5:$B$344,$A179+K$3)="","",IF(AND(YEAR($B179)=$B$2,YEAR(INDEX($B$5:$B$344,$A179+K$3-1))=$B$2),INDEX($B$5:$B$344,$A179+K$3)-INDEX($B$5:$B$344,$A179-1)-1,"")))</f>
        <v/>
      </c>
      <c r="L179" s="11">
        <f>IF(OR($A179=1,$B179="",$A179+L$3&gt;340),"",IF(INDEX($B$5:$B$344,$A179+L$3)="","",IF(AND(YEAR($B179)=$B$2,YEAR(INDEX($B$5:$B$344,$A179+L$3-1))=$B$2),INDEX($B$5:$B$344,$A179+L$3)-INDEX($B$5:$B$344,$A179-1)-1,"")))</f>
        <v/>
      </c>
      <c r="M179" s="11">
        <f>IF(OR($A179=1,$B179="",$A179+M$3&gt;340),"",IF(INDEX($B$5:$B$344,$A179+M$3)="","",IF(AND(YEAR($B179)=$B$2,YEAR(INDEX($B$5:$B$344,$A179+M$3-1))=$B$2),INDEX($B$5:$B$344,$A179+M$3)-INDEX($B$5:$B$344,$A179-1)-1,"")))</f>
        <v/>
      </c>
    </row>
    <row r="180">
      <c r="A180" s="11" t="n">
        <v>176</v>
      </c>
      <c r="B180" s="10">
        <f>IFERROR(INDEX('2_暦'!$A$7:$A$433,MATCH(A180,'2_暦'!$K$7:$K$433,0)),"")</f>
        <v/>
      </c>
      <c r="C180" s="11">
        <f>IF(OR($A180=1,$B180=""),"",IF(OR(YEAR($B180-1)=$B$2,YEAR(INDEX($B$5:$B$344,$A180-1)+1)=$B$2),$B180-INDEX($B$5:$B$344,$A180-1)-1,""))</f>
        <v/>
      </c>
      <c r="D180" s="11">
        <f>IF(OR($A180=1,$B180="",$A180+D$3&gt;340),"",IF(INDEX($B$5:$B$344,$A180+D$3)="","",IF(AND(YEAR($B180)=$B$2,YEAR(INDEX($B$5:$B$344,$A180+D$3-1))=$B$2),INDEX($B$5:$B$344,$A180+D$3)-INDEX($B$5:$B$344,$A180-1)-1,"")))</f>
        <v/>
      </c>
      <c r="E180" s="11">
        <f>IF(OR($A180=1,$B180="",$A180+E$3&gt;340),"",IF(INDEX($B$5:$B$344,$A180+E$3)="","",IF(AND(YEAR($B180)=$B$2,YEAR(INDEX($B$5:$B$344,$A180+E$3-1))=$B$2),INDEX($B$5:$B$344,$A180+E$3)-INDEX($B$5:$B$344,$A180-1)-1,"")))</f>
        <v/>
      </c>
      <c r="F180" s="11">
        <f>IF(OR($A180=1,$B180="",$A180+F$3&gt;340),"",IF(INDEX($B$5:$B$344,$A180+F$3)="","",IF(AND(YEAR($B180)=$B$2,YEAR(INDEX($B$5:$B$344,$A180+F$3-1))=$B$2),INDEX($B$5:$B$344,$A180+F$3)-INDEX($B$5:$B$344,$A180-1)-1,"")))</f>
        <v/>
      </c>
      <c r="G180" s="11">
        <f>IF(OR($A180=1,$B180="",$A180+G$3&gt;340),"",IF(INDEX($B$5:$B$344,$A180+G$3)="","",IF(AND(YEAR($B180)=$B$2,YEAR(INDEX($B$5:$B$344,$A180+G$3-1))=$B$2),INDEX($B$5:$B$344,$A180+G$3)-INDEX($B$5:$B$344,$A180-1)-1,"")))</f>
        <v/>
      </c>
      <c r="H180" s="11">
        <f>IF(OR($A180=1,$B180="",$A180+H$3&gt;340),"",IF(INDEX($B$5:$B$344,$A180+H$3)="","",IF(AND(YEAR($B180)=$B$2,YEAR(INDEX($B$5:$B$344,$A180+H$3-1))=$B$2),INDEX($B$5:$B$344,$A180+H$3)-INDEX($B$5:$B$344,$A180-1)-1,"")))</f>
        <v/>
      </c>
      <c r="I180" s="11">
        <f>IF(OR($A180=1,$B180="",$A180+I$3&gt;340),"",IF(INDEX($B$5:$B$344,$A180+I$3)="","",IF(AND(YEAR($B180)=$B$2,YEAR(INDEX($B$5:$B$344,$A180+I$3-1))=$B$2),INDEX($B$5:$B$344,$A180+I$3)-INDEX($B$5:$B$344,$A180-1)-1,"")))</f>
        <v/>
      </c>
      <c r="J180" s="11">
        <f>IF(OR($A180=1,$B180="",$A180+J$3&gt;340),"",IF(INDEX($B$5:$B$344,$A180+J$3)="","",IF(AND(YEAR($B180)=$B$2,YEAR(INDEX($B$5:$B$344,$A180+J$3-1))=$B$2),INDEX($B$5:$B$344,$A180+J$3)-INDEX($B$5:$B$344,$A180-1)-1,"")))</f>
        <v/>
      </c>
      <c r="K180" s="11">
        <f>IF(OR($A180=1,$B180="",$A180+K$3&gt;340),"",IF(INDEX($B$5:$B$344,$A180+K$3)="","",IF(AND(YEAR($B180)=$B$2,YEAR(INDEX($B$5:$B$344,$A180+K$3-1))=$B$2),INDEX($B$5:$B$344,$A180+K$3)-INDEX($B$5:$B$344,$A180-1)-1,"")))</f>
        <v/>
      </c>
      <c r="L180" s="11">
        <f>IF(OR($A180=1,$B180="",$A180+L$3&gt;340),"",IF(INDEX($B$5:$B$344,$A180+L$3)="","",IF(AND(YEAR($B180)=$B$2,YEAR(INDEX($B$5:$B$344,$A180+L$3-1))=$B$2),INDEX($B$5:$B$344,$A180+L$3)-INDEX($B$5:$B$344,$A180-1)-1,"")))</f>
        <v/>
      </c>
      <c r="M180" s="11">
        <f>IF(OR($A180=1,$B180="",$A180+M$3&gt;340),"",IF(INDEX($B$5:$B$344,$A180+M$3)="","",IF(AND(YEAR($B180)=$B$2,YEAR(INDEX($B$5:$B$344,$A180+M$3-1))=$B$2),INDEX($B$5:$B$344,$A180+M$3)-INDEX($B$5:$B$344,$A180-1)-1,"")))</f>
        <v/>
      </c>
    </row>
    <row r="181">
      <c r="A181" s="11" t="n">
        <v>177</v>
      </c>
      <c r="B181" s="10">
        <f>IFERROR(INDEX('2_暦'!$A$7:$A$433,MATCH(A181,'2_暦'!$K$7:$K$433,0)),"")</f>
        <v/>
      </c>
      <c r="C181" s="11">
        <f>IF(OR($A181=1,$B181=""),"",IF(OR(YEAR($B181-1)=$B$2,YEAR(INDEX($B$5:$B$344,$A181-1)+1)=$B$2),$B181-INDEX($B$5:$B$344,$A181-1)-1,""))</f>
        <v/>
      </c>
      <c r="D181" s="11">
        <f>IF(OR($A181=1,$B181="",$A181+D$3&gt;340),"",IF(INDEX($B$5:$B$344,$A181+D$3)="","",IF(AND(YEAR($B181)=$B$2,YEAR(INDEX($B$5:$B$344,$A181+D$3-1))=$B$2),INDEX($B$5:$B$344,$A181+D$3)-INDEX($B$5:$B$344,$A181-1)-1,"")))</f>
        <v/>
      </c>
      <c r="E181" s="11">
        <f>IF(OR($A181=1,$B181="",$A181+E$3&gt;340),"",IF(INDEX($B$5:$B$344,$A181+E$3)="","",IF(AND(YEAR($B181)=$B$2,YEAR(INDEX($B$5:$B$344,$A181+E$3-1))=$B$2),INDEX($B$5:$B$344,$A181+E$3)-INDEX($B$5:$B$344,$A181-1)-1,"")))</f>
        <v/>
      </c>
      <c r="F181" s="11">
        <f>IF(OR($A181=1,$B181="",$A181+F$3&gt;340),"",IF(INDEX($B$5:$B$344,$A181+F$3)="","",IF(AND(YEAR($B181)=$B$2,YEAR(INDEX($B$5:$B$344,$A181+F$3-1))=$B$2),INDEX($B$5:$B$344,$A181+F$3)-INDEX($B$5:$B$344,$A181-1)-1,"")))</f>
        <v/>
      </c>
      <c r="G181" s="11">
        <f>IF(OR($A181=1,$B181="",$A181+G$3&gt;340),"",IF(INDEX($B$5:$B$344,$A181+G$3)="","",IF(AND(YEAR($B181)=$B$2,YEAR(INDEX($B$5:$B$344,$A181+G$3-1))=$B$2),INDEX($B$5:$B$344,$A181+G$3)-INDEX($B$5:$B$344,$A181-1)-1,"")))</f>
        <v/>
      </c>
      <c r="H181" s="11">
        <f>IF(OR($A181=1,$B181="",$A181+H$3&gt;340),"",IF(INDEX($B$5:$B$344,$A181+H$3)="","",IF(AND(YEAR($B181)=$B$2,YEAR(INDEX($B$5:$B$344,$A181+H$3-1))=$B$2),INDEX($B$5:$B$344,$A181+H$3)-INDEX($B$5:$B$344,$A181-1)-1,"")))</f>
        <v/>
      </c>
      <c r="I181" s="11">
        <f>IF(OR($A181=1,$B181="",$A181+I$3&gt;340),"",IF(INDEX($B$5:$B$344,$A181+I$3)="","",IF(AND(YEAR($B181)=$B$2,YEAR(INDEX($B$5:$B$344,$A181+I$3-1))=$B$2),INDEX($B$5:$B$344,$A181+I$3)-INDEX($B$5:$B$344,$A181-1)-1,"")))</f>
        <v/>
      </c>
      <c r="J181" s="11">
        <f>IF(OR($A181=1,$B181="",$A181+J$3&gt;340),"",IF(INDEX($B$5:$B$344,$A181+J$3)="","",IF(AND(YEAR($B181)=$B$2,YEAR(INDEX($B$5:$B$344,$A181+J$3-1))=$B$2),INDEX($B$5:$B$344,$A181+J$3)-INDEX($B$5:$B$344,$A181-1)-1,"")))</f>
        <v/>
      </c>
      <c r="K181" s="11">
        <f>IF(OR($A181=1,$B181="",$A181+K$3&gt;340),"",IF(INDEX($B$5:$B$344,$A181+K$3)="","",IF(AND(YEAR($B181)=$B$2,YEAR(INDEX($B$5:$B$344,$A181+K$3-1))=$B$2),INDEX($B$5:$B$344,$A181+K$3)-INDEX($B$5:$B$344,$A181-1)-1,"")))</f>
        <v/>
      </c>
      <c r="L181" s="11">
        <f>IF(OR($A181=1,$B181="",$A181+L$3&gt;340),"",IF(INDEX($B$5:$B$344,$A181+L$3)="","",IF(AND(YEAR($B181)=$B$2,YEAR(INDEX($B$5:$B$344,$A181+L$3-1))=$B$2),INDEX($B$5:$B$344,$A181+L$3)-INDEX($B$5:$B$344,$A181-1)-1,"")))</f>
        <v/>
      </c>
      <c r="M181" s="11">
        <f>IF(OR($A181=1,$B181="",$A181+M$3&gt;340),"",IF(INDEX($B$5:$B$344,$A181+M$3)="","",IF(AND(YEAR($B181)=$B$2,YEAR(INDEX($B$5:$B$344,$A181+M$3-1))=$B$2),INDEX($B$5:$B$344,$A181+M$3)-INDEX($B$5:$B$344,$A181-1)-1,"")))</f>
        <v/>
      </c>
    </row>
    <row r="182">
      <c r="A182" s="11" t="n">
        <v>178</v>
      </c>
      <c r="B182" s="10">
        <f>IFERROR(INDEX('2_暦'!$A$7:$A$433,MATCH(A182,'2_暦'!$K$7:$K$433,0)),"")</f>
        <v/>
      </c>
      <c r="C182" s="11">
        <f>IF(OR($A182=1,$B182=""),"",IF(OR(YEAR($B182-1)=$B$2,YEAR(INDEX($B$5:$B$344,$A182-1)+1)=$B$2),$B182-INDEX($B$5:$B$344,$A182-1)-1,""))</f>
        <v/>
      </c>
      <c r="D182" s="11">
        <f>IF(OR($A182=1,$B182="",$A182+D$3&gt;340),"",IF(INDEX($B$5:$B$344,$A182+D$3)="","",IF(AND(YEAR($B182)=$B$2,YEAR(INDEX($B$5:$B$344,$A182+D$3-1))=$B$2),INDEX($B$5:$B$344,$A182+D$3)-INDEX($B$5:$B$344,$A182-1)-1,"")))</f>
        <v/>
      </c>
      <c r="E182" s="11">
        <f>IF(OR($A182=1,$B182="",$A182+E$3&gt;340),"",IF(INDEX($B$5:$B$344,$A182+E$3)="","",IF(AND(YEAR($B182)=$B$2,YEAR(INDEX($B$5:$B$344,$A182+E$3-1))=$B$2),INDEX($B$5:$B$344,$A182+E$3)-INDEX($B$5:$B$344,$A182-1)-1,"")))</f>
        <v/>
      </c>
      <c r="F182" s="11">
        <f>IF(OR($A182=1,$B182="",$A182+F$3&gt;340),"",IF(INDEX($B$5:$B$344,$A182+F$3)="","",IF(AND(YEAR($B182)=$B$2,YEAR(INDEX($B$5:$B$344,$A182+F$3-1))=$B$2),INDEX($B$5:$B$344,$A182+F$3)-INDEX($B$5:$B$344,$A182-1)-1,"")))</f>
        <v/>
      </c>
      <c r="G182" s="11">
        <f>IF(OR($A182=1,$B182="",$A182+G$3&gt;340),"",IF(INDEX($B$5:$B$344,$A182+G$3)="","",IF(AND(YEAR($B182)=$B$2,YEAR(INDEX($B$5:$B$344,$A182+G$3-1))=$B$2),INDEX($B$5:$B$344,$A182+G$3)-INDEX($B$5:$B$344,$A182-1)-1,"")))</f>
        <v/>
      </c>
      <c r="H182" s="11">
        <f>IF(OR($A182=1,$B182="",$A182+H$3&gt;340),"",IF(INDEX($B$5:$B$344,$A182+H$3)="","",IF(AND(YEAR($B182)=$B$2,YEAR(INDEX($B$5:$B$344,$A182+H$3-1))=$B$2),INDEX($B$5:$B$344,$A182+H$3)-INDEX($B$5:$B$344,$A182-1)-1,"")))</f>
        <v/>
      </c>
      <c r="I182" s="11">
        <f>IF(OR($A182=1,$B182="",$A182+I$3&gt;340),"",IF(INDEX($B$5:$B$344,$A182+I$3)="","",IF(AND(YEAR($B182)=$B$2,YEAR(INDEX($B$5:$B$344,$A182+I$3-1))=$B$2),INDEX($B$5:$B$344,$A182+I$3)-INDEX($B$5:$B$344,$A182-1)-1,"")))</f>
        <v/>
      </c>
      <c r="J182" s="11">
        <f>IF(OR($A182=1,$B182="",$A182+J$3&gt;340),"",IF(INDEX($B$5:$B$344,$A182+J$3)="","",IF(AND(YEAR($B182)=$B$2,YEAR(INDEX($B$5:$B$344,$A182+J$3-1))=$B$2),INDEX($B$5:$B$344,$A182+J$3)-INDEX($B$5:$B$344,$A182-1)-1,"")))</f>
        <v/>
      </c>
      <c r="K182" s="11">
        <f>IF(OR($A182=1,$B182="",$A182+K$3&gt;340),"",IF(INDEX($B$5:$B$344,$A182+K$3)="","",IF(AND(YEAR($B182)=$B$2,YEAR(INDEX($B$5:$B$344,$A182+K$3-1))=$B$2),INDEX($B$5:$B$344,$A182+K$3)-INDEX($B$5:$B$344,$A182-1)-1,"")))</f>
        <v/>
      </c>
      <c r="L182" s="11">
        <f>IF(OR($A182=1,$B182="",$A182+L$3&gt;340),"",IF(INDEX($B$5:$B$344,$A182+L$3)="","",IF(AND(YEAR($B182)=$B$2,YEAR(INDEX($B$5:$B$344,$A182+L$3-1))=$B$2),INDEX($B$5:$B$344,$A182+L$3)-INDEX($B$5:$B$344,$A182-1)-1,"")))</f>
        <v/>
      </c>
      <c r="M182" s="11">
        <f>IF(OR($A182=1,$B182="",$A182+M$3&gt;340),"",IF(INDEX($B$5:$B$344,$A182+M$3)="","",IF(AND(YEAR($B182)=$B$2,YEAR(INDEX($B$5:$B$344,$A182+M$3-1))=$B$2),INDEX($B$5:$B$344,$A182+M$3)-INDEX($B$5:$B$344,$A182-1)-1,"")))</f>
        <v/>
      </c>
    </row>
    <row r="183">
      <c r="A183" s="11" t="n">
        <v>179</v>
      </c>
      <c r="B183" s="10">
        <f>IFERROR(INDEX('2_暦'!$A$7:$A$433,MATCH(A183,'2_暦'!$K$7:$K$433,0)),"")</f>
        <v/>
      </c>
      <c r="C183" s="11">
        <f>IF(OR($A183=1,$B183=""),"",IF(OR(YEAR($B183-1)=$B$2,YEAR(INDEX($B$5:$B$344,$A183-1)+1)=$B$2),$B183-INDEX($B$5:$B$344,$A183-1)-1,""))</f>
        <v/>
      </c>
      <c r="D183" s="11">
        <f>IF(OR($A183=1,$B183="",$A183+D$3&gt;340),"",IF(INDEX($B$5:$B$344,$A183+D$3)="","",IF(AND(YEAR($B183)=$B$2,YEAR(INDEX($B$5:$B$344,$A183+D$3-1))=$B$2),INDEX($B$5:$B$344,$A183+D$3)-INDEX($B$5:$B$344,$A183-1)-1,"")))</f>
        <v/>
      </c>
      <c r="E183" s="11">
        <f>IF(OR($A183=1,$B183="",$A183+E$3&gt;340),"",IF(INDEX($B$5:$B$344,$A183+E$3)="","",IF(AND(YEAR($B183)=$B$2,YEAR(INDEX($B$5:$B$344,$A183+E$3-1))=$B$2),INDEX($B$5:$B$344,$A183+E$3)-INDEX($B$5:$B$344,$A183-1)-1,"")))</f>
        <v/>
      </c>
      <c r="F183" s="11">
        <f>IF(OR($A183=1,$B183="",$A183+F$3&gt;340),"",IF(INDEX($B$5:$B$344,$A183+F$3)="","",IF(AND(YEAR($B183)=$B$2,YEAR(INDEX($B$5:$B$344,$A183+F$3-1))=$B$2),INDEX($B$5:$B$344,$A183+F$3)-INDEX($B$5:$B$344,$A183-1)-1,"")))</f>
        <v/>
      </c>
      <c r="G183" s="11">
        <f>IF(OR($A183=1,$B183="",$A183+G$3&gt;340),"",IF(INDEX($B$5:$B$344,$A183+G$3)="","",IF(AND(YEAR($B183)=$B$2,YEAR(INDEX($B$5:$B$344,$A183+G$3-1))=$B$2),INDEX($B$5:$B$344,$A183+G$3)-INDEX($B$5:$B$344,$A183-1)-1,"")))</f>
        <v/>
      </c>
      <c r="H183" s="11">
        <f>IF(OR($A183=1,$B183="",$A183+H$3&gt;340),"",IF(INDEX($B$5:$B$344,$A183+H$3)="","",IF(AND(YEAR($B183)=$B$2,YEAR(INDEX($B$5:$B$344,$A183+H$3-1))=$B$2),INDEX($B$5:$B$344,$A183+H$3)-INDEX($B$5:$B$344,$A183-1)-1,"")))</f>
        <v/>
      </c>
      <c r="I183" s="11">
        <f>IF(OR($A183=1,$B183="",$A183+I$3&gt;340),"",IF(INDEX($B$5:$B$344,$A183+I$3)="","",IF(AND(YEAR($B183)=$B$2,YEAR(INDEX($B$5:$B$344,$A183+I$3-1))=$B$2),INDEX($B$5:$B$344,$A183+I$3)-INDEX($B$5:$B$344,$A183-1)-1,"")))</f>
        <v/>
      </c>
      <c r="J183" s="11">
        <f>IF(OR($A183=1,$B183="",$A183+J$3&gt;340),"",IF(INDEX($B$5:$B$344,$A183+J$3)="","",IF(AND(YEAR($B183)=$B$2,YEAR(INDEX($B$5:$B$344,$A183+J$3-1))=$B$2),INDEX($B$5:$B$344,$A183+J$3)-INDEX($B$5:$B$344,$A183-1)-1,"")))</f>
        <v/>
      </c>
      <c r="K183" s="11">
        <f>IF(OR($A183=1,$B183="",$A183+K$3&gt;340),"",IF(INDEX($B$5:$B$344,$A183+K$3)="","",IF(AND(YEAR($B183)=$B$2,YEAR(INDEX($B$5:$B$344,$A183+K$3-1))=$B$2),INDEX($B$5:$B$344,$A183+K$3)-INDEX($B$5:$B$344,$A183-1)-1,"")))</f>
        <v/>
      </c>
      <c r="L183" s="11">
        <f>IF(OR($A183=1,$B183="",$A183+L$3&gt;340),"",IF(INDEX($B$5:$B$344,$A183+L$3)="","",IF(AND(YEAR($B183)=$B$2,YEAR(INDEX($B$5:$B$344,$A183+L$3-1))=$B$2),INDEX($B$5:$B$344,$A183+L$3)-INDEX($B$5:$B$344,$A183-1)-1,"")))</f>
        <v/>
      </c>
      <c r="M183" s="11">
        <f>IF(OR($A183=1,$B183="",$A183+M$3&gt;340),"",IF(INDEX($B$5:$B$344,$A183+M$3)="","",IF(AND(YEAR($B183)=$B$2,YEAR(INDEX($B$5:$B$344,$A183+M$3-1))=$B$2),INDEX($B$5:$B$344,$A183+M$3)-INDEX($B$5:$B$344,$A183-1)-1,"")))</f>
        <v/>
      </c>
    </row>
    <row r="184">
      <c r="A184" s="11" t="n">
        <v>180</v>
      </c>
      <c r="B184" s="10">
        <f>IFERROR(INDEX('2_暦'!$A$7:$A$433,MATCH(A184,'2_暦'!$K$7:$K$433,0)),"")</f>
        <v/>
      </c>
      <c r="C184" s="11">
        <f>IF(OR($A184=1,$B184=""),"",IF(OR(YEAR($B184-1)=$B$2,YEAR(INDEX($B$5:$B$344,$A184-1)+1)=$B$2),$B184-INDEX($B$5:$B$344,$A184-1)-1,""))</f>
        <v/>
      </c>
      <c r="D184" s="11">
        <f>IF(OR($A184=1,$B184="",$A184+D$3&gt;340),"",IF(INDEX($B$5:$B$344,$A184+D$3)="","",IF(AND(YEAR($B184)=$B$2,YEAR(INDEX($B$5:$B$344,$A184+D$3-1))=$B$2),INDEX($B$5:$B$344,$A184+D$3)-INDEX($B$5:$B$344,$A184-1)-1,"")))</f>
        <v/>
      </c>
      <c r="E184" s="11">
        <f>IF(OR($A184=1,$B184="",$A184+E$3&gt;340),"",IF(INDEX($B$5:$B$344,$A184+E$3)="","",IF(AND(YEAR($B184)=$B$2,YEAR(INDEX($B$5:$B$344,$A184+E$3-1))=$B$2),INDEX($B$5:$B$344,$A184+E$3)-INDEX($B$5:$B$344,$A184-1)-1,"")))</f>
        <v/>
      </c>
      <c r="F184" s="11">
        <f>IF(OR($A184=1,$B184="",$A184+F$3&gt;340),"",IF(INDEX($B$5:$B$344,$A184+F$3)="","",IF(AND(YEAR($B184)=$B$2,YEAR(INDEX($B$5:$B$344,$A184+F$3-1))=$B$2),INDEX($B$5:$B$344,$A184+F$3)-INDEX($B$5:$B$344,$A184-1)-1,"")))</f>
        <v/>
      </c>
      <c r="G184" s="11">
        <f>IF(OR($A184=1,$B184="",$A184+G$3&gt;340),"",IF(INDEX($B$5:$B$344,$A184+G$3)="","",IF(AND(YEAR($B184)=$B$2,YEAR(INDEX($B$5:$B$344,$A184+G$3-1))=$B$2),INDEX($B$5:$B$344,$A184+G$3)-INDEX($B$5:$B$344,$A184-1)-1,"")))</f>
        <v/>
      </c>
      <c r="H184" s="11">
        <f>IF(OR($A184=1,$B184="",$A184+H$3&gt;340),"",IF(INDEX($B$5:$B$344,$A184+H$3)="","",IF(AND(YEAR($B184)=$B$2,YEAR(INDEX($B$5:$B$344,$A184+H$3-1))=$B$2),INDEX($B$5:$B$344,$A184+H$3)-INDEX($B$5:$B$344,$A184-1)-1,"")))</f>
        <v/>
      </c>
      <c r="I184" s="11">
        <f>IF(OR($A184=1,$B184="",$A184+I$3&gt;340),"",IF(INDEX($B$5:$B$344,$A184+I$3)="","",IF(AND(YEAR($B184)=$B$2,YEAR(INDEX($B$5:$B$344,$A184+I$3-1))=$B$2),INDEX($B$5:$B$344,$A184+I$3)-INDEX($B$5:$B$344,$A184-1)-1,"")))</f>
        <v/>
      </c>
      <c r="J184" s="11">
        <f>IF(OR($A184=1,$B184="",$A184+J$3&gt;340),"",IF(INDEX($B$5:$B$344,$A184+J$3)="","",IF(AND(YEAR($B184)=$B$2,YEAR(INDEX($B$5:$B$344,$A184+J$3-1))=$B$2),INDEX($B$5:$B$344,$A184+J$3)-INDEX($B$5:$B$344,$A184-1)-1,"")))</f>
        <v/>
      </c>
      <c r="K184" s="11">
        <f>IF(OR($A184=1,$B184="",$A184+K$3&gt;340),"",IF(INDEX($B$5:$B$344,$A184+K$3)="","",IF(AND(YEAR($B184)=$B$2,YEAR(INDEX($B$5:$B$344,$A184+K$3-1))=$B$2),INDEX($B$5:$B$344,$A184+K$3)-INDEX($B$5:$B$344,$A184-1)-1,"")))</f>
        <v/>
      </c>
      <c r="L184" s="11">
        <f>IF(OR($A184=1,$B184="",$A184+L$3&gt;340),"",IF(INDEX($B$5:$B$344,$A184+L$3)="","",IF(AND(YEAR($B184)=$B$2,YEAR(INDEX($B$5:$B$344,$A184+L$3-1))=$B$2),INDEX($B$5:$B$344,$A184+L$3)-INDEX($B$5:$B$344,$A184-1)-1,"")))</f>
        <v/>
      </c>
      <c r="M184" s="11">
        <f>IF(OR($A184=1,$B184="",$A184+M$3&gt;340),"",IF(INDEX($B$5:$B$344,$A184+M$3)="","",IF(AND(YEAR($B184)=$B$2,YEAR(INDEX($B$5:$B$344,$A184+M$3-1))=$B$2),INDEX($B$5:$B$344,$A184+M$3)-INDEX($B$5:$B$344,$A184-1)-1,"")))</f>
        <v/>
      </c>
    </row>
    <row r="185">
      <c r="A185" s="11" t="n">
        <v>181</v>
      </c>
      <c r="B185" s="10">
        <f>IFERROR(INDEX('2_暦'!$A$7:$A$433,MATCH(A185,'2_暦'!$K$7:$K$433,0)),"")</f>
        <v/>
      </c>
      <c r="C185" s="11">
        <f>IF(OR($A185=1,$B185=""),"",IF(OR(YEAR($B185-1)=$B$2,YEAR(INDEX($B$5:$B$344,$A185-1)+1)=$B$2),$B185-INDEX($B$5:$B$344,$A185-1)-1,""))</f>
        <v/>
      </c>
      <c r="D185" s="11">
        <f>IF(OR($A185=1,$B185="",$A185+D$3&gt;340),"",IF(INDEX($B$5:$B$344,$A185+D$3)="","",IF(AND(YEAR($B185)=$B$2,YEAR(INDEX($B$5:$B$344,$A185+D$3-1))=$B$2),INDEX($B$5:$B$344,$A185+D$3)-INDEX($B$5:$B$344,$A185-1)-1,"")))</f>
        <v/>
      </c>
      <c r="E185" s="11">
        <f>IF(OR($A185=1,$B185="",$A185+E$3&gt;340),"",IF(INDEX($B$5:$B$344,$A185+E$3)="","",IF(AND(YEAR($B185)=$B$2,YEAR(INDEX($B$5:$B$344,$A185+E$3-1))=$B$2),INDEX($B$5:$B$344,$A185+E$3)-INDEX($B$5:$B$344,$A185-1)-1,"")))</f>
        <v/>
      </c>
      <c r="F185" s="11">
        <f>IF(OR($A185=1,$B185="",$A185+F$3&gt;340),"",IF(INDEX($B$5:$B$344,$A185+F$3)="","",IF(AND(YEAR($B185)=$B$2,YEAR(INDEX($B$5:$B$344,$A185+F$3-1))=$B$2),INDEX($B$5:$B$344,$A185+F$3)-INDEX($B$5:$B$344,$A185-1)-1,"")))</f>
        <v/>
      </c>
      <c r="G185" s="11">
        <f>IF(OR($A185=1,$B185="",$A185+G$3&gt;340),"",IF(INDEX($B$5:$B$344,$A185+G$3)="","",IF(AND(YEAR($B185)=$B$2,YEAR(INDEX($B$5:$B$344,$A185+G$3-1))=$B$2),INDEX($B$5:$B$344,$A185+G$3)-INDEX($B$5:$B$344,$A185-1)-1,"")))</f>
        <v/>
      </c>
      <c r="H185" s="11">
        <f>IF(OR($A185=1,$B185="",$A185+H$3&gt;340),"",IF(INDEX($B$5:$B$344,$A185+H$3)="","",IF(AND(YEAR($B185)=$B$2,YEAR(INDEX($B$5:$B$344,$A185+H$3-1))=$B$2),INDEX($B$5:$B$344,$A185+H$3)-INDEX($B$5:$B$344,$A185-1)-1,"")))</f>
        <v/>
      </c>
      <c r="I185" s="11">
        <f>IF(OR($A185=1,$B185="",$A185+I$3&gt;340),"",IF(INDEX($B$5:$B$344,$A185+I$3)="","",IF(AND(YEAR($B185)=$B$2,YEAR(INDEX($B$5:$B$344,$A185+I$3-1))=$B$2),INDEX($B$5:$B$344,$A185+I$3)-INDEX($B$5:$B$344,$A185-1)-1,"")))</f>
        <v/>
      </c>
      <c r="J185" s="11">
        <f>IF(OR($A185=1,$B185="",$A185+J$3&gt;340),"",IF(INDEX($B$5:$B$344,$A185+J$3)="","",IF(AND(YEAR($B185)=$B$2,YEAR(INDEX($B$5:$B$344,$A185+J$3-1))=$B$2),INDEX($B$5:$B$344,$A185+J$3)-INDEX($B$5:$B$344,$A185-1)-1,"")))</f>
        <v/>
      </c>
      <c r="K185" s="11">
        <f>IF(OR($A185=1,$B185="",$A185+K$3&gt;340),"",IF(INDEX($B$5:$B$344,$A185+K$3)="","",IF(AND(YEAR($B185)=$B$2,YEAR(INDEX($B$5:$B$344,$A185+K$3-1))=$B$2),INDEX($B$5:$B$344,$A185+K$3)-INDEX($B$5:$B$344,$A185-1)-1,"")))</f>
        <v/>
      </c>
      <c r="L185" s="11">
        <f>IF(OR($A185=1,$B185="",$A185+L$3&gt;340),"",IF(INDEX($B$5:$B$344,$A185+L$3)="","",IF(AND(YEAR($B185)=$B$2,YEAR(INDEX($B$5:$B$344,$A185+L$3-1))=$B$2),INDEX($B$5:$B$344,$A185+L$3)-INDEX($B$5:$B$344,$A185-1)-1,"")))</f>
        <v/>
      </c>
      <c r="M185" s="11">
        <f>IF(OR($A185=1,$B185="",$A185+M$3&gt;340),"",IF(INDEX($B$5:$B$344,$A185+M$3)="","",IF(AND(YEAR($B185)=$B$2,YEAR(INDEX($B$5:$B$344,$A185+M$3-1))=$B$2),INDEX($B$5:$B$344,$A185+M$3)-INDEX($B$5:$B$344,$A185-1)-1,"")))</f>
        <v/>
      </c>
    </row>
    <row r="186">
      <c r="A186" s="11" t="n">
        <v>182</v>
      </c>
      <c r="B186" s="10">
        <f>IFERROR(INDEX('2_暦'!$A$7:$A$433,MATCH(A186,'2_暦'!$K$7:$K$433,0)),"")</f>
        <v/>
      </c>
      <c r="C186" s="11">
        <f>IF(OR($A186=1,$B186=""),"",IF(OR(YEAR($B186-1)=$B$2,YEAR(INDEX($B$5:$B$344,$A186-1)+1)=$B$2),$B186-INDEX($B$5:$B$344,$A186-1)-1,""))</f>
        <v/>
      </c>
      <c r="D186" s="11">
        <f>IF(OR($A186=1,$B186="",$A186+D$3&gt;340),"",IF(INDEX($B$5:$B$344,$A186+D$3)="","",IF(AND(YEAR($B186)=$B$2,YEAR(INDEX($B$5:$B$344,$A186+D$3-1))=$B$2),INDEX($B$5:$B$344,$A186+D$3)-INDEX($B$5:$B$344,$A186-1)-1,"")))</f>
        <v/>
      </c>
      <c r="E186" s="11">
        <f>IF(OR($A186=1,$B186="",$A186+E$3&gt;340),"",IF(INDEX($B$5:$B$344,$A186+E$3)="","",IF(AND(YEAR($B186)=$B$2,YEAR(INDEX($B$5:$B$344,$A186+E$3-1))=$B$2),INDEX($B$5:$B$344,$A186+E$3)-INDEX($B$5:$B$344,$A186-1)-1,"")))</f>
        <v/>
      </c>
      <c r="F186" s="11">
        <f>IF(OR($A186=1,$B186="",$A186+F$3&gt;340),"",IF(INDEX($B$5:$B$344,$A186+F$3)="","",IF(AND(YEAR($B186)=$B$2,YEAR(INDEX($B$5:$B$344,$A186+F$3-1))=$B$2),INDEX($B$5:$B$344,$A186+F$3)-INDEX($B$5:$B$344,$A186-1)-1,"")))</f>
        <v/>
      </c>
      <c r="G186" s="11">
        <f>IF(OR($A186=1,$B186="",$A186+G$3&gt;340),"",IF(INDEX($B$5:$B$344,$A186+G$3)="","",IF(AND(YEAR($B186)=$B$2,YEAR(INDEX($B$5:$B$344,$A186+G$3-1))=$B$2),INDEX($B$5:$B$344,$A186+G$3)-INDEX($B$5:$B$344,$A186-1)-1,"")))</f>
        <v/>
      </c>
      <c r="H186" s="11">
        <f>IF(OR($A186=1,$B186="",$A186+H$3&gt;340),"",IF(INDEX($B$5:$B$344,$A186+H$3)="","",IF(AND(YEAR($B186)=$B$2,YEAR(INDEX($B$5:$B$344,$A186+H$3-1))=$B$2),INDEX($B$5:$B$344,$A186+H$3)-INDEX($B$5:$B$344,$A186-1)-1,"")))</f>
        <v/>
      </c>
      <c r="I186" s="11">
        <f>IF(OR($A186=1,$B186="",$A186+I$3&gt;340),"",IF(INDEX($B$5:$B$344,$A186+I$3)="","",IF(AND(YEAR($B186)=$B$2,YEAR(INDEX($B$5:$B$344,$A186+I$3-1))=$B$2),INDEX($B$5:$B$344,$A186+I$3)-INDEX($B$5:$B$344,$A186-1)-1,"")))</f>
        <v/>
      </c>
      <c r="J186" s="11">
        <f>IF(OR($A186=1,$B186="",$A186+J$3&gt;340),"",IF(INDEX($B$5:$B$344,$A186+J$3)="","",IF(AND(YEAR($B186)=$B$2,YEAR(INDEX($B$5:$B$344,$A186+J$3-1))=$B$2),INDEX($B$5:$B$344,$A186+J$3)-INDEX($B$5:$B$344,$A186-1)-1,"")))</f>
        <v/>
      </c>
      <c r="K186" s="11">
        <f>IF(OR($A186=1,$B186="",$A186+K$3&gt;340),"",IF(INDEX($B$5:$B$344,$A186+K$3)="","",IF(AND(YEAR($B186)=$B$2,YEAR(INDEX($B$5:$B$344,$A186+K$3-1))=$B$2),INDEX($B$5:$B$344,$A186+K$3)-INDEX($B$5:$B$344,$A186-1)-1,"")))</f>
        <v/>
      </c>
      <c r="L186" s="11">
        <f>IF(OR($A186=1,$B186="",$A186+L$3&gt;340),"",IF(INDEX($B$5:$B$344,$A186+L$3)="","",IF(AND(YEAR($B186)=$B$2,YEAR(INDEX($B$5:$B$344,$A186+L$3-1))=$B$2),INDEX($B$5:$B$344,$A186+L$3)-INDEX($B$5:$B$344,$A186-1)-1,"")))</f>
        <v/>
      </c>
      <c r="M186" s="11">
        <f>IF(OR($A186=1,$B186="",$A186+M$3&gt;340),"",IF(INDEX($B$5:$B$344,$A186+M$3)="","",IF(AND(YEAR($B186)=$B$2,YEAR(INDEX($B$5:$B$344,$A186+M$3-1))=$B$2),INDEX($B$5:$B$344,$A186+M$3)-INDEX($B$5:$B$344,$A186-1)-1,"")))</f>
        <v/>
      </c>
    </row>
    <row r="187">
      <c r="A187" s="11" t="n">
        <v>183</v>
      </c>
      <c r="B187" s="10">
        <f>IFERROR(INDEX('2_暦'!$A$7:$A$433,MATCH(A187,'2_暦'!$K$7:$K$433,0)),"")</f>
        <v/>
      </c>
      <c r="C187" s="11">
        <f>IF(OR($A187=1,$B187=""),"",IF(OR(YEAR($B187-1)=$B$2,YEAR(INDEX($B$5:$B$344,$A187-1)+1)=$B$2),$B187-INDEX($B$5:$B$344,$A187-1)-1,""))</f>
        <v/>
      </c>
      <c r="D187" s="11">
        <f>IF(OR($A187=1,$B187="",$A187+D$3&gt;340),"",IF(INDEX($B$5:$B$344,$A187+D$3)="","",IF(AND(YEAR($B187)=$B$2,YEAR(INDEX($B$5:$B$344,$A187+D$3-1))=$B$2),INDEX($B$5:$B$344,$A187+D$3)-INDEX($B$5:$B$344,$A187-1)-1,"")))</f>
        <v/>
      </c>
      <c r="E187" s="11">
        <f>IF(OR($A187=1,$B187="",$A187+E$3&gt;340),"",IF(INDEX($B$5:$B$344,$A187+E$3)="","",IF(AND(YEAR($B187)=$B$2,YEAR(INDEX($B$5:$B$344,$A187+E$3-1))=$B$2),INDEX($B$5:$B$344,$A187+E$3)-INDEX($B$5:$B$344,$A187-1)-1,"")))</f>
        <v/>
      </c>
      <c r="F187" s="11">
        <f>IF(OR($A187=1,$B187="",$A187+F$3&gt;340),"",IF(INDEX($B$5:$B$344,$A187+F$3)="","",IF(AND(YEAR($B187)=$B$2,YEAR(INDEX($B$5:$B$344,$A187+F$3-1))=$B$2),INDEX($B$5:$B$344,$A187+F$3)-INDEX($B$5:$B$344,$A187-1)-1,"")))</f>
        <v/>
      </c>
      <c r="G187" s="11">
        <f>IF(OR($A187=1,$B187="",$A187+G$3&gt;340),"",IF(INDEX($B$5:$B$344,$A187+G$3)="","",IF(AND(YEAR($B187)=$B$2,YEAR(INDEX($B$5:$B$344,$A187+G$3-1))=$B$2),INDEX($B$5:$B$344,$A187+G$3)-INDEX($B$5:$B$344,$A187-1)-1,"")))</f>
        <v/>
      </c>
      <c r="H187" s="11">
        <f>IF(OR($A187=1,$B187="",$A187+H$3&gt;340),"",IF(INDEX($B$5:$B$344,$A187+H$3)="","",IF(AND(YEAR($B187)=$B$2,YEAR(INDEX($B$5:$B$344,$A187+H$3-1))=$B$2),INDEX($B$5:$B$344,$A187+H$3)-INDEX($B$5:$B$344,$A187-1)-1,"")))</f>
        <v/>
      </c>
      <c r="I187" s="11">
        <f>IF(OR($A187=1,$B187="",$A187+I$3&gt;340),"",IF(INDEX($B$5:$B$344,$A187+I$3)="","",IF(AND(YEAR($B187)=$B$2,YEAR(INDEX($B$5:$B$344,$A187+I$3-1))=$B$2),INDEX($B$5:$B$344,$A187+I$3)-INDEX($B$5:$B$344,$A187-1)-1,"")))</f>
        <v/>
      </c>
      <c r="J187" s="11">
        <f>IF(OR($A187=1,$B187="",$A187+J$3&gt;340),"",IF(INDEX($B$5:$B$344,$A187+J$3)="","",IF(AND(YEAR($B187)=$B$2,YEAR(INDEX($B$5:$B$344,$A187+J$3-1))=$B$2),INDEX($B$5:$B$344,$A187+J$3)-INDEX($B$5:$B$344,$A187-1)-1,"")))</f>
        <v/>
      </c>
      <c r="K187" s="11">
        <f>IF(OR($A187=1,$B187="",$A187+K$3&gt;340),"",IF(INDEX($B$5:$B$344,$A187+K$3)="","",IF(AND(YEAR($B187)=$B$2,YEAR(INDEX($B$5:$B$344,$A187+K$3-1))=$B$2),INDEX($B$5:$B$344,$A187+K$3)-INDEX($B$5:$B$344,$A187-1)-1,"")))</f>
        <v/>
      </c>
      <c r="L187" s="11">
        <f>IF(OR($A187=1,$B187="",$A187+L$3&gt;340),"",IF(INDEX($B$5:$B$344,$A187+L$3)="","",IF(AND(YEAR($B187)=$B$2,YEAR(INDEX($B$5:$B$344,$A187+L$3-1))=$B$2),INDEX($B$5:$B$344,$A187+L$3)-INDEX($B$5:$B$344,$A187-1)-1,"")))</f>
        <v/>
      </c>
      <c r="M187" s="11">
        <f>IF(OR($A187=1,$B187="",$A187+M$3&gt;340),"",IF(INDEX($B$5:$B$344,$A187+M$3)="","",IF(AND(YEAR($B187)=$B$2,YEAR(INDEX($B$5:$B$344,$A187+M$3-1))=$B$2),INDEX($B$5:$B$344,$A187+M$3)-INDEX($B$5:$B$344,$A187-1)-1,"")))</f>
        <v/>
      </c>
    </row>
    <row r="188">
      <c r="A188" s="11" t="n">
        <v>184</v>
      </c>
      <c r="B188" s="10">
        <f>IFERROR(INDEX('2_暦'!$A$7:$A$433,MATCH(A188,'2_暦'!$K$7:$K$433,0)),"")</f>
        <v/>
      </c>
      <c r="C188" s="11">
        <f>IF(OR($A188=1,$B188=""),"",IF(OR(YEAR($B188-1)=$B$2,YEAR(INDEX($B$5:$B$344,$A188-1)+1)=$B$2),$B188-INDEX($B$5:$B$344,$A188-1)-1,""))</f>
        <v/>
      </c>
      <c r="D188" s="11">
        <f>IF(OR($A188=1,$B188="",$A188+D$3&gt;340),"",IF(INDEX($B$5:$B$344,$A188+D$3)="","",IF(AND(YEAR($B188)=$B$2,YEAR(INDEX($B$5:$B$344,$A188+D$3-1))=$B$2),INDEX($B$5:$B$344,$A188+D$3)-INDEX($B$5:$B$344,$A188-1)-1,"")))</f>
        <v/>
      </c>
      <c r="E188" s="11">
        <f>IF(OR($A188=1,$B188="",$A188+E$3&gt;340),"",IF(INDEX($B$5:$B$344,$A188+E$3)="","",IF(AND(YEAR($B188)=$B$2,YEAR(INDEX($B$5:$B$344,$A188+E$3-1))=$B$2),INDEX($B$5:$B$344,$A188+E$3)-INDEX($B$5:$B$344,$A188-1)-1,"")))</f>
        <v/>
      </c>
      <c r="F188" s="11">
        <f>IF(OR($A188=1,$B188="",$A188+F$3&gt;340),"",IF(INDEX($B$5:$B$344,$A188+F$3)="","",IF(AND(YEAR($B188)=$B$2,YEAR(INDEX($B$5:$B$344,$A188+F$3-1))=$B$2),INDEX($B$5:$B$344,$A188+F$3)-INDEX($B$5:$B$344,$A188-1)-1,"")))</f>
        <v/>
      </c>
      <c r="G188" s="11">
        <f>IF(OR($A188=1,$B188="",$A188+G$3&gt;340),"",IF(INDEX($B$5:$B$344,$A188+G$3)="","",IF(AND(YEAR($B188)=$B$2,YEAR(INDEX($B$5:$B$344,$A188+G$3-1))=$B$2),INDEX($B$5:$B$344,$A188+G$3)-INDEX($B$5:$B$344,$A188-1)-1,"")))</f>
        <v/>
      </c>
      <c r="H188" s="11">
        <f>IF(OR($A188=1,$B188="",$A188+H$3&gt;340),"",IF(INDEX($B$5:$B$344,$A188+H$3)="","",IF(AND(YEAR($B188)=$B$2,YEAR(INDEX($B$5:$B$344,$A188+H$3-1))=$B$2),INDEX($B$5:$B$344,$A188+H$3)-INDEX($B$5:$B$344,$A188-1)-1,"")))</f>
        <v/>
      </c>
      <c r="I188" s="11">
        <f>IF(OR($A188=1,$B188="",$A188+I$3&gt;340),"",IF(INDEX($B$5:$B$344,$A188+I$3)="","",IF(AND(YEAR($B188)=$B$2,YEAR(INDEX($B$5:$B$344,$A188+I$3-1))=$B$2),INDEX($B$5:$B$344,$A188+I$3)-INDEX($B$5:$B$344,$A188-1)-1,"")))</f>
        <v/>
      </c>
      <c r="J188" s="11">
        <f>IF(OR($A188=1,$B188="",$A188+J$3&gt;340),"",IF(INDEX($B$5:$B$344,$A188+J$3)="","",IF(AND(YEAR($B188)=$B$2,YEAR(INDEX($B$5:$B$344,$A188+J$3-1))=$B$2),INDEX($B$5:$B$344,$A188+J$3)-INDEX($B$5:$B$344,$A188-1)-1,"")))</f>
        <v/>
      </c>
      <c r="K188" s="11">
        <f>IF(OR($A188=1,$B188="",$A188+K$3&gt;340),"",IF(INDEX($B$5:$B$344,$A188+K$3)="","",IF(AND(YEAR($B188)=$B$2,YEAR(INDEX($B$5:$B$344,$A188+K$3-1))=$B$2),INDEX($B$5:$B$344,$A188+K$3)-INDEX($B$5:$B$344,$A188-1)-1,"")))</f>
        <v/>
      </c>
      <c r="L188" s="11">
        <f>IF(OR($A188=1,$B188="",$A188+L$3&gt;340),"",IF(INDEX($B$5:$B$344,$A188+L$3)="","",IF(AND(YEAR($B188)=$B$2,YEAR(INDEX($B$5:$B$344,$A188+L$3-1))=$B$2),INDEX($B$5:$B$344,$A188+L$3)-INDEX($B$5:$B$344,$A188-1)-1,"")))</f>
        <v/>
      </c>
      <c r="M188" s="11">
        <f>IF(OR($A188=1,$B188="",$A188+M$3&gt;340),"",IF(INDEX($B$5:$B$344,$A188+M$3)="","",IF(AND(YEAR($B188)=$B$2,YEAR(INDEX($B$5:$B$344,$A188+M$3-1))=$B$2),INDEX($B$5:$B$344,$A188+M$3)-INDEX($B$5:$B$344,$A188-1)-1,"")))</f>
        <v/>
      </c>
    </row>
    <row r="189">
      <c r="A189" s="11" t="n">
        <v>185</v>
      </c>
      <c r="B189" s="10">
        <f>IFERROR(INDEX('2_暦'!$A$7:$A$433,MATCH(A189,'2_暦'!$K$7:$K$433,0)),"")</f>
        <v/>
      </c>
      <c r="C189" s="11">
        <f>IF(OR($A189=1,$B189=""),"",IF(OR(YEAR($B189-1)=$B$2,YEAR(INDEX($B$5:$B$344,$A189-1)+1)=$B$2),$B189-INDEX($B$5:$B$344,$A189-1)-1,""))</f>
        <v/>
      </c>
      <c r="D189" s="11">
        <f>IF(OR($A189=1,$B189="",$A189+D$3&gt;340),"",IF(INDEX($B$5:$B$344,$A189+D$3)="","",IF(AND(YEAR($B189)=$B$2,YEAR(INDEX($B$5:$B$344,$A189+D$3-1))=$B$2),INDEX($B$5:$B$344,$A189+D$3)-INDEX($B$5:$B$344,$A189-1)-1,"")))</f>
        <v/>
      </c>
      <c r="E189" s="11">
        <f>IF(OR($A189=1,$B189="",$A189+E$3&gt;340),"",IF(INDEX($B$5:$B$344,$A189+E$3)="","",IF(AND(YEAR($B189)=$B$2,YEAR(INDEX($B$5:$B$344,$A189+E$3-1))=$B$2),INDEX($B$5:$B$344,$A189+E$3)-INDEX($B$5:$B$344,$A189-1)-1,"")))</f>
        <v/>
      </c>
      <c r="F189" s="11">
        <f>IF(OR($A189=1,$B189="",$A189+F$3&gt;340),"",IF(INDEX($B$5:$B$344,$A189+F$3)="","",IF(AND(YEAR($B189)=$B$2,YEAR(INDEX($B$5:$B$344,$A189+F$3-1))=$B$2),INDEX($B$5:$B$344,$A189+F$3)-INDEX($B$5:$B$344,$A189-1)-1,"")))</f>
        <v/>
      </c>
      <c r="G189" s="11">
        <f>IF(OR($A189=1,$B189="",$A189+G$3&gt;340),"",IF(INDEX($B$5:$B$344,$A189+G$3)="","",IF(AND(YEAR($B189)=$B$2,YEAR(INDEX($B$5:$B$344,$A189+G$3-1))=$B$2),INDEX($B$5:$B$344,$A189+G$3)-INDEX($B$5:$B$344,$A189-1)-1,"")))</f>
        <v/>
      </c>
      <c r="H189" s="11">
        <f>IF(OR($A189=1,$B189="",$A189+H$3&gt;340),"",IF(INDEX($B$5:$B$344,$A189+H$3)="","",IF(AND(YEAR($B189)=$B$2,YEAR(INDEX($B$5:$B$344,$A189+H$3-1))=$B$2),INDEX($B$5:$B$344,$A189+H$3)-INDEX($B$5:$B$344,$A189-1)-1,"")))</f>
        <v/>
      </c>
      <c r="I189" s="11">
        <f>IF(OR($A189=1,$B189="",$A189+I$3&gt;340),"",IF(INDEX($B$5:$B$344,$A189+I$3)="","",IF(AND(YEAR($B189)=$B$2,YEAR(INDEX($B$5:$B$344,$A189+I$3-1))=$B$2),INDEX($B$5:$B$344,$A189+I$3)-INDEX($B$5:$B$344,$A189-1)-1,"")))</f>
        <v/>
      </c>
      <c r="J189" s="11">
        <f>IF(OR($A189=1,$B189="",$A189+J$3&gt;340),"",IF(INDEX($B$5:$B$344,$A189+J$3)="","",IF(AND(YEAR($B189)=$B$2,YEAR(INDEX($B$5:$B$344,$A189+J$3-1))=$B$2),INDEX($B$5:$B$344,$A189+J$3)-INDEX($B$5:$B$344,$A189-1)-1,"")))</f>
        <v/>
      </c>
      <c r="K189" s="11">
        <f>IF(OR($A189=1,$B189="",$A189+K$3&gt;340),"",IF(INDEX($B$5:$B$344,$A189+K$3)="","",IF(AND(YEAR($B189)=$B$2,YEAR(INDEX($B$5:$B$344,$A189+K$3-1))=$B$2),INDEX($B$5:$B$344,$A189+K$3)-INDEX($B$5:$B$344,$A189-1)-1,"")))</f>
        <v/>
      </c>
      <c r="L189" s="11">
        <f>IF(OR($A189=1,$B189="",$A189+L$3&gt;340),"",IF(INDEX($B$5:$B$344,$A189+L$3)="","",IF(AND(YEAR($B189)=$B$2,YEAR(INDEX($B$5:$B$344,$A189+L$3-1))=$B$2),INDEX($B$5:$B$344,$A189+L$3)-INDEX($B$5:$B$344,$A189-1)-1,"")))</f>
        <v/>
      </c>
      <c r="M189" s="11">
        <f>IF(OR($A189=1,$B189="",$A189+M$3&gt;340),"",IF(INDEX($B$5:$B$344,$A189+M$3)="","",IF(AND(YEAR($B189)=$B$2,YEAR(INDEX($B$5:$B$344,$A189+M$3-1))=$B$2),INDEX($B$5:$B$344,$A189+M$3)-INDEX($B$5:$B$344,$A189-1)-1,"")))</f>
        <v/>
      </c>
    </row>
    <row r="190">
      <c r="A190" s="11" t="n">
        <v>186</v>
      </c>
      <c r="B190" s="10">
        <f>IFERROR(INDEX('2_暦'!$A$7:$A$433,MATCH(A190,'2_暦'!$K$7:$K$433,0)),"")</f>
        <v/>
      </c>
      <c r="C190" s="11">
        <f>IF(OR($A190=1,$B190=""),"",IF(OR(YEAR($B190-1)=$B$2,YEAR(INDEX($B$5:$B$344,$A190-1)+1)=$B$2),$B190-INDEX($B$5:$B$344,$A190-1)-1,""))</f>
        <v/>
      </c>
      <c r="D190" s="11">
        <f>IF(OR($A190=1,$B190="",$A190+D$3&gt;340),"",IF(INDEX($B$5:$B$344,$A190+D$3)="","",IF(AND(YEAR($B190)=$B$2,YEAR(INDEX($B$5:$B$344,$A190+D$3-1))=$B$2),INDEX($B$5:$B$344,$A190+D$3)-INDEX($B$5:$B$344,$A190-1)-1,"")))</f>
        <v/>
      </c>
      <c r="E190" s="11">
        <f>IF(OR($A190=1,$B190="",$A190+E$3&gt;340),"",IF(INDEX($B$5:$B$344,$A190+E$3)="","",IF(AND(YEAR($B190)=$B$2,YEAR(INDEX($B$5:$B$344,$A190+E$3-1))=$B$2),INDEX($B$5:$B$344,$A190+E$3)-INDEX($B$5:$B$344,$A190-1)-1,"")))</f>
        <v/>
      </c>
      <c r="F190" s="11">
        <f>IF(OR($A190=1,$B190="",$A190+F$3&gt;340),"",IF(INDEX($B$5:$B$344,$A190+F$3)="","",IF(AND(YEAR($B190)=$B$2,YEAR(INDEX($B$5:$B$344,$A190+F$3-1))=$B$2),INDEX($B$5:$B$344,$A190+F$3)-INDEX($B$5:$B$344,$A190-1)-1,"")))</f>
        <v/>
      </c>
      <c r="G190" s="11">
        <f>IF(OR($A190=1,$B190="",$A190+G$3&gt;340),"",IF(INDEX($B$5:$B$344,$A190+G$3)="","",IF(AND(YEAR($B190)=$B$2,YEAR(INDEX($B$5:$B$344,$A190+G$3-1))=$B$2),INDEX($B$5:$B$344,$A190+G$3)-INDEX($B$5:$B$344,$A190-1)-1,"")))</f>
        <v/>
      </c>
      <c r="H190" s="11">
        <f>IF(OR($A190=1,$B190="",$A190+H$3&gt;340),"",IF(INDEX($B$5:$B$344,$A190+H$3)="","",IF(AND(YEAR($B190)=$B$2,YEAR(INDEX($B$5:$B$344,$A190+H$3-1))=$B$2),INDEX($B$5:$B$344,$A190+H$3)-INDEX($B$5:$B$344,$A190-1)-1,"")))</f>
        <v/>
      </c>
      <c r="I190" s="11">
        <f>IF(OR($A190=1,$B190="",$A190+I$3&gt;340),"",IF(INDEX($B$5:$B$344,$A190+I$3)="","",IF(AND(YEAR($B190)=$B$2,YEAR(INDEX($B$5:$B$344,$A190+I$3-1))=$B$2),INDEX($B$5:$B$344,$A190+I$3)-INDEX($B$5:$B$344,$A190-1)-1,"")))</f>
        <v/>
      </c>
      <c r="J190" s="11">
        <f>IF(OR($A190=1,$B190="",$A190+J$3&gt;340),"",IF(INDEX($B$5:$B$344,$A190+J$3)="","",IF(AND(YEAR($B190)=$B$2,YEAR(INDEX($B$5:$B$344,$A190+J$3-1))=$B$2),INDEX($B$5:$B$344,$A190+J$3)-INDEX($B$5:$B$344,$A190-1)-1,"")))</f>
        <v/>
      </c>
      <c r="K190" s="11">
        <f>IF(OR($A190=1,$B190="",$A190+K$3&gt;340),"",IF(INDEX($B$5:$B$344,$A190+K$3)="","",IF(AND(YEAR($B190)=$B$2,YEAR(INDEX($B$5:$B$344,$A190+K$3-1))=$B$2),INDEX($B$5:$B$344,$A190+K$3)-INDEX($B$5:$B$344,$A190-1)-1,"")))</f>
        <v/>
      </c>
      <c r="L190" s="11">
        <f>IF(OR($A190=1,$B190="",$A190+L$3&gt;340),"",IF(INDEX($B$5:$B$344,$A190+L$3)="","",IF(AND(YEAR($B190)=$B$2,YEAR(INDEX($B$5:$B$344,$A190+L$3-1))=$B$2),INDEX($B$5:$B$344,$A190+L$3)-INDEX($B$5:$B$344,$A190-1)-1,"")))</f>
        <v/>
      </c>
      <c r="M190" s="11">
        <f>IF(OR($A190=1,$B190="",$A190+M$3&gt;340),"",IF(INDEX($B$5:$B$344,$A190+M$3)="","",IF(AND(YEAR($B190)=$B$2,YEAR(INDEX($B$5:$B$344,$A190+M$3-1))=$B$2),INDEX($B$5:$B$344,$A190+M$3)-INDEX($B$5:$B$344,$A190-1)-1,"")))</f>
        <v/>
      </c>
    </row>
    <row r="191">
      <c r="A191" s="11" t="n">
        <v>187</v>
      </c>
      <c r="B191" s="10">
        <f>IFERROR(INDEX('2_暦'!$A$7:$A$433,MATCH(A191,'2_暦'!$K$7:$K$433,0)),"")</f>
        <v/>
      </c>
      <c r="C191" s="11">
        <f>IF(OR($A191=1,$B191=""),"",IF(OR(YEAR($B191-1)=$B$2,YEAR(INDEX($B$5:$B$344,$A191-1)+1)=$B$2),$B191-INDEX($B$5:$B$344,$A191-1)-1,""))</f>
        <v/>
      </c>
      <c r="D191" s="11">
        <f>IF(OR($A191=1,$B191="",$A191+D$3&gt;340),"",IF(INDEX($B$5:$B$344,$A191+D$3)="","",IF(AND(YEAR($B191)=$B$2,YEAR(INDEX($B$5:$B$344,$A191+D$3-1))=$B$2),INDEX($B$5:$B$344,$A191+D$3)-INDEX($B$5:$B$344,$A191-1)-1,"")))</f>
        <v/>
      </c>
      <c r="E191" s="11">
        <f>IF(OR($A191=1,$B191="",$A191+E$3&gt;340),"",IF(INDEX($B$5:$B$344,$A191+E$3)="","",IF(AND(YEAR($B191)=$B$2,YEAR(INDEX($B$5:$B$344,$A191+E$3-1))=$B$2),INDEX($B$5:$B$344,$A191+E$3)-INDEX($B$5:$B$344,$A191-1)-1,"")))</f>
        <v/>
      </c>
      <c r="F191" s="11">
        <f>IF(OR($A191=1,$B191="",$A191+F$3&gt;340),"",IF(INDEX($B$5:$B$344,$A191+F$3)="","",IF(AND(YEAR($B191)=$B$2,YEAR(INDEX($B$5:$B$344,$A191+F$3-1))=$B$2),INDEX($B$5:$B$344,$A191+F$3)-INDEX($B$5:$B$344,$A191-1)-1,"")))</f>
        <v/>
      </c>
      <c r="G191" s="11">
        <f>IF(OR($A191=1,$B191="",$A191+G$3&gt;340),"",IF(INDEX($B$5:$B$344,$A191+G$3)="","",IF(AND(YEAR($B191)=$B$2,YEAR(INDEX($B$5:$B$344,$A191+G$3-1))=$B$2),INDEX($B$5:$B$344,$A191+G$3)-INDEX($B$5:$B$344,$A191-1)-1,"")))</f>
        <v/>
      </c>
      <c r="H191" s="11">
        <f>IF(OR($A191=1,$B191="",$A191+H$3&gt;340),"",IF(INDEX($B$5:$B$344,$A191+H$3)="","",IF(AND(YEAR($B191)=$B$2,YEAR(INDEX($B$5:$B$344,$A191+H$3-1))=$B$2),INDEX($B$5:$B$344,$A191+H$3)-INDEX($B$5:$B$344,$A191-1)-1,"")))</f>
        <v/>
      </c>
      <c r="I191" s="11">
        <f>IF(OR($A191=1,$B191="",$A191+I$3&gt;340),"",IF(INDEX($B$5:$B$344,$A191+I$3)="","",IF(AND(YEAR($B191)=$B$2,YEAR(INDEX($B$5:$B$344,$A191+I$3-1))=$B$2),INDEX($B$5:$B$344,$A191+I$3)-INDEX($B$5:$B$344,$A191-1)-1,"")))</f>
        <v/>
      </c>
      <c r="J191" s="11">
        <f>IF(OR($A191=1,$B191="",$A191+J$3&gt;340),"",IF(INDEX($B$5:$B$344,$A191+J$3)="","",IF(AND(YEAR($B191)=$B$2,YEAR(INDEX($B$5:$B$344,$A191+J$3-1))=$B$2),INDEX($B$5:$B$344,$A191+J$3)-INDEX($B$5:$B$344,$A191-1)-1,"")))</f>
        <v/>
      </c>
      <c r="K191" s="11">
        <f>IF(OR($A191=1,$B191="",$A191+K$3&gt;340),"",IF(INDEX($B$5:$B$344,$A191+K$3)="","",IF(AND(YEAR($B191)=$B$2,YEAR(INDEX($B$5:$B$344,$A191+K$3-1))=$B$2),INDEX($B$5:$B$344,$A191+K$3)-INDEX($B$5:$B$344,$A191-1)-1,"")))</f>
        <v/>
      </c>
      <c r="L191" s="11">
        <f>IF(OR($A191=1,$B191="",$A191+L$3&gt;340),"",IF(INDEX($B$5:$B$344,$A191+L$3)="","",IF(AND(YEAR($B191)=$B$2,YEAR(INDEX($B$5:$B$344,$A191+L$3-1))=$B$2),INDEX($B$5:$B$344,$A191+L$3)-INDEX($B$5:$B$344,$A191-1)-1,"")))</f>
        <v/>
      </c>
      <c r="M191" s="11">
        <f>IF(OR($A191=1,$B191="",$A191+M$3&gt;340),"",IF(INDEX($B$5:$B$344,$A191+M$3)="","",IF(AND(YEAR($B191)=$B$2,YEAR(INDEX($B$5:$B$344,$A191+M$3-1))=$B$2),INDEX($B$5:$B$344,$A191+M$3)-INDEX($B$5:$B$344,$A191-1)-1,"")))</f>
        <v/>
      </c>
    </row>
    <row r="192">
      <c r="A192" s="11" t="n">
        <v>188</v>
      </c>
      <c r="B192" s="10">
        <f>IFERROR(INDEX('2_暦'!$A$7:$A$433,MATCH(A192,'2_暦'!$K$7:$K$433,0)),"")</f>
        <v/>
      </c>
      <c r="C192" s="11">
        <f>IF(OR($A192=1,$B192=""),"",IF(OR(YEAR($B192-1)=$B$2,YEAR(INDEX($B$5:$B$344,$A192-1)+1)=$B$2),$B192-INDEX($B$5:$B$344,$A192-1)-1,""))</f>
        <v/>
      </c>
      <c r="D192" s="11">
        <f>IF(OR($A192=1,$B192="",$A192+D$3&gt;340),"",IF(INDEX($B$5:$B$344,$A192+D$3)="","",IF(AND(YEAR($B192)=$B$2,YEAR(INDEX($B$5:$B$344,$A192+D$3-1))=$B$2),INDEX($B$5:$B$344,$A192+D$3)-INDEX($B$5:$B$344,$A192-1)-1,"")))</f>
        <v/>
      </c>
      <c r="E192" s="11">
        <f>IF(OR($A192=1,$B192="",$A192+E$3&gt;340),"",IF(INDEX($B$5:$B$344,$A192+E$3)="","",IF(AND(YEAR($B192)=$B$2,YEAR(INDEX($B$5:$B$344,$A192+E$3-1))=$B$2),INDEX($B$5:$B$344,$A192+E$3)-INDEX($B$5:$B$344,$A192-1)-1,"")))</f>
        <v/>
      </c>
      <c r="F192" s="11">
        <f>IF(OR($A192=1,$B192="",$A192+F$3&gt;340),"",IF(INDEX($B$5:$B$344,$A192+F$3)="","",IF(AND(YEAR($B192)=$B$2,YEAR(INDEX($B$5:$B$344,$A192+F$3-1))=$B$2),INDEX($B$5:$B$344,$A192+F$3)-INDEX($B$5:$B$344,$A192-1)-1,"")))</f>
        <v/>
      </c>
      <c r="G192" s="11">
        <f>IF(OR($A192=1,$B192="",$A192+G$3&gt;340),"",IF(INDEX($B$5:$B$344,$A192+G$3)="","",IF(AND(YEAR($B192)=$B$2,YEAR(INDEX($B$5:$B$344,$A192+G$3-1))=$B$2),INDEX($B$5:$B$344,$A192+G$3)-INDEX($B$5:$B$344,$A192-1)-1,"")))</f>
        <v/>
      </c>
      <c r="H192" s="11">
        <f>IF(OR($A192=1,$B192="",$A192+H$3&gt;340),"",IF(INDEX($B$5:$B$344,$A192+H$3)="","",IF(AND(YEAR($B192)=$B$2,YEAR(INDEX($B$5:$B$344,$A192+H$3-1))=$B$2),INDEX($B$5:$B$344,$A192+H$3)-INDEX($B$5:$B$344,$A192-1)-1,"")))</f>
        <v/>
      </c>
      <c r="I192" s="11">
        <f>IF(OR($A192=1,$B192="",$A192+I$3&gt;340),"",IF(INDEX($B$5:$B$344,$A192+I$3)="","",IF(AND(YEAR($B192)=$B$2,YEAR(INDEX($B$5:$B$344,$A192+I$3-1))=$B$2),INDEX($B$5:$B$344,$A192+I$3)-INDEX($B$5:$B$344,$A192-1)-1,"")))</f>
        <v/>
      </c>
      <c r="J192" s="11">
        <f>IF(OR($A192=1,$B192="",$A192+J$3&gt;340),"",IF(INDEX($B$5:$B$344,$A192+J$3)="","",IF(AND(YEAR($B192)=$B$2,YEAR(INDEX($B$5:$B$344,$A192+J$3-1))=$B$2),INDEX($B$5:$B$344,$A192+J$3)-INDEX($B$5:$B$344,$A192-1)-1,"")))</f>
        <v/>
      </c>
      <c r="K192" s="11">
        <f>IF(OR($A192=1,$B192="",$A192+K$3&gt;340),"",IF(INDEX($B$5:$B$344,$A192+K$3)="","",IF(AND(YEAR($B192)=$B$2,YEAR(INDEX($B$5:$B$344,$A192+K$3-1))=$B$2),INDEX($B$5:$B$344,$A192+K$3)-INDEX($B$5:$B$344,$A192-1)-1,"")))</f>
        <v/>
      </c>
      <c r="L192" s="11">
        <f>IF(OR($A192=1,$B192="",$A192+L$3&gt;340),"",IF(INDEX($B$5:$B$344,$A192+L$3)="","",IF(AND(YEAR($B192)=$B$2,YEAR(INDEX($B$5:$B$344,$A192+L$3-1))=$B$2),INDEX($B$5:$B$344,$A192+L$3)-INDEX($B$5:$B$344,$A192-1)-1,"")))</f>
        <v/>
      </c>
      <c r="M192" s="11">
        <f>IF(OR($A192=1,$B192="",$A192+M$3&gt;340),"",IF(INDEX($B$5:$B$344,$A192+M$3)="","",IF(AND(YEAR($B192)=$B$2,YEAR(INDEX($B$5:$B$344,$A192+M$3-1))=$B$2),INDEX($B$5:$B$344,$A192+M$3)-INDEX($B$5:$B$344,$A192-1)-1,"")))</f>
        <v/>
      </c>
    </row>
    <row r="193">
      <c r="A193" s="11" t="n">
        <v>189</v>
      </c>
      <c r="B193" s="10">
        <f>IFERROR(INDEX('2_暦'!$A$7:$A$433,MATCH(A193,'2_暦'!$K$7:$K$433,0)),"")</f>
        <v/>
      </c>
      <c r="C193" s="11">
        <f>IF(OR($A193=1,$B193=""),"",IF(OR(YEAR($B193-1)=$B$2,YEAR(INDEX($B$5:$B$344,$A193-1)+1)=$B$2),$B193-INDEX($B$5:$B$344,$A193-1)-1,""))</f>
        <v/>
      </c>
      <c r="D193" s="11">
        <f>IF(OR($A193=1,$B193="",$A193+D$3&gt;340),"",IF(INDEX($B$5:$B$344,$A193+D$3)="","",IF(AND(YEAR($B193)=$B$2,YEAR(INDEX($B$5:$B$344,$A193+D$3-1))=$B$2),INDEX($B$5:$B$344,$A193+D$3)-INDEX($B$5:$B$344,$A193-1)-1,"")))</f>
        <v/>
      </c>
      <c r="E193" s="11">
        <f>IF(OR($A193=1,$B193="",$A193+E$3&gt;340),"",IF(INDEX($B$5:$B$344,$A193+E$3)="","",IF(AND(YEAR($B193)=$B$2,YEAR(INDEX($B$5:$B$344,$A193+E$3-1))=$B$2),INDEX($B$5:$B$344,$A193+E$3)-INDEX($B$5:$B$344,$A193-1)-1,"")))</f>
        <v/>
      </c>
      <c r="F193" s="11">
        <f>IF(OR($A193=1,$B193="",$A193+F$3&gt;340),"",IF(INDEX($B$5:$B$344,$A193+F$3)="","",IF(AND(YEAR($B193)=$B$2,YEAR(INDEX($B$5:$B$344,$A193+F$3-1))=$B$2),INDEX($B$5:$B$344,$A193+F$3)-INDEX($B$5:$B$344,$A193-1)-1,"")))</f>
        <v/>
      </c>
      <c r="G193" s="11">
        <f>IF(OR($A193=1,$B193="",$A193+G$3&gt;340),"",IF(INDEX($B$5:$B$344,$A193+G$3)="","",IF(AND(YEAR($B193)=$B$2,YEAR(INDEX($B$5:$B$344,$A193+G$3-1))=$B$2),INDEX($B$5:$B$344,$A193+G$3)-INDEX($B$5:$B$344,$A193-1)-1,"")))</f>
        <v/>
      </c>
      <c r="H193" s="11">
        <f>IF(OR($A193=1,$B193="",$A193+H$3&gt;340),"",IF(INDEX($B$5:$B$344,$A193+H$3)="","",IF(AND(YEAR($B193)=$B$2,YEAR(INDEX($B$5:$B$344,$A193+H$3-1))=$B$2),INDEX($B$5:$B$344,$A193+H$3)-INDEX($B$5:$B$344,$A193-1)-1,"")))</f>
        <v/>
      </c>
      <c r="I193" s="11">
        <f>IF(OR($A193=1,$B193="",$A193+I$3&gt;340),"",IF(INDEX($B$5:$B$344,$A193+I$3)="","",IF(AND(YEAR($B193)=$B$2,YEAR(INDEX($B$5:$B$344,$A193+I$3-1))=$B$2),INDEX($B$5:$B$344,$A193+I$3)-INDEX($B$5:$B$344,$A193-1)-1,"")))</f>
        <v/>
      </c>
      <c r="J193" s="11">
        <f>IF(OR($A193=1,$B193="",$A193+J$3&gt;340),"",IF(INDEX($B$5:$B$344,$A193+J$3)="","",IF(AND(YEAR($B193)=$B$2,YEAR(INDEX($B$5:$B$344,$A193+J$3-1))=$B$2),INDEX($B$5:$B$344,$A193+J$3)-INDEX($B$5:$B$344,$A193-1)-1,"")))</f>
        <v/>
      </c>
      <c r="K193" s="11">
        <f>IF(OR($A193=1,$B193="",$A193+K$3&gt;340),"",IF(INDEX($B$5:$B$344,$A193+K$3)="","",IF(AND(YEAR($B193)=$B$2,YEAR(INDEX($B$5:$B$344,$A193+K$3-1))=$B$2),INDEX($B$5:$B$344,$A193+K$3)-INDEX($B$5:$B$344,$A193-1)-1,"")))</f>
        <v/>
      </c>
      <c r="L193" s="11">
        <f>IF(OR($A193=1,$B193="",$A193+L$3&gt;340),"",IF(INDEX($B$5:$B$344,$A193+L$3)="","",IF(AND(YEAR($B193)=$B$2,YEAR(INDEX($B$5:$B$344,$A193+L$3-1))=$B$2),INDEX($B$5:$B$344,$A193+L$3)-INDEX($B$5:$B$344,$A193-1)-1,"")))</f>
        <v/>
      </c>
      <c r="M193" s="11">
        <f>IF(OR($A193=1,$B193="",$A193+M$3&gt;340),"",IF(INDEX($B$5:$B$344,$A193+M$3)="","",IF(AND(YEAR($B193)=$B$2,YEAR(INDEX($B$5:$B$344,$A193+M$3-1))=$B$2),INDEX($B$5:$B$344,$A193+M$3)-INDEX($B$5:$B$344,$A193-1)-1,"")))</f>
        <v/>
      </c>
    </row>
    <row r="194">
      <c r="A194" s="11" t="n">
        <v>190</v>
      </c>
      <c r="B194" s="10">
        <f>IFERROR(INDEX('2_暦'!$A$7:$A$433,MATCH(A194,'2_暦'!$K$7:$K$433,0)),"")</f>
        <v/>
      </c>
      <c r="C194" s="11">
        <f>IF(OR($A194=1,$B194=""),"",IF(OR(YEAR($B194-1)=$B$2,YEAR(INDEX($B$5:$B$344,$A194-1)+1)=$B$2),$B194-INDEX($B$5:$B$344,$A194-1)-1,""))</f>
        <v/>
      </c>
      <c r="D194" s="11">
        <f>IF(OR($A194=1,$B194="",$A194+D$3&gt;340),"",IF(INDEX($B$5:$B$344,$A194+D$3)="","",IF(AND(YEAR($B194)=$B$2,YEAR(INDEX($B$5:$B$344,$A194+D$3-1))=$B$2),INDEX($B$5:$B$344,$A194+D$3)-INDEX($B$5:$B$344,$A194-1)-1,"")))</f>
        <v/>
      </c>
      <c r="E194" s="11">
        <f>IF(OR($A194=1,$B194="",$A194+E$3&gt;340),"",IF(INDEX($B$5:$B$344,$A194+E$3)="","",IF(AND(YEAR($B194)=$B$2,YEAR(INDEX($B$5:$B$344,$A194+E$3-1))=$B$2),INDEX($B$5:$B$344,$A194+E$3)-INDEX($B$5:$B$344,$A194-1)-1,"")))</f>
        <v/>
      </c>
      <c r="F194" s="11">
        <f>IF(OR($A194=1,$B194="",$A194+F$3&gt;340),"",IF(INDEX($B$5:$B$344,$A194+F$3)="","",IF(AND(YEAR($B194)=$B$2,YEAR(INDEX($B$5:$B$344,$A194+F$3-1))=$B$2),INDEX($B$5:$B$344,$A194+F$3)-INDEX($B$5:$B$344,$A194-1)-1,"")))</f>
        <v/>
      </c>
      <c r="G194" s="11">
        <f>IF(OR($A194=1,$B194="",$A194+G$3&gt;340),"",IF(INDEX($B$5:$B$344,$A194+G$3)="","",IF(AND(YEAR($B194)=$B$2,YEAR(INDEX($B$5:$B$344,$A194+G$3-1))=$B$2),INDEX($B$5:$B$344,$A194+G$3)-INDEX($B$5:$B$344,$A194-1)-1,"")))</f>
        <v/>
      </c>
      <c r="H194" s="11">
        <f>IF(OR($A194=1,$B194="",$A194+H$3&gt;340),"",IF(INDEX($B$5:$B$344,$A194+H$3)="","",IF(AND(YEAR($B194)=$B$2,YEAR(INDEX($B$5:$B$344,$A194+H$3-1))=$B$2),INDEX($B$5:$B$344,$A194+H$3)-INDEX($B$5:$B$344,$A194-1)-1,"")))</f>
        <v/>
      </c>
      <c r="I194" s="11">
        <f>IF(OR($A194=1,$B194="",$A194+I$3&gt;340),"",IF(INDEX($B$5:$B$344,$A194+I$3)="","",IF(AND(YEAR($B194)=$B$2,YEAR(INDEX($B$5:$B$344,$A194+I$3-1))=$B$2),INDEX($B$5:$B$344,$A194+I$3)-INDEX($B$5:$B$344,$A194-1)-1,"")))</f>
        <v/>
      </c>
      <c r="J194" s="11">
        <f>IF(OR($A194=1,$B194="",$A194+J$3&gt;340),"",IF(INDEX($B$5:$B$344,$A194+J$3)="","",IF(AND(YEAR($B194)=$B$2,YEAR(INDEX($B$5:$B$344,$A194+J$3-1))=$B$2),INDEX($B$5:$B$344,$A194+J$3)-INDEX($B$5:$B$344,$A194-1)-1,"")))</f>
        <v/>
      </c>
      <c r="K194" s="11">
        <f>IF(OR($A194=1,$B194="",$A194+K$3&gt;340),"",IF(INDEX($B$5:$B$344,$A194+K$3)="","",IF(AND(YEAR($B194)=$B$2,YEAR(INDEX($B$5:$B$344,$A194+K$3-1))=$B$2),INDEX($B$5:$B$344,$A194+K$3)-INDEX($B$5:$B$344,$A194-1)-1,"")))</f>
        <v/>
      </c>
      <c r="L194" s="11">
        <f>IF(OR($A194=1,$B194="",$A194+L$3&gt;340),"",IF(INDEX($B$5:$B$344,$A194+L$3)="","",IF(AND(YEAR($B194)=$B$2,YEAR(INDEX($B$5:$B$344,$A194+L$3-1))=$B$2),INDEX($B$5:$B$344,$A194+L$3)-INDEX($B$5:$B$344,$A194-1)-1,"")))</f>
        <v/>
      </c>
      <c r="M194" s="11">
        <f>IF(OR($A194=1,$B194="",$A194+M$3&gt;340),"",IF(INDEX($B$5:$B$344,$A194+M$3)="","",IF(AND(YEAR($B194)=$B$2,YEAR(INDEX($B$5:$B$344,$A194+M$3-1))=$B$2),INDEX($B$5:$B$344,$A194+M$3)-INDEX($B$5:$B$344,$A194-1)-1,"")))</f>
        <v/>
      </c>
    </row>
    <row r="195">
      <c r="A195" s="11" t="n">
        <v>191</v>
      </c>
      <c r="B195" s="10">
        <f>IFERROR(INDEX('2_暦'!$A$7:$A$433,MATCH(A195,'2_暦'!$K$7:$K$433,0)),"")</f>
        <v/>
      </c>
      <c r="C195" s="11">
        <f>IF(OR($A195=1,$B195=""),"",IF(OR(YEAR($B195-1)=$B$2,YEAR(INDEX($B$5:$B$344,$A195-1)+1)=$B$2),$B195-INDEX($B$5:$B$344,$A195-1)-1,""))</f>
        <v/>
      </c>
      <c r="D195" s="11">
        <f>IF(OR($A195=1,$B195="",$A195+D$3&gt;340),"",IF(INDEX($B$5:$B$344,$A195+D$3)="","",IF(AND(YEAR($B195)=$B$2,YEAR(INDEX($B$5:$B$344,$A195+D$3-1))=$B$2),INDEX($B$5:$B$344,$A195+D$3)-INDEX($B$5:$B$344,$A195-1)-1,"")))</f>
        <v/>
      </c>
      <c r="E195" s="11">
        <f>IF(OR($A195=1,$B195="",$A195+E$3&gt;340),"",IF(INDEX($B$5:$B$344,$A195+E$3)="","",IF(AND(YEAR($B195)=$B$2,YEAR(INDEX($B$5:$B$344,$A195+E$3-1))=$B$2),INDEX($B$5:$B$344,$A195+E$3)-INDEX($B$5:$B$344,$A195-1)-1,"")))</f>
        <v/>
      </c>
      <c r="F195" s="11">
        <f>IF(OR($A195=1,$B195="",$A195+F$3&gt;340),"",IF(INDEX($B$5:$B$344,$A195+F$3)="","",IF(AND(YEAR($B195)=$B$2,YEAR(INDEX($B$5:$B$344,$A195+F$3-1))=$B$2),INDEX($B$5:$B$344,$A195+F$3)-INDEX($B$5:$B$344,$A195-1)-1,"")))</f>
        <v/>
      </c>
      <c r="G195" s="11">
        <f>IF(OR($A195=1,$B195="",$A195+G$3&gt;340),"",IF(INDEX($B$5:$B$344,$A195+G$3)="","",IF(AND(YEAR($B195)=$B$2,YEAR(INDEX($B$5:$B$344,$A195+G$3-1))=$B$2),INDEX($B$5:$B$344,$A195+G$3)-INDEX($B$5:$B$344,$A195-1)-1,"")))</f>
        <v/>
      </c>
      <c r="H195" s="11">
        <f>IF(OR($A195=1,$B195="",$A195+H$3&gt;340),"",IF(INDEX($B$5:$B$344,$A195+H$3)="","",IF(AND(YEAR($B195)=$B$2,YEAR(INDEX($B$5:$B$344,$A195+H$3-1))=$B$2),INDEX($B$5:$B$344,$A195+H$3)-INDEX($B$5:$B$344,$A195-1)-1,"")))</f>
        <v/>
      </c>
      <c r="I195" s="11">
        <f>IF(OR($A195=1,$B195="",$A195+I$3&gt;340),"",IF(INDEX($B$5:$B$344,$A195+I$3)="","",IF(AND(YEAR($B195)=$B$2,YEAR(INDEX($B$5:$B$344,$A195+I$3-1))=$B$2),INDEX($B$5:$B$344,$A195+I$3)-INDEX($B$5:$B$344,$A195-1)-1,"")))</f>
        <v/>
      </c>
      <c r="J195" s="11">
        <f>IF(OR($A195=1,$B195="",$A195+J$3&gt;340),"",IF(INDEX($B$5:$B$344,$A195+J$3)="","",IF(AND(YEAR($B195)=$B$2,YEAR(INDEX($B$5:$B$344,$A195+J$3-1))=$B$2),INDEX($B$5:$B$344,$A195+J$3)-INDEX($B$5:$B$344,$A195-1)-1,"")))</f>
        <v/>
      </c>
      <c r="K195" s="11">
        <f>IF(OR($A195=1,$B195="",$A195+K$3&gt;340),"",IF(INDEX($B$5:$B$344,$A195+K$3)="","",IF(AND(YEAR($B195)=$B$2,YEAR(INDEX($B$5:$B$344,$A195+K$3-1))=$B$2),INDEX($B$5:$B$344,$A195+K$3)-INDEX($B$5:$B$344,$A195-1)-1,"")))</f>
        <v/>
      </c>
      <c r="L195" s="11">
        <f>IF(OR($A195=1,$B195="",$A195+L$3&gt;340),"",IF(INDEX($B$5:$B$344,$A195+L$3)="","",IF(AND(YEAR($B195)=$B$2,YEAR(INDEX($B$5:$B$344,$A195+L$3-1))=$B$2),INDEX($B$5:$B$344,$A195+L$3)-INDEX($B$5:$B$344,$A195-1)-1,"")))</f>
        <v/>
      </c>
      <c r="M195" s="11">
        <f>IF(OR($A195=1,$B195="",$A195+M$3&gt;340),"",IF(INDEX($B$5:$B$344,$A195+M$3)="","",IF(AND(YEAR($B195)=$B$2,YEAR(INDEX($B$5:$B$344,$A195+M$3-1))=$B$2),INDEX($B$5:$B$344,$A195+M$3)-INDEX($B$5:$B$344,$A195-1)-1,"")))</f>
        <v/>
      </c>
    </row>
    <row r="196">
      <c r="A196" s="11" t="n">
        <v>192</v>
      </c>
      <c r="B196" s="10">
        <f>IFERROR(INDEX('2_暦'!$A$7:$A$433,MATCH(A196,'2_暦'!$K$7:$K$433,0)),"")</f>
        <v/>
      </c>
      <c r="C196" s="11">
        <f>IF(OR($A196=1,$B196=""),"",IF(OR(YEAR($B196-1)=$B$2,YEAR(INDEX($B$5:$B$344,$A196-1)+1)=$B$2),$B196-INDEX($B$5:$B$344,$A196-1)-1,""))</f>
        <v/>
      </c>
      <c r="D196" s="11">
        <f>IF(OR($A196=1,$B196="",$A196+D$3&gt;340),"",IF(INDEX($B$5:$B$344,$A196+D$3)="","",IF(AND(YEAR($B196)=$B$2,YEAR(INDEX($B$5:$B$344,$A196+D$3-1))=$B$2),INDEX($B$5:$B$344,$A196+D$3)-INDEX($B$5:$B$344,$A196-1)-1,"")))</f>
        <v/>
      </c>
      <c r="E196" s="11">
        <f>IF(OR($A196=1,$B196="",$A196+E$3&gt;340),"",IF(INDEX($B$5:$B$344,$A196+E$3)="","",IF(AND(YEAR($B196)=$B$2,YEAR(INDEX($B$5:$B$344,$A196+E$3-1))=$B$2),INDEX($B$5:$B$344,$A196+E$3)-INDEX($B$5:$B$344,$A196-1)-1,"")))</f>
        <v/>
      </c>
      <c r="F196" s="11">
        <f>IF(OR($A196=1,$B196="",$A196+F$3&gt;340),"",IF(INDEX($B$5:$B$344,$A196+F$3)="","",IF(AND(YEAR($B196)=$B$2,YEAR(INDEX($B$5:$B$344,$A196+F$3-1))=$B$2),INDEX($B$5:$B$344,$A196+F$3)-INDEX($B$5:$B$344,$A196-1)-1,"")))</f>
        <v/>
      </c>
      <c r="G196" s="11">
        <f>IF(OR($A196=1,$B196="",$A196+G$3&gt;340),"",IF(INDEX($B$5:$B$344,$A196+G$3)="","",IF(AND(YEAR($B196)=$B$2,YEAR(INDEX($B$5:$B$344,$A196+G$3-1))=$B$2),INDEX($B$5:$B$344,$A196+G$3)-INDEX($B$5:$B$344,$A196-1)-1,"")))</f>
        <v/>
      </c>
      <c r="H196" s="11">
        <f>IF(OR($A196=1,$B196="",$A196+H$3&gt;340),"",IF(INDEX($B$5:$B$344,$A196+H$3)="","",IF(AND(YEAR($B196)=$B$2,YEAR(INDEX($B$5:$B$344,$A196+H$3-1))=$B$2),INDEX($B$5:$B$344,$A196+H$3)-INDEX($B$5:$B$344,$A196-1)-1,"")))</f>
        <v/>
      </c>
      <c r="I196" s="11">
        <f>IF(OR($A196=1,$B196="",$A196+I$3&gt;340),"",IF(INDEX($B$5:$B$344,$A196+I$3)="","",IF(AND(YEAR($B196)=$B$2,YEAR(INDEX($B$5:$B$344,$A196+I$3-1))=$B$2),INDEX($B$5:$B$344,$A196+I$3)-INDEX($B$5:$B$344,$A196-1)-1,"")))</f>
        <v/>
      </c>
      <c r="J196" s="11">
        <f>IF(OR($A196=1,$B196="",$A196+J$3&gt;340),"",IF(INDEX($B$5:$B$344,$A196+J$3)="","",IF(AND(YEAR($B196)=$B$2,YEAR(INDEX($B$5:$B$344,$A196+J$3-1))=$B$2),INDEX($B$5:$B$344,$A196+J$3)-INDEX($B$5:$B$344,$A196-1)-1,"")))</f>
        <v/>
      </c>
      <c r="K196" s="11">
        <f>IF(OR($A196=1,$B196="",$A196+K$3&gt;340),"",IF(INDEX($B$5:$B$344,$A196+K$3)="","",IF(AND(YEAR($B196)=$B$2,YEAR(INDEX($B$5:$B$344,$A196+K$3-1))=$B$2),INDEX($B$5:$B$344,$A196+K$3)-INDEX($B$5:$B$344,$A196-1)-1,"")))</f>
        <v/>
      </c>
      <c r="L196" s="11">
        <f>IF(OR($A196=1,$B196="",$A196+L$3&gt;340),"",IF(INDEX($B$5:$B$344,$A196+L$3)="","",IF(AND(YEAR($B196)=$B$2,YEAR(INDEX($B$5:$B$344,$A196+L$3-1))=$B$2),INDEX($B$5:$B$344,$A196+L$3)-INDEX($B$5:$B$344,$A196-1)-1,"")))</f>
        <v/>
      </c>
      <c r="M196" s="11">
        <f>IF(OR($A196=1,$B196="",$A196+M$3&gt;340),"",IF(INDEX($B$5:$B$344,$A196+M$3)="","",IF(AND(YEAR($B196)=$B$2,YEAR(INDEX($B$5:$B$344,$A196+M$3-1))=$B$2),INDEX($B$5:$B$344,$A196+M$3)-INDEX($B$5:$B$344,$A196-1)-1,"")))</f>
        <v/>
      </c>
    </row>
    <row r="197">
      <c r="A197" s="11" t="n">
        <v>193</v>
      </c>
      <c r="B197" s="10">
        <f>IFERROR(INDEX('2_暦'!$A$7:$A$433,MATCH(A197,'2_暦'!$K$7:$K$433,0)),"")</f>
        <v/>
      </c>
      <c r="C197" s="11">
        <f>IF(OR($A197=1,$B197=""),"",IF(OR(YEAR($B197-1)=$B$2,YEAR(INDEX($B$5:$B$344,$A197-1)+1)=$B$2),$B197-INDEX($B$5:$B$344,$A197-1)-1,""))</f>
        <v/>
      </c>
      <c r="D197" s="11">
        <f>IF(OR($A197=1,$B197="",$A197+D$3&gt;340),"",IF(INDEX($B$5:$B$344,$A197+D$3)="","",IF(AND(YEAR($B197)=$B$2,YEAR(INDEX($B$5:$B$344,$A197+D$3-1))=$B$2),INDEX($B$5:$B$344,$A197+D$3)-INDEX($B$5:$B$344,$A197-1)-1,"")))</f>
        <v/>
      </c>
      <c r="E197" s="11">
        <f>IF(OR($A197=1,$B197="",$A197+E$3&gt;340),"",IF(INDEX($B$5:$B$344,$A197+E$3)="","",IF(AND(YEAR($B197)=$B$2,YEAR(INDEX($B$5:$B$344,$A197+E$3-1))=$B$2),INDEX($B$5:$B$344,$A197+E$3)-INDEX($B$5:$B$344,$A197-1)-1,"")))</f>
        <v/>
      </c>
      <c r="F197" s="11">
        <f>IF(OR($A197=1,$B197="",$A197+F$3&gt;340),"",IF(INDEX($B$5:$B$344,$A197+F$3)="","",IF(AND(YEAR($B197)=$B$2,YEAR(INDEX($B$5:$B$344,$A197+F$3-1))=$B$2),INDEX($B$5:$B$344,$A197+F$3)-INDEX($B$5:$B$344,$A197-1)-1,"")))</f>
        <v/>
      </c>
      <c r="G197" s="11">
        <f>IF(OR($A197=1,$B197="",$A197+G$3&gt;340),"",IF(INDEX($B$5:$B$344,$A197+G$3)="","",IF(AND(YEAR($B197)=$B$2,YEAR(INDEX($B$5:$B$344,$A197+G$3-1))=$B$2),INDEX($B$5:$B$344,$A197+G$3)-INDEX($B$5:$B$344,$A197-1)-1,"")))</f>
        <v/>
      </c>
      <c r="H197" s="11">
        <f>IF(OR($A197=1,$B197="",$A197+H$3&gt;340),"",IF(INDEX($B$5:$B$344,$A197+H$3)="","",IF(AND(YEAR($B197)=$B$2,YEAR(INDEX($B$5:$B$344,$A197+H$3-1))=$B$2),INDEX($B$5:$B$344,$A197+H$3)-INDEX($B$5:$B$344,$A197-1)-1,"")))</f>
        <v/>
      </c>
      <c r="I197" s="11">
        <f>IF(OR($A197=1,$B197="",$A197+I$3&gt;340),"",IF(INDEX($B$5:$B$344,$A197+I$3)="","",IF(AND(YEAR($B197)=$B$2,YEAR(INDEX($B$5:$B$344,$A197+I$3-1))=$B$2),INDEX($B$5:$B$344,$A197+I$3)-INDEX($B$5:$B$344,$A197-1)-1,"")))</f>
        <v/>
      </c>
      <c r="J197" s="11">
        <f>IF(OR($A197=1,$B197="",$A197+J$3&gt;340),"",IF(INDEX($B$5:$B$344,$A197+J$3)="","",IF(AND(YEAR($B197)=$B$2,YEAR(INDEX($B$5:$B$344,$A197+J$3-1))=$B$2),INDEX($B$5:$B$344,$A197+J$3)-INDEX($B$5:$B$344,$A197-1)-1,"")))</f>
        <v/>
      </c>
      <c r="K197" s="11">
        <f>IF(OR($A197=1,$B197="",$A197+K$3&gt;340),"",IF(INDEX($B$5:$B$344,$A197+K$3)="","",IF(AND(YEAR($B197)=$B$2,YEAR(INDEX($B$5:$B$344,$A197+K$3-1))=$B$2),INDEX($B$5:$B$344,$A197+K$3)-INDEX($B$5:$B$344,$A197-1)-1,"")))</f>
        <v/>
      </c>
      <c r="L197" s="11">
        <f>IF(OR($A197=1,$B197="",$A197+L$3&gt;340),"",IF(INDEX($B$5:$B$344,$A197+L$3)="","",IF(AND(YEAR($B197)=$B$2,YEAR(INDEX($B$5:$B$344,$A197+L$3-1))=$B$2),INDEX($B$5:$B$344,$A197+L$3)-INDEX($B$5:$B$344,$A197-1)-1,"")))</f>
        <v/>
      </c>
      <c r="M197" s="11">
        <f>IF(OR($A197=1,$B197="",$A197+M$3&gt;340),"",IF(INDEX($B$5:$B$344,$A197+M$3)="","",IF(AND(YEAR($B197)=$B$2,YEAR(INDEX($B$5:$B$344,$A197+M$3-1))=$B$2),INDEX($B$5:$B$344,$A197+M$3)-INDEX($B$5:$B$344,$A197-1)-1,"")))</f>
        <v/>
      </c>
    </row>
    <row r="198">
      <c r="A198" s="11" t="n">
        <v>194</v>
      </c>
      <c r="B198" s="10">
        <f>IFERROR(INDEX('2_暦'!$A$7:$A$433,MATCH(A198,'2_暦'!$K$7:$K$433,0)),"")</f>
        <v/>
      </c>
      <c r="C198" s="11">
        <f>IF(OR($A198=1,$B198=""),"",IF(OR(YEAR($B198-1)=$B$2,YEAR(INDEX($B$5:$B$344,$A198-1)+1)=$B$2),$B198-INDEX($B$5:$B$344,$A198-1)-1,""))</f>
        <v/>
      </c>
      <c r="D198" s="11">
        <f>IF(OR($A198=1,$B198="",$A198+D$3&gt;340),"",IF(INDEX($B$5:$B$344,$A198+D$3)="","",IF(AND(YEAR($B198)=$B$2,YEAR(INDEX($B$5:$B$344,$A198+D$3-1))=$B$2),INDEX($B$5:$B$344,$A198+D$3)-INDEX($B$5:$B$344,$A198-1)-1,"")))</f>
        <v/>
      </c>
      <c r="E198" s="11">
        <f>IF(OR($A198=1,$B198="",$A198+E$3&gt;340),"",IF(INDEX($B$5:$B$344,$A198+E$3)="","",IF(AND(YEAR($B198)=$B$2,YEAR(INDEX($B$5:$B$344,$A198+E$3-1))=$B$2),INDEX($B$5:$B$344,$A198+E$3)-INDEX($B$5:$B$344,$A198-1)-1,"")))</f>
        <v/>
      </c>
      <c r="F198" s="11">
        <f>IF(OR($A198=1,$B198="",$A198+F$3&gt;340),"",IF(INDEX($B$5:$B$344,$A198+F$3)="","",IF(AND(YEAR($B198)=$B$2,YEAR(INDEX($B$5:$B$344,$A198+F$3-1))=$B$2),INDEX($B$5:$B$344,$A198+F$3)-INDEX($B$5:$B$344,$A198-1)-1,"")))</f>
        <v/>
      </c>
      <c r="G198" s="11">
        <f>IF(OR($A198=1,$B198="",$A198+G$3&gt;340),"",IF(INDEX($B$5:$B$344,$A198+G$3)="","",IF(AND(YEAR($B198)=$B$2,YEAR(INDEX($B$5:$B$344,$A198+G$3-1))=$B$2),INDEX($B$5:$B$344,$A198+G$3)-INDEX($B$5:$B$344,$A198-1)-1,"")))</f>
        <v/>
      </c>
      <c r="H198" s="11">
        <f>IF(OR($A198=1,$B198="",$A198+H$3&gt;340),"",IF(INDEX($B$5:$B$344,$A198+H$3)="","",IF(AND(YEAR($B198)=$B$2,YEAR(INDEX($B$5:$B$344,$A198+H$3-1))=$B$2),INDEX($B$5:$B$344,$A198+H$3)-INDEX($B$5:$B$344,$A198-1)-1,"")))</f>
        <v/>
      </c>
      <c r="I198" s="11">
        <f>IF(OR($A198=1,$B198="",$A198+I$3&gt;340),"",IF(INDEX($B$5:$B$344,$A198+I$3)="","",IF(AND(YEAR($B198)=$B$2,YEAR(INDEX($B$5:$B$344,$A198+I$3-1))=$B$2),INDEX($B$5:$B$344,$A198+I$3)-INDEX($B$5:$B$344,$A198-1)-1,"")))</f>
        <v/>
      </c>
      <c r="J198" s="11">
        <f>IF(OR($A198=1,$B198="",$A198+J$3&gt;340),"",IF(INDEX($B$5:$B$344,$A198+J$3)="","",IF(AND(YEAR($B198)=$B$2,YEAR(INDEX($B$5:$B$344,$A198+J$3-1))=$B$2),INDEX($B$5:$B$344,$A198+J$3)-INDEX($B$5:$B$344,$A198-1)-1,"")))</f>
        <v/>
      </c>
      <c r="K198" s="11">
        <f>IF(OR($A198=1,$B198="",$A198+K$3&gt;340),"",IF(INDEX($B$5:$B$344,$A198+K$3)="","",IF(AND(YEAR($B198)=$B$2,YEAR(INDEX($B$5:$B$344,$A198+K$3-1))=$B$2),INDEX($B$5:$B$344,$A198+K$3)-INDEX($B$5:$B$344,$A198-1)-1,"")))</f>
        <v/>
      </c>
      <c r="L198" s="11">
        <f>IF(OR($A198=1,$B198="",$A198+L$3&gt;340),"",IF(INDEX($B$5:$B$344,$A198+L$3)="","",IF(AND(YEAR($B198)=$B$2,YEAR(INDEX($B$5:$B$344,$A198+L$3-1))=$B$2),INDEX($B$5:$B$344,$A198+L$3)-INDEX($B$5:$B$344,$A198-1)-1,"")))</f>
        <v/>
      </c>
      <c r="M198" s="11">
        <f>IF(OR($A198=1,$B198="",$A198+M$3&gt;340),"",IF(INDEX($B$5:$B$344,$A198+M$3)="","",IF(AND(YEAR($B198)=$B$2,YEAR(INDEX($B$5:$B$344,$A198+M$3-1))=$B$2),INDEX($B$5:$B$344,$A198+M$3)-INDEX($B$5:$B$344,$A198-1)-1,"")))</f>
        <v/>
      </c>
    </row>
    <row r="199">
      <c r="A199" s="11" t="n">
        <v>195</v>
      </c>
      <c r="B199" s="10">
        <f>IFERROR(INDEX('2_暦'!$A$7:$A$433,MATCH(A199,'2_暦'!$K$7:$K$433,0)),"")</f>
        <v/>
      </c>
      <c r="C199" s="11">
        <f>IF(OR($A199=1,$B199=""),"",IF(OR(YEAR($B199-1)=$B$2,YEAR(INDEX($B$5:$B$344,$A199-1)+1)=$B$2),$B199-INDEX($B$5:$B$344,$A199-1)-1,""))</f>
        <v/>
      </c>
      <c r="D199" s="11">
        <f>IF(OR($A199=1,$B199="",$A199+D$3&gt;340),"",IF(INDEX($B$5:$B$344,$A199+D$3)="","",IF(AND(YEAR($B199)=$B$2,YEAR(INDEX($B$5:$B$344,$A199+D$3-1))=$B$2),INDEX($B$5:$B$344,$A199+D$3)-INDEX($B$5:$B$344,$A199-1)-1,"")))</f>
        <v/>
      </c>
      <c r="E199" s="11">
        <f>IF(OR($A199=1,$B199="",$A199+E$3&gt;340),"",IF(INDEX($B$5:$B$344,$A199+E$3)="","",IF(AND(YEAR($B199)=$B$2,YEAR(INDEX($B$5:$B$344,$A199+E$3-1))=$B$2),INDEX($B$5:$B$344,$A199+E$3)-INDEX($B$5:$B$344,$A199-1)-1,"")))</f>
        <v/>
      </c>
      <c r="F199" s="11">
        <f>IF(OR($A199=1,$B199="",$A199+F$3&gt;340),"",IF(INDEX($B$5:$B$344,$A199+F$3)="","",IF(AND(YEAR($B199)=$B$2,YEAR(INDEX($B$5:$B$344,$A199+F$3-1))=$B$2),INDEX($B$5:$B$344,$A199+F$3)-INDEX($B$5:$B$344,$A199-1)-1,"")))</f>
        <v/>
      </c>
      <c r="G199" s="11">
        <f>IF(OR($A199=1,$B199="",$A199+G$3&gt;340),"",IF(INDEX($B$5:$B$344,$A199+G$3)="","",IF(AND(YEAR($B199)=$B$2,YEAR(INDEX($B$5:$B$344,$A199+G$3-1))=$B$2),INDEX($B$5:$B$344,$A199+G$3)-INDEX($B$5:$B$344,$A199-1)-1,"")))</f>
        <v/>
      </c>
      <c r="H199" s="11">
        <f>IF(OR($A199=1,$B199="",$A199+H$3&gt;340),"",IF(INDEX($B$5:$B$344,$A199+H$3)="","",IF(AND(YEAR($B199)=$B$2,YEAR(INDEX($B$5:$B$344,$A199+H$3-1))=$B$2),INDEX($B$5:$B$344,$A199+H$3)-INDEX($B$5:$B$344,$A199-1)-1,"")))</f>
        <v/>
      </c>
      <c r="I199" s="11">
        <f>IF(OR($A199=1,$B199="",$A199+I$3&gt;340),"",IF(INDEX($B$5:$B$344,$A199+I$3)="","",IF(AND(YEAR($B199)=$B$2,YEAR(INDEX($B$5:$B$344,$A199+I$3-1))=$B$2),INDEX($B$5:$B$344,$A199+I$3)-INDEX($B$5:$B$344,$A199-1)-1,"")))</f>
        <v/>
      </c>
      <c r="J199" s="11">
        <f>IF(OR($A199=1,$B199="",$A199+J$3&gt;340),"",IF(INDEX($B$5:$B$344,$A199+J$3)="","",IF(AND(YEAR($B199)=$B$2,YEAR(INDEX($B$5:$B$344,$A199+J$3-1))=$B$2),INDEX($B$5:$B$344,$A199+J$3)-INDEX($B$5:$B$344,$A199-1)-1,"")))</f>
        <v/>
      </c>
      <c r="K199" s="11">
        <f>IF(OR($A199=1,$B199="",$A199+K$3&gt;340),"",IF(INDEX($B$5:$B$344,$A199+K$3)="","",IF(AND(YEAR($B199)=$B$2,YEAR(INDEX($B$5:$B$344,$A199+K$3-1))=$B$2),INDEX($B$5:$B$344,$A199+K$3)-INDEX($B$5:$B$344,$A199-1)-1,"")))</f>
        <v/>
      </c>
      <c r="L199" s="11">
        <f>IF(OR($A199=1,$B199="",$A199+L$3&gt;340),"",IF(INDEX($B$5:$B$344,$A199+L$3)="","",IF(AND(YEAR($B199)=$B$2,YEAR(INDEX($B$5:$B$344,$A199+L$3-1))=$B$2),INDEX($B$5:$B$344,$A199+L$3)-INDEX($B$5:$B$344,$A199-1)-1,"")))</f>
        <v/>
      </c>
      <c r="M199" s="11">
        <f>IF(OR($A199=1,$B199="",$A199+M$3&gt;340),"",IF(INDEX($B$5:$B$344,$A199+M$3)="","",IF(AND(YEAR($B199)=$B$2,YEAR(INDEX($B$5:$B$344,$A199+M$3-1))=$B$2),INDEX($B$5:$B$344,$A199+M$3)-INDEX($B$5:$B$344,$A199-1)-1,"")))</f>
        <v/>
      </c>
    </row>
    <row r="200">
      <c r="A200" s="11" t="n">
        <v>196</v>
      </c>
      <c r="B200" s="10">
        <f>IFERROR(INDEX('2_暦'!$A$7:$A$433,MATCH(A200,'2_暦'!$K$7:$K$433,0)),"")</f>
        <v/>
      </c>
      <c r="C200" s="11">
        <f>IF(OR($A200=1,$B200=""),"",IF(OR(YEAR($B200-1)=$B$2,YEAR(INDEX($B$5:$B$344,$A200-1)+1)=$B$2),$B200-INDEX($B$5:$B$344,$A200-1)-1,""))</f>
        <v/>
      </c>
      <c r="D200" s="11">
        <f>IF(OR($A200=1,$B200="",$A200+D$3&gt;340),"",IF(INDEX($B$5:$B$344,$A200+D$3)="","",IF(AND(YEAR($B200)=$B$2,YEAR(INDEX($B$5:$B$344,$A200+D$3-1))=$B$2),INDEX($B$5:$B$344,$A200+D$3)-INDEX($B$5:$B$344,$A200-1)-1,"")))</f>
        <v/>
      </c>
      <c r="E200" s="11">
        <f>IF(OR($A200=1,$B200="",$A200+E$3&gt;340),"",IF(INDEX($B$5:$B$344,$A200+E$3)="","",IF(AND(YEAR($B200)=$B$2,YEAR(INDEX($B$5:$B$344,$A200+E$3-1))=$B$2),INDEX($B$5:$B$344,$A200+E$3)-INDEX($B$5:$B$344,$A200-1)-1,"")))</f>
        <v/>
      </c>
      <c r="F200" s="11">
        <f>IF(OR($A200=1,$B200="",$A200+F$3&gt;340),"",IF(INDEX($B$5:$B$344,$A200+F$3)="","",IF(AND(YEAR($B200)=$B$2,YEAR(INDEX($B$5:$B$344,$A200+F$3-1))=$B$2),INDEX($B$5:$B$344,$A200+F$3)-INDEX($B$5:$B$344,$A200-1)-1,"")))</f>
        <v/>
      </c>
      <c r="G200" s="11">
        <f>IF(OR($A200=1,$B200="",$A200+G$3&gt;340),"",IF(INDEX($B$5:$B$344,$A200+G$3)="","",IF(AND(YEAR($B200)=$B$2,YEAR(INDEX($B$5:$B$344,$A200+G$3-1))=$B$2),INDEX($B$5:$B$344,$A200+G$3)-INDEX($B$5:$B$344,$A200-1)-1,"")))</f>
        <v/>
      </c>
      <c r="H200" s="11">
        <f>IF(OR($A200=1,$B200="",$A200+H$3&gt;340),"",IF(INDEX($B$5:$B$344,$A200+H$3)="","",IF(AND(YEAR($B200)=$B$2,YEAR(INDEX($B$5:$B$344,$A200+H$3-1))=$B$2),INDEX($B$5:$B$344,$A200+H$3)-INDEX($B$5:$B$344,$A200-1)-1,"")))</f>
        <v/>
      </c>
      <c r="I200" s="11">
        <f>IF(OR($A200=1,$B200="",$A200+I$3&gt;340),"",IF(INDEX($B$5:$B$344,$A200+I$3)="","",IF(AND(YEAR($B200)=$B$2,YEAR(INDEX($B$5:$B$344,$A200+I$3-1))=$B$2),INDEX($B$5:$B$344,$A200+I$3)-INDEX($B$5:$B$344,$A200-1)-1,"")))</f>
        <v/>
      </c>
      <c r="J200" s="11">
        <f>IF(OR($A200=1,$B200="",$A200+J$3&gt;340),"",IF(INDEX($B$5:$B$344,$A200+J$3)="","",IF(AND(YEAR($B200)=$B$2,YEAR(INDEX($B$5:$B$344,$A200+J$3-1))=$B$2),INDEX($B$5:$B$344,$A200+J$3)-INDEX($B$5:$B$344,$A200-1)-1,"")))</f>
        <v/>
      </c>
      <c r="K200" s="11">
        <f>IF(OR($A200=1,$B200="",$A200+K$3&gt;340),"",IF(INDEX($B$5:$B$344,$A200+K$3)="","",IF(AND(YEAR($B200)=$B$2,YEAR(INDEX($B$5:$B$344,$A200+K$3-1))=$B$2),INDEX($B$5:$B$344,$A200+K$3)-INDEX($B$5:$B$344,$A200-1)-1,"")))</f>
        <v/>
      </c>
      <c r="L200" s="11">
        <f>IF(OR($A200=1,$B200="",$A200+L$3&gt;340),"",IF(INDEX($B$5:$B$344,$A200+L$3)="","",IF(AND(YEAR($B200)=$B$2,YEAR(INDEX($B$5:$B$344,$A200+L$3-1))=$B$2),INDEX($B$5:$B$344,$A200+L$3)-INDEX($B$5:$B$344,$A200-1)-1,"")))</f>
        <v/>
      </c>
      <c r="M200" s="11">
        <f>IF(OR($A200=1,$B200="",$A200+M$3&gt;340),"",IF(INDEX($B$5:$B$344,$A200+M$3)="","",IF(AND(YEAR($B200)=$B$2,YEAR(INDEX($B$5:$B$344,$A200+M$3-1))=$B$2),INDEX($B$5:$B$344,$A200+M$3)-INDEX($B$5:$B$344,$A200-1)-1,"")))</f>
        <v/>
      </c>
    </row>
    <row r="201">
      <c r="A201" s="11" t="n">
        <v>197</v>
      </c>
      <c r="B201" s="10">
        <f>IFERROR(INDEX('2_暦'!$A$7:$A$433,MATCH(A201,'2_暦'!$K$7:$K$433,0)),"")</f>
        <v/>
      </c>
      <c r="C201" s="11">
        <f>IF(OR($A201=1,$B201=""),"",IF(OR(YEAR($B201-1)=$B$2,YEAR(INDEX($B$5:$B$344,$A201-1)+1)=$B$2),$B201-INDEX($B$5:$B$344,$A201-1)-1,""))</f>
        <v/>
      </c>
      <c r="D201" s="11">
        <f>IF(OR($A201=1,$B201="",$A201+D$3&gt;340),"",IF(INDEX($B$5:$B$344,$A201+D$3)="","",IF(AND(YEAR($B201)=$B$2,YEAR(INDEX($B$5:$B$344,$A201+D$3-1))=$B$2),INDEX($B$5:$B$344,$A201+D$3)-INDEX($B$5:$B$344,$A201-1)-1,"")))</f>
        <v/>
      </c>
      <c r="E201" s="11">
        <f>IF(OR($A201=1,$B201="",$A201+E$3&gt;340),"",IF(INDEX($B$5:$B$344,$A201+E$3)="","",IF(AND(YEAR($B201)=$B$2,YEAR(INDEX($B$5:$B$344,$A201+E$3-1))=$B$2),INDEX($B$5:$B$344,$A201+E$3)-INDEX($B$5:$B$344,$A201-1)-1,"")))</f>
        <v/>
      </c>
      <c r="F201" s="11">
        <f>IF(OR($A201=1,$B201="",$A201+F$3&gt;340),"",IF(INDEX($B$5:$B$344,$A201+F$3)="","",IF(AND(YEAR($B201)=$B$2,YEAR(INDEX($B$5:$B$344,$A201+F$3-1))=$B$2),INDEX($B$5:$B$344,$A201+F$3)-INDEX($B$5:$B$344,$A201-1)-1,"")))</f>
        <v/>
      </c>
      <c r="G201" s="11">
        <f>IF(OR($A201=1,$B201="",$A201+G$3&gt;340),"",IF(INDEX($B$5:$B$344,$A201+G$3)="","",IF(AND(YEAR($B201)=$B$2,YEAR(INDEX($B$5:$B$344,$A201+G$3-1))=$B$2),INDEX($B$5:$B$344,$A201+G$3)-INDEX($B$5:$B$344,$A201-1)-1,"")))</f>
        <v/>
      </c>
      <c r="H201" s="11">
        <f>IF(OR($A201=1,$B201="",$A201+H$3&gt;340),"",IF(INDEX($B$5:$B$344,$A201+H$3)="","",IF(AND(YEAR($B201)=$B$2,YEAR(INDEX($B$5:$B$344,$A201+H$3-1))=$B$2),INDEX($B$5:$B$344,$A201+H$3)-INDEX($B$5:$B$344,$A201-1)-1,"")))</f>
        <v/>
      </c>
      <c r="I201" s="11">
        <f>IF(OR($A201=1,$B201="",$A201+I$3&gt;340),"",IF(INDEX($B$5:$B$344,$A201+I$3)="","",IF(AND(YEAR($B201)=$B$2,YEAR(INDEX($B$5:$B$344,$A201+I$3-1))=$B$2),INDEX($B$5:$B$344,$A201+I$3)-INDEX($B$5:$B$344,$A201-1)-1,"")))</f>
        <v/>
      </c>
      <c r="J201" s="11">
        <f>IF(OR($A201=1,$B201="",$A201+J$3&gt;340),"",IF(INDEX($B$5:$B$344,$A201+J$3)="","",IF(AND(YEAR($B201)=$B$2,YEAR(INDEX($B$5:$B$344,$A201+J$3-1))=$B$2),INDEX($B$5:$B$344,$A201+J$3)-INDEX($B$5:$B$344,$A201-1)-1,"")))</f>
        <v/>
      </c>
      <c r="K201" s="11">
        <f>IF(OR($A201=1,$B201="",$A201+K$3&gt;340),"",IF(INDEX($B$5:$B$344,$A201+K$3)="","",IF(AND(YEAR($B201)=$B$2,YEAR(INDEX($B$5:$B$344,$A201+K$3-1))=$B$2),INDEX($B$5:$B$344,$A201+K$3)-INDEX($B$5:$B$344,$A201-1)-1,"")))</f>
        <v/>
      </c>
      <c r="L201" s="11">
        <f>IF(OR($A201=1,$B201="",$A201+L$3&gt;340),"",IF(INDEX($B$5:$B$344,$A201+L$3)="","",IF(AND(YEAR($B201)=$B$2,YEAR(INDEX($B$5:$B$344,$A201+L$3-1))=$B$2),INDEX($B$5:$B$344,$A201+L$3)-INDEX($B$5:$B$344,$A201-1)-1,"")))</f>
        <v/>
      </c>
      <c r="M201" s="11">
        <f>IF(OR($A201=1,$B201="",$A201+M$3&gt;340),"",IF(INDEX($B$5:$B$344,$A201+M$3)="","",IF(AND(YEAR($B201)=$B$2,YEAR(INDEX($B$5:$B$344,$A201+M$3-1))=$B$2),INDEX($B$5:$B$344,$A201+M$3)-INDEX($B$5:$B$344,$A201-1)-1,"")))</f>
        <v/>
      </c>
    </row>
    <row r="202">
      <c r="A202" s="11" t="n">
        <v>198</v>
      </c>
      <c r="B202" s="10">
        <f>IFERROR(INDEX('2_暦'!$A$7:$A$433,MATCH(A202,'2_暦'!$K$7:$K$433,0)),"")</f>
        <v/>
      </c>
      <c r="C202" s="11">
        <f>IF(OR($A202=1,$B202=""),"",IF(OR(YEAR($B202-1)=$B$2,YEAR(INDEX($B$5:$B$344,$A202-1)+1)=$B$2),$B202-INDEX($B$5:$B$344,$A202-1)-1,""))</f>
        <v/>
      </c>
      <c r="D202" s="11">
        <f>IF(OR($A202=1,$B202="",$A202+D$3&gt;340),"",IF(INDEX($B$5:$B$344,$A202+D$3)="","",IF(AND(YEAR($B202)=$B$2,YEAR(INDEX($B$5:$B$344,$A202+D$3-1))=$B$2),INDEX($B$5:$B$344,$A202+D$3)-INDEX($B$5:$B$344,$A202-1)-1,"")))</f>
        <v/>
      </c>
      <c r="E202" s="11">
        <f>IF(OR($A202=1,$B202="",$A202+E$3&gt;340),"",IF(INDEX($B$5:$B$344,$A202+E$3)="","",IF(AND(YEAR($B202)=$B$2,YEAR(INDEX($B$5:$B$344,$A202+E$3-1))=$B$2),INDEX($B$5:$B$344,$A202+E$3)-INDEX($B$5:$B$344,$A202-1)-1,"")))</f>
        <v/>
      </c>
      <c r="F202" s="11">
        <f>IF(OR($A202=1,$B202="",$A202+F$3&gt;340),"",IF(INDEX($B$5:$B$344,$A202+F$3)="","",IF(AND(YEAR($B202)=$B$2,YEAR(INDEX($B$5:$B$344,$A202+F$3-1))=$B$2),INDEX($B$5:$B$344,$A202+F$3)-INDEX($B$5:$B$344,$A202-1)-1,"")))</f>
        <v/>
      </c>
      <c r="G202" s="11">
        <f>IF(OR($A202=1,$B202="",$A202+G$3&gt;340),"",IF(INDEX($B$5:$B$344,$A202+G$3)="","",IF(AND(YEAR($B202)=$B$2,YEAR(INDEX($B$5:$B$344,$A202+G$3-1))=$B$2),INDEX($B$5:$B$344,$A202+G$3)-INDEX($B$5:$B$344,$A202-1)-1,"")))</f>
        <v/>
      </c>
      <c r="H202" s="11">
        <f>IF(OR($A202=1,$B202="",$A202+H$3&gt;340),"",IF(INDEX($B$5:$B$344,$A202+H$3)="","",IF(AND(YEAR($B202)=$B$2,YEAR(INDEX($B$5:$B$344,$A202+H$3-1))=$B$2),INDEX($B$5:$B$344,$A202+H$3)-INDEX($B$5:$B$344,$A202-1)-1,"")))</f>
        <v/>
      </c>
      <c r="I202" s="11">
        <f>IF(OR($A202=1,$B202="",$A202+I$3&gt;340),"",IF(INDEX($B$5:$B$344,$A202+I$3)="","",IF(AND(YEAR($B202)=$B$2,YEAR(INDEX($B$5:$B$344,$A202+I$3-1))=$B$2),INDEX($B$5:$B$344,$A202+I$3)-INDEX($B$5:$B$344,$A202-1)-1,"")))</f>
        <v/>
      </c>
      <c r="J202" s="11">
        <f>IF(OR($A202=1,$B202="",$A202+J$3&gt;340),"",IF(INDEX($B$5:$B$344,$A202+J$3)="","",IF(AND(YEAR($B202)=$B$2,YEAR(INDEX($B$5:$B$344,$A202+J$3-1))=$B$2),INDEX($B$5:$B$344,$A202+J$3)-INDEX($B$5:$B$344,$A202-1)-1,"")))</f>
        <v/>
      </c>
      <c r="K202" s="11">
        <f>IF(OR($A202=1,$B202="",$A202+K$3&gt;340),"",IF(INDEX($B$5:$B$344,$A202+K$3)="","",IF(AND(YEAR($B202)=$B$2,YEAR(INDEX($B$5:$B$344,$A202+K$3-1))=$B$2),INDEX($B$5:$B$344,$A202+K$3)-INDEX($B$5:$B$344,$A202-1)-1,"")))</f>
        <v/>
      </c>
      <c r="L202" s="11">
        <f>IF(OR($A202=1,$B202="",$A202+L$3&gt;340),"",IF(INDEX($B$5:$B$344,$A202+L$3)="","",IF(AND(YEAR($B202)=$B$2,YEAR(INDEX($B$5:$B$344,$A202+L$3-1))=$B$2),INDEX($B$5:$B$344,$A202+L$3)-INDEX($B$5:$B$344,$A202-1)-1,"")))</f>
        <v/>
      </c>
      <c r="M202" s="11">
        <f>IF(OR($A202=1,$B202="",$A202+M$3&gt;340),"",IF(INDEX($B$5:$B$344,$A202+M$3)="","",IF(AND(YEAR($B202)=$B$2,YEAR(INDEX($B$5:$B$344,$A202+M$3-1))=$B$2),INDEX($B$5:$B$344,$A202+M$3)-INDEX($B$5:$B$344,$A202-1)-1,"")))</f>
        <v/>
      </c>
    </row>
    <row r="203">
      <c r="A203" s="11" t="n">
        <v>199</v>
      </c>
      <c r="B203" s="10">
        <f>IFERROR(INDEX('2_暦'!$A$7:$A$433,MATCH(A203,'2_暦'!$K$7:$K$433,0)),"")</f>
        <v/>
      </c>
      <c r="C203" s="11">
        <f>IF(OR($A203=1,$B203=""),"",IF(OR(YEAR($B203-1)=$B$2,YEAR(INDEX($B$5:$B$344,$A203-1)+1)=$B$2),$B203-INDEX($B$5:$B$344,$A203-1)-1,""))</f>
        <v/>
      </c>
      <c r="D203" s="11">
        <f>IF(OR($A203=1,$B203="",$A203+D$3&gt;340),"",IF(INDEX($B$5:$B$344,$A203+D$3)="","",IF(AND(YEAR($B203)=$B$2,YEAR(INDEX($B$5:$B$344,$A203+D$3-1))=$B$2),INDEX($B$5:$B$344,$A203+D$3)-INDEX($B$5:$B$344,$A203-1)-1,"")))</f>
        <v/>
      </c>
      <c r="E203" s="11">
        <f>IF(OR($A203=1,$B203="",$A203+E$3&gt;340),"",IF(INDEX($B$5:$B$344,$A203+E$3)="","",IF(AND(YEAR($B203)=$B$2,YEAR(INDEX($B$5:$B$344,$A203+E$3-1))=$B$2),INDEX($B$5:$B$344,$A203+E$3)-INDEX($B$5:$B$344,$A203-1)-1,"")))</f>
        <v/>
      </c>
      <c r="F203" s="11">
        <f>IF(OR($A203=1,$B203="",$A203+F$3&gt;340),"",IF(INDEX($B$5:$B$344,$A203+F$3)="","",IF(AND(YEAR($B203)=$B$2,YEAR(INDEX($B$5:$B$344,$A203+F$3-1))=$B$2),INDEX($B$5:$B$344,$A203+F$3)-INDEX($B$5:$B$344,$A203-1)-1,"")))</f>
        <v/>
      </c>
      <c r="G203" s="11">
        <f>IF(OR($A203=1,$B203="",$A203+G$3&gt;340),"",IF(INDEX($B$5:$B$344,$A203+G$3)="","",IF(AND(YEAR($B203)=$B$2,YEAR(INDEX($B$5:$B$344,$A203+G$3-1))=$B$2),INDEX($B$5:$B$344,$A203+G$3)-INDEX($B$5:$B$344,$A203-1)-1,"")))</f>
        <v/>
      </c>
      <c r="H203" s="11">
        <f>IF(OR($A203=1,$B203="",$A203+H$3&gt;340),"",IF(INDEX($B$5:$B$344,$A203+H$3)="","",IF(AND(YEAR($B203)=$B$2,YEAR(INDEX($B$5:$B$344,$A203+H$3-1))=$B$2),INDEX($B$5:$B$344,$A203+H$3)-INDEX($B$5:$B$344,$A203-1)-1,"")))</f>
        <v/>
      </c>
      <c r="I203" s="11">
        <f>IF(OR($A203=1,$B203="",$A203+I$3&gt;340),"",IF(INDEX($B$5:$B$344,$A203+I$3)="","",IF(AND(YEAR($B203)=$B$2,YEAR(INDEX($B$5:$B$344,$A203+I$3-1))=$B$2),INDEX($B$5:$B$344,$A203+I$3)-INDEX($B$5:$B$344,$A203-1)-1,"")))</f>
        <v/>
      </c>
      <c r="J203" s="11">
        <f>IF(OR($A203=1,$B203="",$A203+J$3&gt;340),"",IF(INDEX($B$5:$B$344,$A203+J$3)="","",IF(AND(YEAR($B203)=$B$2,YEAR(INDEX($B$5:$B$344,$A203+J$3-1))=$B$2),INDEX($B$5:$B$344,$A203+J$3)-INDEX($B$5:$B$344,$A203-1)-1,"")))</f>
        <v/>
      </c>
      <c r="K203" s="11">
        <f>IF(OR($A203=1,$B203="",$A203+K$3&gt;340),"",IF(INDEX($B$5:$B$344,$A203+K$3)="","",IF(AND(YEAR($B203)=$B$2,YEAR(INDEX($B$5:$B$344,$A203+K$3-1))=$B$2),INDEX($B$5:$B$344,$A203+K$3)-INDEX($B$5:$B$344,$A203-1)-1,"")))</f>
        <v/>
      </c>
      <c r="L203" s="11">
        <f>IF(OR($A203=1,$B203="",$A203+L$3&gt;340),"",IF(INDEX($B$5:$B$344,$A203+L$3)="","",IF(AND(YEAR($B203)=$B$2,YEAR(INDEX($B$5:$B$344,$A203+L$3-1))=$B$2),INDEX($B$5:$B$344,$A203+L$3)-INDEX($B$5:$B$344,$A203-1)-1,"")))</f>
        <v/>
      </c>
      <c r="M203" s="11">
        <f>IF(OR($A203=1,$B203="",$A203+M$3&gt;340),"",IF(INDEX($B$5:$B$344,$A203+M$3)="","",IF(AND(YEAR($B203)=$B$2,YEAR(INDEX($B$5:$B$344,$A203+M$3-1))=$B$2),INDEX($B$5:$B$344,$A203+M$3)-INDEX($B$5:$B$344,$A203-1)-1,"")))</f>
        <v/>
      </c>
    </row>
    <row r="204">
      <c r="A204" s="11" t="n">
        <v>200</v>
      </c>
      <c r="B204" s="10">
        <f>IFERROR(INDEX('2_暦'!$A$7:$A$433,MATCH(A204,'2_暦'!$K$7:$K$433,0)),"")</f>
        <v/>
      </c>
      <c r="C204" s="11">
        <f>IF(OR($A204=1,$B204=""),"",IF(OR(YEAR($B204-1)=$B$2,YEAR(INDEX($B$5:$B$344,$A204-1)+1)=$B$2),$B204-INDEX($B$5:$B$344,$A204-1)-1,""))</f>
        <v/>
      </c>
      <c r="D204" s="11">
        <f>IF(OR($A204=1,$B204="",$A204+D$3&gt;340),"",IF(INDEX($B$5:$B$344,$A204+D$3)="","",IF(AND(YEAR($B204)=$B$2,YEAR(INDEX($B$5:$B$344,$A204+D$3-1))=$B$2),INDEX($B$5:$B$344,$A204+D$3)-INDEX($B$5:$B$344,$A204-1)-1,"")))</f>
        <v/>
      </c>
      <c r="E204" s="11">
        <f>IF(OR($A204=1,$B204="",$A204+E$3&gt;340),"",IF(INDEX($B$5:$B$344,$A204+E$3)="","",IF(AND(YEAR($B204)=$B$2,YEAR(INDEX($B$5:$B$344,$A204+E$3-1))=$B$2),INDEX($B$5:$B$344,$A204+E$3)-INDEX($B$5:$B$344,$A204-1)-1,"")))</f>
        <v/>
      </c>
      <c r="F204" s="11">
        <f>IF(OR($A204=1,$B204="",$A204+F$3&gt;340),"",IF(INDEX($B$5:$B$344,$A204+F$3)="","",IF(AND(YEAR($B204)=$B$2,YEAR(INDEX($B$5:$B$344,$A204+F$3-1))=$B$2),INDEX($B$5:$B$344,$A204+F$3)-INDEX($B$5:$B$344,$A204-1)-1,"")))</f>
        <v/>
      </c>
      <c r="G204" s="11">
        <f>IF(OR($A204=1,$B204="",$A204+G$3&gt;340),"",IF(INDEX($B$5:$B$344,$A204+G$3)="","",IF(AND(YEAR($B204)=$B$2,YEAR(INDEX($B$5:$B$344,$A204+G$3-1))=$B$2),INDEX($B$5:$B$344,$A204+G$3)-INDEX($B$5:$B$344,$A204-1)-1,"")))</f>
        <v/>
      </c>
      <c r="H204" s="11">
        <f>IF(OR($A204=1,$B204="",$A204+H$3&gt;340),"",IF(INDEX($B$5:$B$344,$A204+H$3)="","",IF(AND(YEAR($B204)=$B$2,YEAR(INDEX($B$5:$B$344,$A204+H$3-1))=$B$2),INDEX($B$5:$B$344,$A204+H$3)-INDEX($B$5:$B$344,$A204-1)-1,"")))</f>
        <v/>
      </c>
      <c r="I204" s="11">
        <f>IF(OR($A204=1,$B204="",$A204+I$3&gt;340),"",IF(INDEX($B$5:$B$344,$A204+I$3)="","",IF(AND(YEAR($B204)=$B$2,YEAR(INDEX($B$5:$B$344,$A204+I$3-1))=$B$2),INDEX($B$5:$B$344,$A204+I$3)-INDEX($B$5:$B$344,$A204-1)-1,"")))</f>
        <v/>
      </c>
      <c r="J204" s="11">
        <f>IF(OR($A204=1,$B204="",$A204+J$3&gt;340),"",IF(INDEX($B$5:$B$344,$A204+J$3)="","",IF(AND(YEAR($B204)=$B$2,YEAR(INDEX($B$5:$B$344,$A204+J$3-1))=$B$2),INDEX($B$5:$B$344,$A204+J$3)-INDEX($B$5:$B$344,$A204-1)-1,"")))</f>
        <v/>
      </c>
      <c r="K204" s="11">
        <f>IF(OR($A204=1,$B204="",$A204+K$3&gt;340),"",IF(INDEX($B$5:$B$344,$A204+K$3)="","",IF(AND(YEAR($B204)=$B$2,YEAR(INDEX($B$5:$B$344,$A204+K$3-1))=$B$2),INDEX($B$5:$B$344,$A204+K$3)-INDEX($B$5:$B$344,$A204-1)-1,"")))</f>
        <v/>
      </c>
      <c r="L204" s="11">
        <f>IF(OR($A204=1,$B204="",$A204+L$3&gt;340),"",IF(INDEX($B$5:$B$344,$A204+L$3)="","",IF(AND(YEAR($B204)=$B$2,YEAR(INDEX($B$5:$B$344,$A204+L$3-1))=$B$2),INDEX($B$5:$B$344,$A204+L$3)-INDEX($B$5:$B$344,$A204-1)-1,"")))</f>
        <v/>
      </c>
      <c r="M204" s="11">
        <f>IF(OR($A204=1,$B204="",$A204+M$3&gt;340),"",IF(INDEX($B$5:$B$344,$A204+M$3)="","",IF(AND(YEAR($B204)=$B$2,YEAR(INDEX($B$5:$B$344,$A204+M$3-1))=$B$2),INDEX($B$5:$B$344,$A204+M$3)-INDEX($B$5:$B$344,$A204-1)-1,"")))</f>
        <v/>
      </c>
    </row>
    <row r="205">
      <c r="A205" s="11" t="n">
        <v>201</v>
      </c>
      <c r="B205" s="10">
        <f>IFERROR(INDEX('2_暦'!$A$7:$A$433,MATCH(A205,'2_暦'!$K$7:$K$433,0)),"")</f>
        <v/>
      </c>
      <c r="C205" s="11">
        <f>IF(OR($A205=1,$B205=""),"",IF(OR(YEAR($B205-1)=$B$2,YEAR(INDEX($B$5:$B$344,$A205-1)+1)=$B$2),$B205-INDEX($B$5:$B$344,$A205-1)-1,""))</f>
        <v/>
      </c>
      <c r="D205" s="11">
        <f>IF(OR($A205=1,$B205="",$A205+D$3&gt;340),"",IF(INDEX($B$5:$B$344,$A205+D$3)="","",IF(AND(YEAR($B205)=$B$2,YEAR(INDEX($B$5:$B$344,$A205+D$3-1))=$B$2),INDEX($B$5:$B$344,$A205+D$3)-INDEX($B$5:$B$344,$A205-1)-1,"")))</f>
        <v/>
      </c>
      <c r="E205" s="11">
        <f>IF(OR($A205=1,$B205="",$A205+E$3&gt;340),"",IF(INDEX($B$5:$B$344,$A205+E$3)="","",IF(AND(YEAR($B205)=$B$2,YEAR(INDEX($B$5:$B$344,$A205+E$3-1))=$B$2),INDEX($B$5:$B$344,$A205+E$3)-INDEX($B$5:$B$344,$A205-1)-1,"")))</f>
        <v/>
      </c>
      <c r="F205" s="11">
        <f>IF(OR($A205=1,$B205="",$A205+F$3&gt;340),"",IF(INDEX($B$5:$B$344,$A205+F$3)="","",IF(AND(YEAR($B205)=$B$2,YEAR(INDEX($B$5:$B$344,$A205+F$3-1))=$B$2),INDEX($B$5:$B$344,$A205+F$3)-INDEX($B$5:$B$344,$A205-1)-1,"")))</f>
        <v/>
      </c>
      <c r="G205" s="11">
        <f>IF(OR($A205=1,$B205="",$A205+G$3&gt;340),"",IF(INDEX($B$5:$B$344,$A205+G$3)="","",IF(AND(YEAR($B205)=$B$2,YEAR(INDEX($B$5:$B$344,$A205+G$3-1))=$B$2),INDEX($B$5:$B$344,$A205+G$3)-INDEX($B$5:$B$344,$A205-1)-1,"")))</f>
        <v/>
      </c>
      <c r="H205" s="11">
        <f>IF(OR($A205=1,$B205="",$A205+H$3&gt;340),"",IF(INDEX($B$5:$B$344,$A205+H$3)="","",IF(AND(YEAR($B205)=$B$2,YEAR(INDEX($B$5:$B$344,$A205+H$3-1))=$B$2),INDEX($B$5:$B$344,$A205+H$3)-INDEX($B$5:$B$344,$A205-1)-1,"")))</f>
        <v/>
      </c>
      <c r="I205" s="11">
        <f>IF(OR($A205=1,$B205="",$A205+I$3&gt;340),"",IF(INDEX($B$5:$B$344,$A205+I$3)="","",IF(AND(YEAR($B205)=$B$2,YEAR(INDEX($B$5:$B$344,$A205+I$3-1))=$B$2),INDEX($B$5:$B$344,$A205+I$3)-INDEX($B$5:$B$344,$A205-1)-1,"")))</f>
        <v/>
      </c>
      <c r="J205" s="11">
        <f>IF(OR($A205=1,$B205="",$A205+J$3&gt;340),"",IF(INDEX($B$5:$B$344,$A205+J$3)="","",IF(AND(YEAR($B205)=$B$2,YEAR(INDEX($B$5:$B$344,$A205+J$3-1))=$B$2),INDEX($B$5:$B$344,$A205+J$3)-INDEX($B$5:$B$344,$A205-1)-1,"")))</f>
        <v/>
      </c>
      <c r="K205" s="11">
        <f>IF(OR($A205=1,$B205="",$A205+K$3&gt;340),"",IF(INDEX($B$5:$B$344,$A205+K$3)="","",IF(AND(YEAR($B205)=$B$2,YEAR(INDEX($B$5:$B$344,$A205+K$3-1))=$B$2),INDEX($B$5:$B$344,$A205+K$3)-INDEX($B$5:$B$344,$A205-1)-1,"")))</f>
        <v/>
      </c>
      <c r="L205" s="11">
        <f>IF(OR($A205=1,$B205="",$A205+L$3&gt;340),"",IF(INDEX($B$5:$B$344,$A205+L$3)="","",IF(AND(YEAR($B205)=$B$2,YEAR(INDEX($B$5:$B$344,$A205+L$3-1))=$B$2),INDEX($B$5:$B$344,$A205+L$3)-INDEX($B$5:$B$344,$A205-1)-1,"")))</f>
        <v/>
      </c>
      <c r="M205" s="11">
        <f>IF(OR($A205=1,$B205="",$A205+M$3&gt;340),"",IF(INDEX($B$5:$B$344,$A205+M$3)="","",IF(AND(YEAR($B205)=$B$2,YEAR(INDEX($B$5:$B$344,$A205+M$3-1))=$B$2),INDEX($B$5:$B$344,$A205+M$3)-INDEX($B$5:$B$344,$A205-1)-1,"")))</f>
        <v/>
      </c>
    </row>
    <row r="206">
      <c r="A206" s="11" t="n">
        <v>202</v>
      </c>
      <c r="B206" s="10">
        <f>IFERROR(INDEX('2_暦'!$A$7:$A$433,MATCH(A206,'2_暦'!$K$7:$K$433,0)),"")</f>
        <v/>
      </c>
      <c r="C206" s="11">
        <f>IF(OR($A206=1,$B206=""),"",IF(OR(YEAR($B206-1)=$B$2,YEAR(INDEX($B$5:$B$344,$A206-1)+1)=$B$2),$B206-INDEX($B$5:$B$344,$A206-1)-1,""))</f>
        <v/>
      </c>
      <c r="D206" s="11">
        <f>IF(OR($A206=1,$B206="",$A206+D$3&gt;340),"",IF(INDEX($B$5:$B$344,$A206+D$3)="","",IF(AND(YEAR($B206)=$B$2,YEAR(INDEX($B$5:$B$344,$A206+D$3-1))=$B$2),INDEX($B$5:$B$344,$A206+D$3)-INDEX($B$5:$B$344,$A206-1)-1,"")))</f>
        <v/>
      </c>
      <c r="E206" s="11">
        <f>IF(OR($A206=1,$B206="",$A206+E$3&gt;340),"",IF(INDEX($B$5:$B$344,$A206+E$3)="","",IF(AND(YEAR($B206)=$B$2,YEAR(INDEX($B$5:$B$344,$A206+E$3-1))=$B$2),INDEX($B$5:$B$344,$A206+E$3)-INDEX($B$5:$B$344,$A206-1)-1,"")))</f>
        <v/>
      </c>
      <c r="F206" s="11">
        <f>IF(OR($A206=1,$B206="",$A206+F$3&gt;340),"",IF(INDEX($B$5:$B$344,$A206+F$3)="","",IF(AND(YEAR($B206)=$B$2,YEAR(INDEX($B$5:$B$344,$A206+F$3-1))=$B$2),INDEX($B$5:$B$344,$A206+F$3)-INDEX($B$5:$B$344,$A206-1)-1,"")))</f>
        <v/>
      </c>
      <c r="G206" s="11">
        <f>IF(OR($A206=1,$B206="",$A206+G$3&gt;340),"",IF(INDEX($B$5:$B$344,$A206+G$3)="","",IF(AND(YEAR($B206)=$B$2,YEAR(INDEX($B$5:$B$344,$A206+G$3-1))=$B$2),INDEX($B$5:$B$344,$A206+G$3)-INDEX($B$5:$B$344,$A206-1)-1,"")))</f>
        <v/>
      </c>
      <c r="H206" s="11">
        <f>IF(OR($A206=1,$B206="",$A206+H$3&gt;340),"",IF(INDEX($B$5:$B$344,$A206+H$3)="","",IF(AND(YEAR($B206)=$B$2,YEAR(INDEX($B$5:$B$344,$A206+H$3-1))=$B$2),INDEX($B$5:$B$344,$A206+H$3)-INDEX($B$5:$B$344,$A206-1)-1,"")))</f>
        <v/>
      </c>
      <c r="I206" s="11">
        <f>IF(OR($A206=1,$B206="",$A206+I$3&gt;340),"",IF(INDEX($B$5:$B$344,$A206+I$3)="","",IF(AND(YEAR($B206)=$B$2,YEAR(INDEX($B$5:$B$344,$A206+I$3-1))=$B$2),INDEX($B$5:$B$344,$A206+I$3)-INDEX($B$5:$B$344,$A206-1)-1,"")))</f>
        <v/>
      </c>
      <c r="J206" s="11">
        <f>IF(OR($A206=1,$B206="",$A206+J$3&gt;340),"",IF(INDEX($B$5:$B$344,$A206+J$3)="","",IF(AND(YEAR($B206)=$B$2,YEAR(INDEX($B$5:$B$344,$A206+J$3-1))=$B$2),INDEX($B$5:$B$344,$A206+J$3)-INDEX($B$5:$B$344,$A206-1)-1,"")))</f>
        <v/>
      </c>
      <c r="K206" s="11">
        <f>IF(OR($A206=1,$B206="",$A206+K$3&gt;340),"",IF(INDEX($B$5:$B$344,$A206+K$3)="","",IF(AND(YEAR($B206)=$B$2,YEAR(INDEX($B$5:$B$344,$A206+K$3-1))=$B$2),INDEX($B$5:$B$344,$A206+K$3)-INDEX($B$5:$B$344,$A206-1)-1,"")))</f>
        <v/>
      </c>
      <c r="L206" s="11">
        <f>IF(OR($A206=1,$B206="",$A206+L$3&gt;340),"",IF(INDEX($B$5:$B$344,$A206+L$3)="","",IF(AND(YEAR($B206)=$B$2,YEAR(INDEX($B$5:$B$344,$A206+L$3-1))=$B$2),INDEX($B$5:$B$344,$A206+L$3)-INDEX($B$5:$B$344,$A206-1)-1,"")))</f>
        <v/>
      </c>
      <c r="M206" s="11">
        <f>IF(OR($A206=1,$B206="",$A206+M$3&gt;340),"",IF(INDEX($B$5:$B$344,$A206+M$3)="","",IF(AND(YEAR($B206)=$B$2,YEAR(INDEX($B$5:$B$344,$A206+M$3-1))=$B$2),INDEX($B$5:$B$344,$A206+M$3)-INDEX($B$5:$B$344,$A206-1)-1,"")))</f>
        <v/>
      </c>
    </row>
    <row r="207">
      <c r="A207" s="11" t="n">
        <v>203</v>
      </c>
      <c r="B207" s="10">
        <f>IFERROR(INDEX('2_暦'!$A$7:$A$433,MATCH(A207,'2_暦'!$K$7:$K$433,0)),"")</f>
        <v/>
      </c>
      <c r="C207" s="11">
        <f>IF(OR($A207=1,$B207=""),"",IF(OR(YEAR($B207-1)=$B$2,YEAR(INDEX($B$5:$B$344,$A207-1)+1)=$B$2),$B207-INDEX($B$5:$B$344,$A207-1)-1,""))</f>
        <v/>
      </c>
      <c r="D207" s="11">
        <f>IF(OR($A207=1,$B207="",$A207+D$3&gt;340),"",IF(INDEX($B$5:$B$344,$A207+D$3)="","",IF(AND(YEAR($B207)=$B$2,YEAR(INDEX($B$5:$B$344,$A207+D$3-1))=$B$2),INDEX($B$5:$B$344,$A207+D$3)-INDEX($B$5:$B$344,$A207-1)-1,"")))</f>
        <v/>
      </c>
      <c r="E207" s="11">
        <f>IF(OR($A207=1,$B207="",$A207+E$3&gt;340),"",IF(INDEX($B$5:$B$344,$A207+E$3)="","",IF(AND(YEAR($B207)=$B$2,YEAR(INDEX($B$5:$B$344,$A207+E$3-1))=$B$2),INDEX($B$5:$B$344,$A207+E$3)-INDEX($B$5:$B$344,$A207-1)-1,"")))</f>
        <v/>
      </c>
      <c r="F207" s="11">
        <f>IF(OR($A207=1,$B207="",$A207+F$3&gt;340),"",IF(INDEX($B$5:$B$344,$A207+F$3)="","",IF(AND(YEAR($B207)=$B$2,YEAR(INDEX($B$5:$B$344,$A207+F$3-1))=$B$2),INDEX($B$5:$B$344,$A207+F$3)-INDEX($B$5:$B$344,$A207-1)-1,"")))</f>
        <v/>
      </c>
      <c r="G207" s="11">
        <f>IF(OR($A207=1,$B207="",$A207+G$3&gt;340),"",IF(INDEX($B$5:$B$344,$A207+G$3)="","",IF(AND(YEAR($B207)=$B$2,YEAR(INDEX($B$5:$B$344,$A207+G$3-1))=$B$2),INDEX($B$5:$B$344,$A207+G$3)-INDEX($B$5:$B$344,$A207-1)-1,"")))</f>
        <v/>
      </c>
      <c r="H207" s="11">
        <f>IF(OR($A207=1,$B207="",$A207+H$3&gt;340),"",IF(INDEX($B$5:$B$344,$A207+H$3)="","",IF(AND(YEAR($B207)=$B$2,YEAR(INDEX($B$5:$B$344,$A207+H$3-1))=$B$2),INDEX($B$5:$B$344,$A207+H$3)-INDEX($B$5:$B$344,$A207-1)-1,"")))</f>
        <v/>
      </c>
      <c r="I207" s="11">
        <f>IF(OR($A207=1,$B207="",$A207+I$3&gt;340),"",IF(INDEX($B$5:$B$344,$A207+I$3)="","",IF(AND(YEAR($B207)=$B$2,YEAR(INDEX($B$5:$B$344,$A207+I$3-1))=$B$2),INDEX($B$5:$B$344,$A207+I$3)-INDEX($B$5:$B$344,$A207-1)-1,"")))</f>
        <v/>
      </c>
      <c r="J207" s="11">
        <f>IF(OR($A207=1,$B207="",$A207+J$3&gt;340),"",IF(INDEX($B$5:$B$344,$A207+J$3)="","",IF(AND(YEAR($B207)=$B$2,YEAR(INDEX($B$5:$B$344,$A207+J$3-1))=$B$2),INDEX($B$5:$B$344,$A207+J$3)-INDEX($B$5:$B$344,$A207-1)-1,"")))</f>
        <v/>
      </c>
      <c r="K207" s="11">
        <f>IF(OR($A207=1,$B207="",$A207+K$3&gt;340),"",IF(INDEX($B$5:$B$344,$A207+K$3)="","",IF(AND(YEAR($B207)=$B$2,YEAR(INDEX($B$5:$B$344,$A207+K$3-1))=$B$2),INDEX($B$5:$B$344,$A207+K$3)-INDEX($B$5:$B$344,$A207-1)-1,"")))</f>
        <v/>
      </c>
      <c r="L207" s="11">
        <f>IF(OR($A207=1,$B207="",$A207+L$3&gt;340),"",IF(INDEX($B$5:$B$344,$A207+L$3)="","",IF(AND(YEAR($B207)=$B$2,YEAR(INDEX($B$5:$B$344,$A207+L$3-1))=$B$2),INDEX($B$5:$B$344,$A207+L$3)-INDEX($B$5:$B$344,$A207-1)-1,"")))</f>
        <v/>
      </c>
      <c r="M207" s="11">
        <f>IF(OR($A207=1,$B207="",$A207+M$3&gt;340),"",IF(INDEX($B$5:$B$344,$A207+M$3)="","",IF(AND(YEAR($B207)=$B$2,YEAR(INDEX($B$5:$B$344,$A207+M$3-1))=$B$2),INDEX($B$5:$B$344,$A207+M$3)-INDEX($B$5:$B$344,$A207-1)-1,"")))</f>
        <v/>
      </c>
    </row>
    <row r="208">
      <c r="A208" s="11" t="n">
        <v>204</v>
      </c>
      <c r="B208" s="10">
        <f>IFERROR(INDEX('2_暦'!$A$7:$A$433,MATCH(A208,'2_暦'!$K$7:$K$433,0)),"")</f>
        <v/>
      </c>
      <c r="C208" s="11">
        <f>IF(OR($A208=1,$B208=""),"",IF(OR(YEAR($B208-1)=$B$2,YEAR(INDEX($B$5:$B$344,$A208-1)+1)=$B$2),$B208-INDEX($B$5:$B$344,$A208-1)-1,""))</f>
        <v/>
      </c>
      <c r="D208" s="11">
        <f>IF(OR($A208=1,$B208="",$A208+D$3&gt;340),"",IF(INDEX($B$5:$B$344,$A208+D$3)="","",IF(AND(YEAR($B208)=$B$2,YEAR(INDEX($B$5:$B$344,$A208+D$3-1))=$B$2),INDEX($B$5:$B$344,$A208+D$3)-INDEX($B$5:$B$344,$A208-1)-1,"")))</f>
        <v/>
      </c>
      <c r="E208" s="11">
        <f>IF(OR($A208=1,$B208="",$A208+E$3&gt;340),"",IF(INDEX($B$5:$B$344,$A208+E$3)="","",IF(AND(YEAR($B208)=$B$2,YEAR(INDEX($B$5:$B$344,$A208+E$3-1))=$B$2),INDEX($B$5:$B$344,$A208+E$3)-INDEX($B$5:$B$344,$A208-1)-1,"")))</f>
        <v/>
      </c>
      <c r="F208" s="11">
        <f>IF(OR($A208=1,$B208="",$A208+F$3&gt;340),"",IF(INDEX($B$5:$B$344,$A208+F$3)="","",IF(AND(YEAR($B208)=$B$2,YEAR(INDEX($B$5:$B$344,$A208+F$3-1))=$B$2),INDEX($B$5:$B$344,$A208+F$3)-INDEX($B$5:$B$344,$A208-1)-1,"")))</f>
        <v/>
      </c>
      <c r="G208" s="11">
        <f>IF(OR($A208=1,$B208="",$A208+G$3&gt;340),"",IF(INDEX($B$5:$B$344,$A208+G$3)="","",IF(AND(YEAR($B208)=$B$2,YEAR(INDEX($B$5:$B$344,$A208+G$3-1))=$B$2),INDEX($B$5:$B$344,$A208+G$3)-INDEX($B$5:$B$344,$A208-1)-1,"")))</f>
        <v/>
      </c>
      <c r="H208" s="11">
        <f>IF(OR($A208=1,$B208="",$A208+H$3&gt;340),"",IF(INDEX($B$5:$B$344,$A208+H$3)="","",IF(AND(YEAR($B208)=$B$2,YEAR(INDEX($B$5:$B$344,$A208+H$3-1))=$B$2),INDEX($B$5:$B$344,$A208+H$3)-INDEX($B$5:$B$344,$A208-1)-1,"")))</f>
        <v/>
      </c>
      <c r="I208" s="11">
        <f>IF(OR($A208=1,$B208="",$A208+I$3&gt;340),"",IF(INDEX($B$5:$B$344,$A208+I$3)="","",IF(AND(YEAR($B208)=$B$2,YEAR(INDEX($B$5:$B$344,$A208+I$3-1))=$B$2),INDEX($B$5:$B$344,$A208+I$3)-INDEX($B$5:$B$344,$A208-1)-1,"")))</f>
        <v/>
      </c>
      <c r="J208" s="11">
        <f>IF(OR($A208=1,$B208="",$A208+J$3&gt;340),"",IF(INDEX($B$5:$B$344,$A208+J$3)="","",IF(AND(YEAR($B208)=$B$2,YEAR(INDEX($B$5:$B$344,$A208+J$3-1))=$B$2),INDEX($B$5:$B$344,$A208+J$3)-INDEX($B$5:$B$344,$A208-1)-1,"")))</f>
        <v/>
      </c>
      <c r="K208" s="11">
        <f>IF(OR($A208=1,$B208="",$A208+K$3&gt;340),"",IF(INDEX($B$5:$B$344,$A208+K$3)="","",IF(AND(YEAR($B208)=$B$2,YEAR(INDEX($B$5:$B$344,$A208+K$3-1))=$B$2),INDEX($B$5:$B$344,$A208+K$3)-INDEX($B$5:$B$344,$A208-1)-1,"")))</f>
        <v/>
      </c>
      <c r="L208" s="11">
        <f>IF(OR($A208=1,$B208="",$A208+L$3&gt;340),"",IF(INDEX($B$5:$B$344,$A208+L$3)="","",IF(AND(YEAR($B208)=$B$2,YEAR(INDEX($B$5:$B$344,$A208+L$3-1))=$B$2),INDEX($B$5:$B$344,$A208+L$3)-INDEX($B$5:$B$344,$A208-1)-1,"")))</f>
        <v/>
      </c>
      <c r="M208" s="11">
        <f>IF(OR($A208=1,$B208="",$A208+M$3&gt;340),"",IF(INDEX($B$5:$B$344,$A208+M$3)="","",IF(AND(YEAR($B208)=$B$2,YEAR(INDEX($B$5:$B$344,$A208+M$3-1))=$B$2),INDEX($B$5:$B$344,$A208+M$3)-INDEX($B$5:$B$344,$A208-1)-1,"")))</f>
        <v/>
      </c>
    </row>
    <row r="209">
      <c r="A209" s="11" t="n">
        <v>205</v>
      </c>
      <c r="B209" s="10">
        <f>IFERROR(INDEX('2_暦'!$A$7:$A$433,MATCH(A209,'2_暦'!$K$7:$K$433,0)),"")</f>
        <v/>
      </c>
      <c r="C209" s="11">
        <f>IF(OR($A209=1,$B209=""),"",IF(OR(YEAR($B209-1)=$B$2,YEAR(INDEX($B$5:$B$344,$A209-1)+1)=$B$2),$B209-INDEX($B$5:$B$344,$A209-1)-1,""))</f>
        <v/>
      </c>
      <c r="D209" s="11">
        <f>IF(OR($A209=1,$B209="",$A209+D$3&gt;340),"",IF(INDEX($B$5:$B$344,$A209+D$3)="","",IF(AND(YEAR($B209)=$B$2,YEAR(INDEX($B$5:$B$344,$A209+D$3-1))=$B$2),INDEX($B$5:$B$344,$A209+D$3)-INDEX($B$5:$B$344,$A209-1)-1,"")))</f>
        <v/>
      </c>
      <c r="E209" s="11">
        <f>IF(OR($A209=1,$B209="",$A209+E$3&gt;340),"",IF(INDEX($B$5:$B$344,$A209+E$3)="","",IF(AND(YEAR($B209)=$B$2,YEAR(INDEX($B$5:$B$344,$A209+E$3-1))=$B$2),INDEX($B$5:$B$344,$A209+E$3)-INDEX($B$5:$B$344,$A209-1)-1,"")))</f>
        <v/>
      </c>
      <c r="F209" s="11">
        <f>IF(OR($A209=1,$B209="",$A209+F$3&gt;340),"",IF(INDEX($B$5:$B$344,$A209+F$3)="","",IF(AND(YEAR($B209)=$B$2,YEAR(INDEX($B$5:$B$344,$A209+F$3-1))=$B$2),INDEX($B$5:$B$344,$A209+F$3)-INDEX($B$5:$B$344,$A209-1)-1,"")))</f>
        <v/>
      </c>
      <c r="G209" s="11">
        <f>IF(OR($A209=1,$B209="",$A209+G$3&gt;340),"",IF(INDEX($B$5:$B$344,$A209+G$3)="","",IF(AND(YEAR($B209)=$B$2,YEAR(INDEX($B$5:$B$344,$A209+G$3-1))=$B$2),INDEX($B$5:$B$344,$A209+G$3)-INDEX($B$5:$B$344,$A209-1)-1,"")))</f>
        <v/>
      </c>
      <c r="H209" s="11">
        <f>IF(OR($A209=1,$B209="",$A209+H$3&gt;340),"",IF(INDEX($B$5:$B$344,$A209+H$3)="","",IF(AND(YEAR($B209)=$B$2,YEAR(INDEX($B$5:$B$344,$A209+H$3-1))=$B$2),INDEX($B$5:$B$344,$A209+H$3)-INDEX($B$5:$B$344,$A209-1)-1,"")))</f>
        <v/>
      </c>
      <c r="I209" s="11">
        <f>IF(OR($A209=1,$B209="",$A209+I$3&gt;340),"",IF(INDEX($B$5:$B$344,$A209+I$3)="","",IF(AND(YEAR($B209)=$B$2,YEAR(INDEX($B$5:$B$344,$A209+I$3-1))=$B$2),INDEX($B$5:$B$344,$A209+I$3)-INDEX($B$5:$B$344,$A209-1)-1,"")))</f>
        <v/>
      </c>
      <c r="J209" s="11">
        <f>IF(OR($A209=1,$B209="",$A209+J$3&gt;340),"",IF(INDEX($B$5:$B$344,$A209+J$3)="","",IF(AND(YEAR($B209)=$B$2,YEAR(INDEX($B$5:$B$344,$A209+J$3-1))=$B$2),INDEX($B$5:$B$344,$A209+J$3)-INDEX($B$5:$B$344,$A209-1)-1,"")))</f>
        <v/>
      </c>
      <c r="K209" s="11">
        <f>IF(OR($A209=1,$B209="",$A209+K$3&gt;340),"",IF(INDEX($B$5:$B$344,$A209+K$3)="","",IF(AND(YEAR($B209)=$B$2,YEAR(INDEX($B$5:$B$344,$A209+K$3-1))=$B$2),INDEX($B$5:$B$344,$A209+K$3)-INDEX($B$5:$B$344,$A209-1)-1,"")))</f>
        <v/>
      </c>
      <c r="L209" s="11">
        <f>IF(OR($A209=1,$B209="",$A209+L$3&gt;340),"",IF(INDEX($B$5:$B$344,$A209+L$3)="","",IF(AND(YEAR($B209)=$B$2,YEAR(INDEX($B$5:$B$344,$A209+L$3-1))=$B$2),INDEX($B$5:$B$344,$A209+L$3)-INDEX($B$5:$B$344,$A209-1)-1,"")))</f>
        <v/>
      </c>
      <c r="M209" s="11">
        <f>IF(OR($A209=1,$B209="",$A209+M$3&gt;340),"",IF(INDEX($B$5:$B$344,$A209+M$3)="","",IF(AND(YEAR($B209)=$B$2,YEAR(INDEX($B$5:$B$344,$A209+M$3-1))=$B$2),INDEX($B$5:$B$344,$A209+M$3)-INDEX($B$5:$B$344,$A209-1)-1,"")))</f>
        <v/>
      </c>
    </row>
    <row r="210">
      <c r="A210" s="11" t="n">
        <v>206</v>
      </c>
      <c r="B210" s="10">
        <f>IFERROR(INDEX('2_暦'!$A$7:$A$433,MATCH(A210,'2_暦'!$K$7:$K$433,0)),"")</f>
        <v/>
      </c>
      <c r="C210" s="11">
        <f>IF(OR($A210=1,$B210=""),"",IF(OR(YEAR($B210-1)=$B$2,YEAR(INDEX($B$5:$B$344,$A210-1)+1)=$B$2),$B210-INDEX($B$5:$B$344,$A210-1)-1,""))</f>
        <v/>
      </c>
      <c r="D210" s="11">
        <f>IF(OR($A210=1,$B210="",$A210+D$3&gt;340),"",IF(INDEX($B$5:$B$344,$A210+D$3)="","",IF(AND(YEAR($B210)=$B$2,YEAR(INDEX($B$5:$B$344,$A210+D$3-1))=$B$2),INDEX($B$5:$B$344,$A210+D$3)-INDEX($B$5:$B$344,$A210-1)-1,"")))</f>
        <v/>
      </c>
      <c r="E210" s="11">
        <f>IF(OR($A210=1,$B210="",$A210+E$3&gt;340),"",IF(INDEX($B$5:$B$344,$A210+E$3)="","",IF(AND(YEAR($B210)=$B$2,YEAR(INDEX($B$5:$B$344,$A210+E$3-1))=$B$2),INDEX($B$5:$B$344,$A210+E$3)-INDEX($B$5:$B$344,$A210-1)-1,"")))</f>
        <v/>
      </c>
      <c r="F210" s="11">
        <f>IF(OR($A210=1,$B210="",$A210+F$3&gt;340),"",IF(INDEX($B$5:$B$344,$A210+F$3)="","",IF(AND(YEAR($B210)=$B$2,YEAR(INDEX($B$5:$B$344,$A210+F$3-1))=$B$2),INDEX($B$5:$B$344,$A210+F$3)-INDEX($B$5:$B$344,$A210-1)-1,"")))</f>
        <v/>
      </c>
      <c r="G210" s="11">
        <f>IF(OR($A210=1,$B210="",$A210+G$3&gt;340),"",IF(INDEX($B$5:$B$344,$A210+G$3)="","",IF(AND(YEAR($B210)=$B$2,YEAR(INDEX($B$5:$B$344,$A210+G$3-1))=$B$2),INDEX($B$5:$B$344,$A210+G$3)-INDEX($B$5:$B$344,$A210-1)-1,"")))</f>
        <v/>
      </c>
      <c r="H210" s="11">
        <f>IF(OR($A210=1,$B210="",$A210+H$3&gt;340),"",IF(INDEX($B$5:$B$344,$A210+H$3)="","",IF(AND(YEAR($B210)=$B$2,YEAR(INDEX($B$5:$B$344,$A210+H$3-1))=$B$2),INDEX($B$5:$B$344,$A210+H$3)-INDEX($B$5:$B$344,$A210-1)-1,"")))</f>
        <v/>
      </c>
      <c r="I210" s="11">
        <f>IF(OR($A210=1,$B210="",$A210+I$3&gt;340),"",IF(INDEX($B$5:$B$344,$A210+I$3)="","",IF(AND(YEAR($B210)=$B$2,YEAR(INDEX($B$5:$B$344,$A210+I$3-1))=$B$2),INDEX($B$5:$B$344,$A210+I$3)-INDEX($B$5:$B$344,$A210-1)-1,"")))</f>
        <v/>
      </c>
      <c r="J210" s="11">
        <f>IF(OR($A210=1,$B210="",$A210+J$3&gt;340),"",IF(INDEX($B$5:$B$344,$A210+J$3)="","",IF(AND(YEAR($B210)=$B$2,YEAR(INDEX($B$5:$B$344,$A210+J$3-1))=$B$2),INDEX($B$5:$B$344,$A210+J$3)-INDEX($B$5:$B$344,$A210-1)-1,"")))</f>
        <v/>
      </c>
      <c r="K210" s="11">
        <f>IF(OR($A210=1,$B210="",$A210+K$3&gt;340),"",IF(INDEX($B$5:$B$344,$A210+K$3)="","",IF(AND(YEAR($B210)=$B$2,YEAR(INDEX($B$5:$B$344,$A210+K$3-1))=$B$2),INDEX($B$5:$B$344,$A210+K$3)-INDEX($B$5:$B$344,$A210-1)-1,"")))</f>
        <v/>
      </c>
      <c r="L210" s="11">
        <f>IF(OR($A210=1,$B210="",$A210+L$3&gt;340),"",IF(INDEX($B$5:$B$344,$A210+L$3)="","",IF(AND(YEAR($B210)=$B$2,YEAR(INDEX($B$5:$B$344,$A210+L$3-1))=$B$2),INDEX($B$5:$B$344,$A210+L$3)-INDEX($B$5:$B$344,$A210-1)-1,"")))</f>
        <v/>
      </c>
      <c r="M210" s="11">
        <f>IF(OR($A210=1,$B210="",$A210+M$3&gt;340),"",IF(INDEX($B$5:$B$344,$A210+M$3)="","",IF(AND(YEAR($B210)=$B$2,YEAR(INDEX($B$5:$B$344,$A210+M$3-1))=$B$2),INDEX($B$5:$B$344,$A210+M$3)-INDEX($B$5:$B$344,$A210-1)-1,"")))</f>
        <v/>
      </c>
    </row>
    <row r="211">
      <c r="A211" s="11" t="n">
        <v>207</v>
      </c>
      <c r="B211" s="10">
        <f>IFERROR(INDEX('2_暦'!$A$7:$A$433,MATCH(A211,'2_暦'!$K$7:$K$433,0)),"")</f>
        <v/>
      </c>
      <c r="C211" s="11">
        <f>IF(OR($A211=1,$B211=""),"",IF(OR(YEAR($B211-1)=$B$2,YEAR(INDEX($B$5:$B$344,$A211-1)+1)=$B$2),$B211-INDEX($B$5:$B$344,$A211-1)-1,""))</f>
        <v/>
      </c>
      <c r="D211" s="11">
        <f>IF(OR($A211=1,$B211="",$A211+D$3&gt;340),"",IF(INDEX($B$5:$B$344,$A211+D$3)="","",IF(AND(YEAR($B211)=$B$2,YEAR(INDEX($B$5:$B$344,$A211+D$3-1))=$B$2),INDEX($B$5:$B$344,$A211+D$3)-INDEX($B$5:$B$344,$A211-1)-1,"")))</f>
        <v/>
      </c>
      <c r="E211" s="11">
        <f>IF(OR($A211=1,$B211="",$A211+E$3&gt;340),"",IF(INDEX($B$5:$B$344,$A211+E$3)="","",IF(AND(YEAR($B211)=$B$2,YEAR(INDEX($B$5:$B$344,$A211+E$3-1))=$B$2),INDEX($B$5:$B$344,$A211+E$3)-INDEX($B$5:$B$344,$A211-1)-1,"")))</f>
        <v/>
      </c>
      <c r="F211" s="11">
        <f>IF(OR($A211=1,$B211="",$A211+F$3&gt;340),"",IF(INDEX($B$5:$B$344,$A211+F$3)="","",IF(AND(YEAR($B211)=$B$2,YEAR(INDEX($B$5:$B$344,$A211+F$3-1))=$B$2),INDEX($B$5:$B$344,$A211+F$3)-INDEX($B$5:$B$344,$A211-1)-1,"")))</f>
        <v/>
      </c>
      <c r="G211" s="11">
        <f>IF(OR($A211=1,$B211="",$A211+G$3&gt;340),"",IF(INDEX($B$5:$B$344,$A211+G$3)="","",IF(AND(YEAR($B211)=$B$2,YEAR(INDEX($B$5:$B$344,$A211+G$3-1))=$B$2),INDEX($B$5:$B$344,$A211+G$3)-INDEX($B$5:$B$344,$A211-1)-1,"")))</f>
        <v/>
      </c>
      <c r="H211" s="11">
        <f>IF(OR($A211=1,$B211="",$A211+H$3&gt;340),"",IF(INDEX($B$5:$B$344,$A211+H$3)="","",IF(AND(YEAR($B211)=$B$2,YEAR(INDEX($B$5:$B$344,$A211+H$3-1))=$B$2),INDEX($B$5:$B$344,$A211+H$3)-INDEX($B$5:$B$344,$A211-1)-1,"")))</f>
        <v/>
      </c>
      <c r="I211" s="11">
        <f>IF(OR($A211=1,$B211="",$A211+I$3&gt;340),"",IF(INDEX($B$5:$B$344,$A211+I$3)="","",IF(AND(YEAR($B211)=$B$2,YEAR(INDEX($B$5:$B$344,$A211+I$3-1))=$B$2),INDEX($B$5:$B$344,$A211+I$3)-INDEX($B$5:$B$344,$A211-1)-1,"")))</f>
        <v/>
      </c>
      <c r="J211" s="11">
        <f>IF(OR($A211=1,$B211="",$A211+J$3&gt;340),"",IF(INDEX($B$5:$B$344,$A211+J$3)="","",IF(AND(YEAR($B211)=$B$2,YEAR(INDEX($B$5:$B$344,$A211+J$3-1))=$B$2),INDEX($B$5:$B$344,$A211+J$3)-INDEX($B$5:$B$344,$A211-1)-1,"")))</f>
        <v/>
      </c>
      <c r="K211" s="11">
        <f>IF(OR($A211=1,$B211="",$A211+K$3&gt;340),"",IF(INDEX($B$5:$B$344,$A211+K$3)="","",IF(AND(YEAR($B211)=$B$2,YEAR(INDEX($B$5:$B$344,$A211+K$3-1))=$B$2),INDEX($B$5:$B$344,$A211+K$3)-INDEX($B$5:$B$344,$A211-1)-1,"")))</f>
        <v/>
      </c>
      <c r="L211" s="11">
        <f>IF(OR($A211=1,$B211="",$A211+L$3&gt;340),"",IF(INDEX($B$5:$B$344,$A211+L$3)="","",IF(AND(YEAR($B211)=$B$2,YEAR(INDEX($B$5:$B$344,$A211+L$3-1))=$B$2),INDEX($B$5:$B$344,$A211+L$3)-INDEX($B$5:$B$344,$A211-1)-1,"")))</f>
        <v/>
      </c>
      <c r="M211" s="11">
        <f>IF(OR($A211=1,$B211="",$A211+M$3&gt;340),"",IF(INDEX($B$5:$B$344,$A211+M$3)="","",IF(AND(YEAR($B211)=$B$2,YEAR(INDEX($B$5:$B$344,$A211+M$3-1))=$B$2),INDEX($B$5:$B$344,$A211+M$3)-INDEX($B$5:$B$344,$A211-1)-1,"")))</f>
        <v/>
      </c>
    </row>
    <row r="212">
      <c r="A212" s="11" t="n">
        <v>208</v>
      </c>
      <c r="B212" s="10">
        <f>IFERROR(INDEX('2_暦'!$A$7:$A$433,MATCH(A212,'2_暦'!$K$7:$K$433,0)),"")</f>
        <v/>
      </c>
      <c r="C212" s="11">
        <f>IF(OR($A212=1,$B212=""),"",IF(OR(YEAR($B212-1)=$B$2,YEAR(INDEX($B$5:$B$344,$A212-1)+1)=$B$2),$B212-INDEX($B$5:$B$344,$A212-1)-1,""))</f>
        <v/>
      </c>
      <c r="D212" s="11">
        <f>IF(OR($A212=1,$B212="",$A212+D$3&gt;340),"",IF(INDEX($B$5:$B$344,$A212+D$3)="","",IF(AND(YEAR($B212)=$B$2,YEAR(INDEX($B$5:$B$344,$A212+D$3-1))=$B$2),INDEX($B$5:$B$344,$A212+D$3)-INDEX($B$5:$B$344,$A212-1)-1,"")))</f>
        <v/>
      </c>
      <c r="E212" s="11">
        <f>IF(OR($A212=1,$B212="",$A212+E$3&gt;340),"",IF(INDEX($B$5:$B$344,$A212+E$3)="","",IF(AND(YEAR($B212)=$B$2,YEAR(INDEX($B$5:$B$344,$A212+E$3-1))=$B$2),INDEX($B$5:$B$344,$A212+E$3)-INDEX($B$5:$B$344,$A212-1)-1,"")))</f>
        <v/>
      </c>
      <c r="F212" s="11">
        <f>IF(OR($A212=1,$B212="",$A212+F$3&gt;340),"",IF(INDEX($B$5:$B$344,$A212+F$3)="","",IF(AND(YEAR($B212)=$B$2,YEAR(INDEX($B$5:$B$344,$A212+F$3-1))=$B$2),INDEX($B$5:$B$344,$A212+F$3)-INDEX($B$5:$B$344,$A212-1)-1,"")))</f>
        <v/>
      </c>
      <c r="G212" s="11">
        <f>IF(OR($A212=1,$B212="",$A212+G$3&gt;340),"",IF(INDEX($B$5:$B$344,$A212+G$3)="","",IF(AND(YEAR($B212)=$B$2,YEAR(INDEX($B$5:$B$344,$A212+G$3-1))=$B$2),INDEX($B$5:$B$344,$A212+G$3)-INDEX($B$5:$B$344,$A212-1)-1,"")))</f>
        <v/>
      </c>
      <c r="H212" s="11">
        <f>IF(OR($A212=1,$B212="",$A212+H$3&gt;340),"",IF(INDEX($B$5:$B$344,$A212+H$3)="","",IF(AND(YEAR($B212)=$B$2,YEAR(INDEX($B$5:$B$344,$A212+H$3-1))=$B$2),INDEX($B$5:$B$344,$A212+H$3)-INDEX($B$5:$B$344,$A212-1)-1,"")))</f>
        <v/>
      </c>
      <c r="I212" s="11">
        <f>IF(OR($A212=1,$B212="",$A212+I$3&gt;340),"",IF(INDEX($B$5:$B$344,$A212+I$3)="","",IF(AND(YEAR($B212)=$B$2,YEAR(INDEX($B$5:$B$344,$A212+I$3-1))=$B$2),INDEX($B$5:$B$344,$A212+I$3)-INDEX($B$5:$B$344,$A212-1)-1,"")))</f>
        <v/>
      </c>
      <c r="J212" s="11">
        <f>IF(OR($A212=1,$B212="",$A212+J$3&gt;340),"",IF(INDEX($B$5:$B$344,$A212+J$3)="","",IF(AND(YEAR($B212)=$B$2,YEAR(INDEX($B$5:$B$344,$A212+J$3-1))=$B$2),INDEX($B$5:$B$344,$A212+J$3)-INDEX($B$5:$B$344,$A212-1)-1,"")))</f>
        <v/>
      </c>
      <c r="K212" s="11">
        <f>IF(OR($A212=1,$B212="",$A212+K$3&gt;340),"",IF(INDEX($B$5:$B$344,$A212+K$3)="","",IF(AND(YEAR($B212)=$B$2,YEAR(INDEX($B$5:$B$344,$A212+K$3-1))=$B$2),INDEX($B$5:$B$344,$A212+K$3)-INDEX($B$5:$B$344,$A212-1)-1,"")))</f>
        <v/>
      </c>
      <c r="L212" s="11">
        <f>IF(OR($A212=1,$B212="",$A212+L$3&gt;340),"",IF(INDEX($B$5:$B$344,$A212+L$3)="","",IF(AND(YEAR($B212)=$B$2,YEAR(INDEX($B$5:$B$344,$A212+L$3-1))=$B$2),INDEX($B$5:$B$344,$A212+L$3)-INDEX($B$5:$B$344,$A212-1)-1,"")))</f>
        <v/>
      </c>
      <c r="M212" s="11">
        <f>IF(OR($A212=1,$B212="",$A212+M$3&gt;340),"",IF(INDEX($B$5:$B$344,$A212+M$3)="","",IF(AND(YEAR($B212)=$B$2,YEAR(INDEX($B$5:$B$344,$A212+M$3-1))=$B$2),INDEX($B$5:$B$344,$A212+M$3)-INDEX($B$5:$B$344,$A212-1)-1,"")))</f>
        <v/>
      </c>
    </row>
    <row r="213">
      <c r="A213" s="11" t="n">
        <v>209</v>
      </c>
      <c r="B213" s="10">
        <f>IFERROR(INDEX('2_暦'!$A$7:$A$433,MATCH(A213,'2_暦'!$K$7:$K$433,0)),"")</f>
        <v/>
      </c>
      <c r="C213" s="11">
        <f>IF(OR($A213=1,$B213=""),"",IF(OR(YEAR($B213-1)=$B$2,YEAR(INDEX($B$5:$B$344,$A213-1)+1)=$B$2),$B213-INDEX($B$5:$B$344,$A213-1)-1,""))</f>
        <v/>
      </c>
      <c r="D213" s="11">
        <f>IF(OR($A213=1,$B213="",$A213+D$3&gt;340),"",IF(INDEX($B$5:$B$344,$A213+D$3)="","",IF(AND(YEAR($B213)=$B$2,YEAR(INDEX($B$5:$B$344,$A213+D$3-1))=$B$2),INDEX($B$5:$B$344,$A213+D$3)-INDEX($B$5:$B$344,$A213-1)-1,"")))</f>
        <v/>
      </c>
      <c r="E213" s="11">
        <f>IF(OR($A213=1,$B213="",$A213+E$3&gt;340),"",IF(INDEX($B$5:$B$344,$A213+E$3)="","",IF(AND(YEAR($B213)=$B$2,YEAR(INDEX($B$5:$B$344,$A213+E$3-1))=$B$2),INDEX($B$5:$B$344,$A213+E$3)-INDEX($B$5:$B$344,$A213-1)-1,"")))</f>
        <v/>
      </c>
      <c r="F213" s="11">
        <f>IF(OR($A213=1,$B213="",$A213+F$3&gt;340),"",IF(INDEX($B$5:$B$344,$A213+F$3)="","",IF(AND(YEAR($B213)=$B$2,YEAR(INDEX($B$5:$B$344,$A213+F$3-1))=$B$2),INDEX($B$5:$B$344,$A213+F$3)-INDEX($B$5:$B$344,$A213-1)-1,"")))</f>
        <v/>
      </c>
      <c r="G213" s="11">
        <f>IF(OR($A213=1,$B213="",$A213+G$3&gt;340),"",IF(INDEX($B$5:$B$344,$A213+G$3)="","",IF(AND(YEAR($B213)=$B$2,YEAR(INDEX($B$5:$B$344,$A213+G$3-1))=$B$2),INDEX($B$5:$B$344,$A213+G$3)-INDEX($B$5:$B$344,$A213-1)-1,"")))</f>
        <v/>
      </c>
      <c r="H213" s="11">
        <f>IF(OR($A213=1,$B213="",$A213+H$3&gt;340),"",IF(INDEX($B$5:$B$344,$A213+H$3)="","",IF(AND(YEAR($B213)=$B$2,YEAR(INDEX($B$5:$B$344,$A213+H$3-1))=$B$2),INDEX($B$5:$B$344,$A213+H$3)-INDEX($B$5:$B$344,$A213-1)-1,"")))</f>
        <v/>
      </c>
      <c r="I213" s="11">
        <f>IF(OR($A213=1,$B213="",$A213+I$3&gt;340),"",IF(INDEX($B$5:$B$344,$A213+I$3)="","",IF(AND(YEAR($B213)=$B$2,YEAR(INDEX($B$5:$B$344,$A213+I$3-1))=$B$2),INDEX($B$5:$B$344,$A213+I$3)-INDEX($B$5:$B$344,$A213-1)-1,"")))</f>
        <v/>
      </c>
      <c r="J213" s="11">
        <f>IF(OR($A213=1,$B213="",$A213+J$3&gt;340),"",IF(INDEX($B$5:$B$344,$A213+J$3)="","",IF(AND(YEAR($B213)=$B$2,YEAR(INDEX($B$5:$B$344,$A213+J$3-1))=$B$2),INDEX($B$5:$B$344,$A213+J$3)-INDEX($B$5:$B$344,$A213-1)-1,"")))</f>
        <v/>
      </c>
      <c r="K213" s="11">
        <f>IF(OR($A213=1,$B213="",$A213+K$3&gt;340),"",IF(INDEX($B$5:$B$344,$A213+K$3)="","",IF(AND(YEAR($B213)=$B$2,YEAR(INDEX($B$5:$B$344,$A213+K$3-1))=$B$2),INDEX($B$5:$B$344,$A213+K$3)-INDEX($B$5:$B$344,$A213-1)-1,"")))</f>
        <v/>
      </c>
      <c r="L213" s="11">
        <f>IF(OR($A213=1,$B213="",$A213+L$3&gt;340),"",IF(INDEX($B$5:$B$344,$A213+L$3)="","",IF(AND(YEAR($B213)=$B$2,YEAR(INDEX($B$5:$B$344,$A213+L$3-1))=$B$2),INDEX($B$5:$B$344,$A213+L$3)-INDEX($B$5:$B$344,$A213-1)-1,"")))</f>
        <v/>
      </c>
      <c r="M213" s="11">
        <f>IF(OR($A213=1,$B213="",$A213+M$3&gt;340),"",IF(INDEX($B$5:$B$344,$A213+M$3)="","",IF(AND(YEAR($B213)=$B$2,YEAR(INDEX($B$5:$B$344,$A213+M$3-1))=$B$2),INDEX($B$5:$B$344,$A213+M$3)-INDEX($B$5:$B$344,$A213-1)-1,"")))</f>
        <v/>
      </c>
    </row>
    <row r="214">
      <c r="A214" s="11" t="n">
        <v>210</v>
      </c>
      <c r="B214" s="10">
        <f>IFERROR(INDEX('2_暦'!$A$7:$A$433,MATCH(A214,'2_暦'!$K$7:$K$433,0)),"")</f>
        <v/>
      </c>
      <c r="C214" s="11">
        <f>IF(OR($A214=1,$B214=""),"",IF(OR(YEAR($B214-1)=$B$2,YEAR(INDEX($B$5:$B$344,$A214-1)+1)=$B$2),$B214-INDEX($B$5:$B$344,$A214-1)-1,""))</f>
        <v/>
      </c>
      <c r="D214" s="11">
        <f>IF(OR($A214=1,$B214="",$A214+D$3&gt;340),"",IF(INDEX($B$5:$B$344,$A214+D$3)="","",IF(AND(YEAR($B214)=$B$2,YEAR(INDEX($B$5:$B$344,$A214+D$3-1))=$B$2),INDEX($B$5:$B$344,$A214+D$3)-INDEX($B$5:$B$344,$A214-1)-1,"")))</f>
        <v/>
      </c>
      <c r="E214" s="11">
        <f>IF(OR($A214=1,$B214="",$A214+E$3&gt;340),"",IF(INDEX($B$5:$B$344,$A214+E$3)="","",IF(AND(YEAR($B214)=$B$2,YEAR(INDEX($B$5:$B$344,$A214+E$3-1))=$B$2),INDEX($B$5:$B$344,$A214+E$3)-INDEX($B$5:$B$344,$A214-1)-1,"")))</f>
        <v/>
      </c>
      <c r="F214" s="11">
        <f>IF(OR($A214=1,$B214="",$A214+F$3&gt;340),"",IF(INDEX($B$5:$B$344,$A214+F$3)="","",IF(AND(YEAR($B214)=$B$2,YEAR(INDEX($B$5:$B$344,$A214+F$3-1))=$B$2),INDEX($B$5:$B$344,$A214+F$3)-INDEX($B$5:$B$344,$A214-1)-1,"")))</f>
        <v/>
      </c>
      <c r="G214" s="11">
        <f>IF(OR($A214=1,$B214="",$A214+G$3&gt;340),"",IF(INDEX($B$5:$B$344,$A214+G$3)="","",IF(AND(YEAR($B214)=$B$2,YEAR(INDEX($B$5:$B$344,$A214+G$3-1))=$B$2),INDEX($B$5:$B$344,$A214+G$3)-INDEX($B$5:$B$344,$A214-1)-1,"")))</f>
        <v/>
      </c>
      <c r="H214" s="11">
        <f>IF(OR($A214=1,$B214="",$A214+H$3&gt;340),"",IF(INDEX($B$5:$B$344,$A214+H$3)="","",IF(AND(YEAR($B214)=$B$2,YEAR(INDEX($B$5:$B$344,$A214+H$3-1))=$B$2),INDEX($B$5:$B$344,$A214+H$3)-INDEX($B$5:$B$344,$A214-1)-1,"")))</f>
        <v/>
      </c>
      <c r="I214" s="11">
        <f>IF(OR($A214=1,$B214="",$A214+I$3&gt;340),"",IF(INDEX($B$5:$B$344,$A214+I$3)="","",IF(AND(YEAR($B214)=$B$2,YEAR(INDEX($B$5:$B$344,$A214+I$3-1))=$B$2),INDEX($B$5:$B$344,$A214+I$3)-INDEX($B$5:$B$344,$A214-1)-1,"")))</f>
        <v/>
      </c>
      <c r="J214" s="11">
        <f>IF(OR($A214=1,$B214="",$A214+J$3&gt;340),"",IF(INDEX($B$5:$B$344,$A214+J$3)="","",IF(AND(YEAR($B214)=$B$2,YEAR(INDEX($B$5:$B$344,$A214+J$3-1))=$B$2),INDEX($B$5:$B$344,$A214+J$3)-INDEX($B$5:$B$344,$A214-1)-1,"")))</f>
        <v/>
      </c>
      <c r="K214" s="11">
        <f>IF(OR($A214=1,$B214="",$A214+K$3&gt;340),"",IF(INDEX($B$5:$B$344,$A214+K$3)="","",IF(AND(YEAR($B214)=$B$2,YEAR(INDEX($B$5:$B$344,$A214+K$3-1))=$B$2),INDEX($B$5:$B$344,$A214+K$3)-INDEX($B$5:$B$344,$A214-1)-1,"")))</f>
        <v/>
      </c>
      <c r="L214" s="11">
        <f>IF(OR($A214=1,$B214="",$A214+L$3&gt;340),"",IF(INDEX($B$5:$B$344,$A214+L$3)="","",IF(AND(YEAR($B214)=$B$2,YEAR(INDEX($B$5:$B$344,$A214+L$3-1))=$B$2),INDEX($B$5:$B$344,$A214+L$3)-INDEX($B$5:$B$344,$A214-1)-1,"")))</f>
        <v/>
      </c>
      <c r="M214" s="11">
        <f>IF(OR($A214=1,$B214="",$A214+M$3&gt;340),"",IF(INDEX($B$5:$B$344,$A214+M$3)="","",IF(AND(YEAR($B214)=$B$2,YEAR(INDEX($B$5:$B$344,$A214+M$3-1))=$B$2),INDEX($B$5:$B$344,$A214+M$3)-INDEX($B$5:$B$344,$A214-1)-1,"")))</f>
        <v/>
      </c>
    </row>
    <row r="215">
      <c r="A215" s="11" t="n">
        <v>211</v>
      </c>
      <c r="B215" s="10">
        <f>IFERROR(INDEX('2_暦'!$A$7:$A$433,MATCH(A215,'2_暦'!$K$7:$K$433,0)),"")</f>
        <v/>
      </c>
      <c r="C215" s="11">
        <f>IF(OR($A215=1,$B215=""),"",IF(OR(YEAR($B215-1)=$B$2,YEAR(INDEX($B$5:$B$344,$A215-1)+1)=$B$2),$B215-INDEX($B$5:$B$344,$A215-1)-1,""))</f>
        <v/>
      </c>
      <c r="D215" s="11">
        <f>IF(OR($A215=1,$B215="",$A215+D$3&gt;340),"",IF(INDEX($B$5:$B$344,$A215+D$3)="","",IF(AND(YEAR($B215)=$B$2,YEAR(INDEX($B$5:$B$344,$A215+D$3-1))=$B$2),INDEX($B$5:$B$344,$A215+D$3)-INDEX($B$5:$B$344,$A215-1)-1,"")))</f>
        <v/>
      </c>
      <c r="E215" s="11">
        <f>IF(OR($A215=1,$B215="",$A215+E$3&gt;340),"",IF(INDEX($B$5:$B$344,$A215+E$3)="","",IF(AND(YEAR($B215)=$B$2,YEAR(INDEX($B$5:$B$344,$A215+E$3-1))=$B$2),INDEX($B$5:$B$344,$A215+E$3)-INDEX($B$5:$B$344,$A215-1)-1,"")))</f>
        <v/>
      </c>
      <c r="F215" s="11">
        <f>IF(OR($A215=1,$B215="",$A215+F$3&gt;340),"",IF(INDEX($B$5:$B$344,$A215+F$3)="","",IF(AND(YEAR($B215)=$B$2,YEAR(INDEX($B$5:$B$344,$A215+F$3-1))=$B$2),INDEX($B$5:$B$344,$A215+F$3)-INDEX($B$5:$B$344,$A215-1)-1,"")))</f>
        <v/>
      </c>
      <c r="G215" s="11">
        <f>IF(OR($A215=1,$B215="",$A215+G$3&gt;340),"",IF(INDEX($B$5:$B$344,$A215+G$3)="","",IF(AND(YEAR($B215)=$B$2,YEAR(INDEX($B$5:$B$344,$A215+G$3-1))=$B$2),INDEX($B$5:$B$344,$A215+G$3)-INDEX($B$5:$B$344,$A215-1)-1,"")))</f>
        <v/>
      </c>
      <c r="H215" s="11">
        <f>IF(OR($A215=1,$B215="",$A215+H$3&gt;340),"",IF(INDEX($B$5:$B$344,$A215+H$3)="","",IF(AND(YEAR($B215)=$B$2,YEAR(INDEX($B$5:$B$344,$A215+H$3-1))=$B$2),INDEX($B$5:$B$344,$A215+H$3)-INDEX($B$5:$B$344,$A215-1)-1,"")))</f>
        <v/>
      </c>
      <c r="I215" s="11">
        <f>IF(OR($A215=1,$B215="",$A215+I$3&gt;340),"",IF(INDEX($B$5:$B$344,$A215+I$3)="","",IF(AND(YEAR($B215)=$B$2,YEAR(INDEX($B$5:$B$344,$A215+I$3-1))=$B$2),INDEX($B$5:$B$344,$A215+I$3)-INDEX($B$5:$B$344,$A215-1)-1,"")))</f>
        <v/>
      </c>
      <c r="J215" s="11">
        <f>IF(OR($A215=1,$B215="",$A215+J$3&gt;340),"",IF(INDEX($B$5:$B$344,$A215+J$3)="","",IF(AND(YEAR($B215)=$B$2,YEAR(INDEX($B$5:$B$344,$A215+J$3-1))=$B$2),INDEX($B$5:$B$344,$A215+J$3)-INDEX($B$5:$B$344,$A215-1)-1,"")))</f>
        <v/>
      </c>
      <c r="K215" s="11">
        <f>IF(OR($A215=1,$B215="",$A215+K$3&gt;340),"",IF(INDEX($B$5:$B$344,$A215+K$3)="","",IF(AND(YEAR($B215)=$B$2,YEAR(INDEX($B$5:$B$344,$A215+K$3-1))=$B$2),INDEX($B$5:$B$344,$A215+K$3)-INDEX($B$5:$B$344,$A215-1)-1,"")))</f>
        <v/>
      </c>
      <c r="L215" s="11">
        <f>IF(OR($A215=1,$B215="",$A215+L$3&gt;340),"",IF(INDEX($B$5:$B$344,$A215+L$3)="","",IF(AND(YEAR($B215)=$B$2,YEAR(INDEX($B$5:$B$344,$A215+L$3-1))=$B$2),INDEX($B$5:$B$344,$A215+L$3)-INDEX($B$5:$B$344,$A215-1)-1,"")))</f>
        <v/>
      </c>
      <c r="M215" s="11">
        <f>IF(OR($A215=1,$B215="",$A215+M$3&gt;340),"",IF(INDEX($B$5:$B$344,$A215+M$3)="","",IF(AND(YEAR($B215)=$B$2,YEAR(INDEX($B$5:$B$344,$A215+M$3-1))=$B$2),INDEX($B$5:$B$344,$A215+M$3)-INDEX($B$5:$B$344,$A215-1)-1,"")))</f>
        <v/>
      </c>
    </row>
    <row r="216">
      <c r="A216" s="11" t="n">
        <v>212</v>
      </c>
      <c r="B216" s="10">
        <f>IFERROR(INDEX('2_暦'!$A$7:$A$433,MATCH(A216,'2_暦'!$K$7:$K$433,0)),"")</f>
        <v/>
      </c>
      <c r="C216" s="11">
        <f>IF(OR($A216=1,$B216=""),"",IF(OR(YEAR($B216-1)=$B$2,YEAR(INDEX($B$5:$B$344,$A216-1)+1)=$B$2),$B216-INDEX($B$5:$B$344,$A216-1)-1,""))</f>
        <v/>
      </c>
      <c r="D216" s="11">
        <f>IF(OR($A216=1,$B216="",$A216+D$3&gt;340),"",IF(INDEX($B$5:$B$344,$A216+D$3)="","",IF(AND(YEAR($B216)=$B$2,YEAR(INDEX($B$5:$B$344,$A216+D$3-1))=$B$2),INDEX($B$5:$B$344,$A216+D$3)-INDEX($B$5:$B$344,$A216-1)-1,"")))</f>
        <v/>
      </c>
      <c r="E216" s="11">
        <f>IF(OR($A216=1,$B216="",$A216+E$3&gt;340),"",IF(INDEX($B$5:$B$344,$A216+E$3)="","",IF(AND(YEAR($B216)=$B$2,YEAR(INDEX($B$5:$B$344,$A216+E$3-1))=$B$2),INDEX($B$5:$B$344,$A216+E$3)-INDEX($B$5:$B$344,$A216-1)-1,"")))</f>
        <v/>
      </c>
      <c r="F216" s="11">
        <f>IF(OR($A216=1,$B216="",$A216+F$3&gt;340),"",IF(INDEX($B$5:$B$344,$A216+F$3)="","",IF(AND(YEAR($B216)=$B$2,YEAR(INDEX($B$5:$B$344,$A216+F$3-1))=$B$2),INDEX($B$5:$B$344,$A216+F$3)-INDEX($B$5:$B$344,$A216-1)-1,"")))</f>
        <v/>
      </c>
      <c r="G216" s="11">
        <f>IF(OR($A216=1,$B216="",$A216+G$3&gt;340),"",IF(INDEX($B$5:$B$344,$A216+G$3)="","",IF(AND(YEAR($B216)=$B$2,YEAR(INDEX($B$5:$B$344,$A216+G$3-1))=$B$2),INDEX($B$5:$B$344,$A216+G$3)-INDEX($B$5:$B$344,$A216-1)-1,"")))</f>
        <v/>
      </c>
      <c r="H216" s="11">
        <f>IF(OR($A216=1,$B216="",$A216+H$3&gt;340),"",IF(INDEX($B$5:$B$344,$A216+H$3)="","",IF(AND(YEAR($B216)=$B$2,YEAR(INDEX($B$5:$B$344,$A216+H$3-1))=$B$2),INDEX($B$5:$B$344,$A216+H$3)-INDEX($B$5:$B$344,$A216-1)-1,"")))</f>
        <v/>
      </c>
      <c r="I216" s="11">
        <f>IF(OR($A216=1,$B216="",$A216+I$3&gt;340),"",IF(INDEX($B$5:$B$344,$A216+I$3)="","",IF(AND(YEAR($B216)=$B$2,YEAR(INDEX($B$5:$B$344,$A216+I$3-1))=$B$2),INDEX($B$5:$B$344,$A216+I$3)-INDEX($B$5:$B$344,$A216-1)-1,"")))</f>
        <v/>
      </c>
      <c r="J216" s="11">
        <f>IF(OR($A216=1,$B216="",$A216+J$3&gt;340),"",IF(INDEX($B$5:$B$344,$A216+J$3)="","",IF(AND(YEAR($B216)=$B$2,YEAR(INDEX($B$5:$B$344,$A216+J$3-1))=$B$2),INDEX($B$5:$B$344,$A216+J$3)-INDEX($B$5:$B$344,$A216-1)-1,"")))</f>
        <v/>
      </c>
      <c r="K216" s="11">
        <f>IF(OR($A216=1,$B216="",$A216+K$3&gt;340),"",IF(INDEX($B$5:$B$344,$A216+K$3)="","",IF(AND(YEAR($B216)=$B$2,YEAR(INDEX($B$5:$B$344,$A216+K$3-1))=$B$2),INDEX($B$5:$B$344,$A216+K$3)-INDEX($B$5:$B$344,$A216-1)-1,"")))</f>
        <v/>
      </c>
      <c r="L216" s="11">
        <f>IF(OR($A216=1,$B216="",$A216+L$3&gt;340),"",IF(INDEX($B$5:$B$344,$A216+L$3)="","",IF(AND(YEAR($B216)=$B$2,YEAR(INDEX($B$5:$B$344,$A216+L$3-1))=$B$2),INDEX($B$5:$B$344,$A216+L$3)-INDEX($B$5:$B$344,$A216-1)-1,"")))</f>
        <v/>
      </c>
      <c r="M216" s="11">
        <f>IF(OR($A216=1,$B216="",$A216+M$3&gt;340),"",IF(INDEX($B$5:$B$344,$A216+M$3)="","",IF(AND(YEAR($B216)=$B$2,YEAR(INDEX($B$5:$B$344,$A216+M$3-1))=$B$2),INDEX($B$5:$B$344,$A216+M$3)-INDEX($B$5:$B$344,$A216-1)-1,"")))</f>
        <v/>
      </c>
    </row>
    <row r="217">
      <c r="A217" s="11" t="n">
        <v>213</v>
      </c>
      <c r="B217" s="10">
        <f>IFERROR(INDEX('2_暦'!$A$7:$A$433,MATCH(A217,'2_暦'!$K$7:$K$433,0)),"")</f>
        <v/>
      </c>
      <c r="C217" s="11">
        <f>IF(OR($A217=1,$B217=""),"",IF(OR(YEAR($B217-1)=$B$2,YEAR(INDEX($B$5:$B$344,$A217-1)+1)=$B$2),$B217-INDEX($B$5:$B$344,$A217-1)-1,""))</f>
        <v/>
      </c>
      <c r="D217" s="11">
        <f>IF(OR($A217=1,$B217="",$A217+D$3&gt;340),"",IF(INDEX($B$5:$B$344,$A217+D$3)="","",IF(AND(YEAR($B217)=$B$2,YEAR(INDEX($B$5:$B$344,$A217+D$3-1))=$B$2),INDEX($B$5:$B$344,$A217+D$3)-INDEX($B$5:$B$344,$A217-1)-1,"")))</f>
        <v/>
      </c>
      <c r="E217" s="11">
        <f>IF(OR($A217=1,$B217="",$A217+E$3&gt;340),"",IF(INDEX($B$5:$B$344,$A217+E$3)="","",IF(AND(YEAR($B217)=$B$2,YEAR(INDEX($B$5:$B$344,$A217+E$3-1))=$B$2),INDEX($B$5:$B$344,$A217+E$3)-INDEX($B$5:$B$344,$A217-1)-1,"")))</f>
        <v/>
      </c>
      <c r="F217" s="11">
        <f>IF(OR($A217=1,$B217="",$A217+F$3&gt;340),"",IF(INDEX($B$5:$B$344,$A217+F$3)="","",IF(AND(YEAR($B217)=$B$2,YEAR(INDEX($B$5:$B$344,$A217+F$3-1))=$B$2),INDEX($B$5:$B$344,$A217+F$3)-INDEX($B$5:$B$344,$A217-1)-1,"")))</f>
        <v/>
      </c>
      <c r="G217" s="11">
        <f>IF(OR($A217=1,$B217="",$A217+G$3&gt;340),"",IF(INDEX($B$5:$B$344,$A217+G$3)="","",IF(AND(YEAR($B217)=$B$2,YEAR(INDEX($B$5:$B$344,$A217+G$3-1))=$B$2),INDEX($B$5:$B$344,$A217+G$3)-INDEX($B$5:$B$344,$A217-1)-1,"")))</f>
        <v/>
      </c>
      <c r="H217" s="11">
        <f>IF(OR($A217=1,$B217="",$A217+H$3&gt;340),"",IF(INDEX($B$5:$B$344,$A217+H$3)="","",IF(AND(YEAR($B217)=$B$2,YEAR(INDEX($B$5:$B$344,$A217+H$3-1))=$B$2),INDEX($B$5:$B$344,$A217+H$3)-INDEX($B$5:$B$344,$A217-1)-1,"")))</f>
        <v/>
      </c>
      <c r="I217" s="11">
        <f>IF(OR($A217=1,$B217="",$A217+I$3&gt;340),"",IF(INDEX($B$5:$B$344,$A217+I$3)="","",IF(AND(YEAR($B217)=$B$2,YEAR(INDEX($B$5:$B$344,$A217+I$3-1))=$B$2),INDEX($B$5:$B$344,$A217+I$3)-INDEX($B$5:$B$344,$A217-1)-1,"")))</f>
        <v/>
      </c>
      <c r="J217" s="11">
        <f>IF(OR($A217=1,$B217="",$A217+J$3&gt;340),"",IF(INDEX($B$5:$B$344,$A217+J$3)="","",IF(AND(YEAR($B217)=$B$2,YEAR(INDEX($B$5:$B$344,$A217+J$3-1))=$B$2),INDEX($B$5:$B$344,$A217+J$3)-INDEX($B$5:$B$344,$A217-1)-1,"")))</f>
        <v/>
      </c>
      <c r="K217" s="11">
        <f>IF(OR($A217=1,$B217="",$A217+K$3&gt;340),"",IF(INDEX($B$5:$B$344,$A217+K$3)="","",IF(AND(YEAR($B217)=$B$2,YEAR(INDEX($B$5:$B$344,$A217+K$3-1))=$B$2),INDEX($B$5:$B$344,$A217+K$3)-INDEX($B$5:$B$344,$A217-1)-1,"")))</f>
        <v/>
      </c>
      <c r="L217" s="11">
        <f>IF(OR($A217=1,$B217="",$A217+L$3&gt;340),"",IF(INDEX($B$5:$B$344,$A217+L$3)="","",IF(AND(YEAR($B217)=$B$2,YEAR(INDEX($B$5:$B$344,$A217+L$3-1))=$B$2),INDEX($B$5:$B$344,$A217+L$3)-INDEX($B$5:$B$344,$A217-1)-1,"")))</f>
        <v/>
      </c>
      <c r="M217" s="11">
        <f>IF(OR($A217=1,$B217="",$A217+M$3&gt;340),"",IF(INDEX($B$5:$B$344,$A217+M$3)="","",IF(AND(YEAR($B217)=$B$2,YEAR(INDEX($B$5:$B$344,$A217+M$3-1))=$B$2),INDEX($B$5:$B$344,$A217+M$3)-INDEX($B$5:$B$344,$A217-1)-1,"")))</f>
        <v/>
      </c>
    </row>
    <row r="218">
      <c r="A218" s="11" t="n">
        <v>214</v>
      </c>
      <c r="B218" s="10">
        <f>IFERROR(INDEX('2_暦'!$A$7:$A$433,MATCH(A218,'2_暦'!$K$7:$K$433,0)),"")</f>
        <v/>
      </c>
      <c r="C218" s="11">
        <f>IF(OR($A218=1,$B218=""),"",IF(OR(YEAR($B218-1)=$B$2,YEAR(INDEX($B$5:$B$344,$A218-1)+1)=$B$2),$B218-INDEX($B$5:$B$344,$A218-1)-1,""))</f>
        <v/>
      </c>
      <c r="D218" s="11">
        <f>IF(OR($A218=1,$B218="",$A218+D$3&gt;340),"",IF(INDEX($B$5:$B$344,$A218+D$3)="","",IF(AND(YEAR($B218)=$B$2,YEAR(INDEX($B$5:$B$344,$A218+D$3-1))=$B$2),INDEX($B$5:$B$344,$A218+D$3)-INDEX($B$5:$B$344,$A218-1)-1,"")))</f>
        <v/>
      </c>
      <c r="E218" s="11">
        <f>IF(OR($A218=1,$B218="",$A218+E$3&gt;340),"",IF(INDEX($B$5:$B$344,$A218+E$3)="","",IF(AND(YEAR($B218)=$B$2,YEAR(INDEX($B$5:$B$344,$A218+E$3-1))=$B$2),INDEX($B$5:$B$344,$A218+E$3)-INDEX($B$5:$B$344,$A218-1)-1,"")))</f>
        <v/>
      </c>
      <c r="F218" s="11">
        <f>IF(OR($A218=1,$B218="",$A218+F$3&gt;340),"",IF(INDEX($B$5:$B$344,$A218+F$3)="","",IF(AND(YEAR($B218)=$B$2,YEAR(INDEX($B$5:$B$344,$A218+F$3-1))=$B$2),INDEX($B$5:$B$344,$A218+F$3)-INDEX($B$5:$B$344,$A218-1)-1,"")))</f>
        <v/>
      </c>
      <c r="G218" s="11">
        <f>IF(OR($A218=1,$B218="",$A218+G$3&gt;340),"",IF(INDEX($B$5:$B$344,$A218+G$3)="","",IF(AND(YEAR($B218)=$B$2,YEAR(INDEX($B$5:$B$344,$A218+G$3-1))=$B$2),INDEX($B$5:$B$344,$A218+G$3)-INDEX($B$5:$B$344,$A218-1)-1,"")))</f>
        <v/>
      </c>
      <c r="H218" s="11">
        <f>IF(OR($A218=1,$B218="",$A218+H$3&gt;340),"",IF(INDEX($B$5:$B$344,$A218+H$3)="","",IF(AND(YEAR($B218)=$B$2,YEAR(INDEX($B$5:$B$344,$A218+H$3-1))=$B$2),INDEX($B$5:$B$344,$A218+H$3)-INDEX($B$5:$B$344,$A218-1)-1,"")))</f>
        <v/>
      </c>
      <c r="I218" s="11">
        <f>IF(OR($A218=1,$B218="",$A218+I$3&gt;340),"",IF(INDEX($B$5:$B$344,$A218+I$3)="","",IF(AND(YEAR($B218)=$B$2,YEAR(INDEX($B$5:$B$344,$A218+I$3-1))=$B$2),INDEX($B$5:$B$344,$A218+I$3)-INDEX($B$5:$B$344,$A218-1)-1,"")))</f>
        <v/>
      </c>
      <c r="J218" s="11">
        <f>IF(OR($A218=1,$B218="",$A218+J$3&gt;340),"",IF(INDEX($B$5:$B$344,$A218+J$3)="","",IF(AND(YEAR($B218)=$B$2,YEAR(INDEX($B$5:$B$344,$A218+J$3-1))=$B$2),INDEX($B$5:$B$344,$A218+J$3)-INDEX($B$5:$B$344,$A218-1)-1,"")))</f>
        <v/>
      </c>
      <c r="K218" s="11">
        <f>IF(OR($A218=1,$B218="",$A218+K$3&gt;340),"",IF(INDEX($B$5:$B$344,$A218+K$3)="","",IF(AND(YEAR($B218)=$B$2,YEAR(INDEX($B$5:$B$344,$A218+K$3-1))=$B$2),INDEX($B$5:$B$344,$A218+K$3)-INDEX($B$5:$B$344,$A218-1)-1,"")))</f>
        <v/>
      </c>
      <c r="L218" s="11">
        <f>IF(OR($A218=1,$B218="",$A218+L$3&gt;340),"",IF(INDEX($B$5:$B$344,$A218+L$3)="","",IF(AND(YEAR($B218)=$B$2,YEAR(INDEX($B$5:$B$344,$A218+L$3-1))=$B$2),INDEX($B$5:$B$344,$A218+L$3)-INDEX($B$5:$B$344,$A218-1)-1,"")))</f>
        <v/>
      </c>
      <c r="M218" s="11">
        <f>IF(OR($A218=1,$B218="",$A218+M$3&gt;340),"",IF(INDEX($B$5:$B$344,$A218+M$3)="","",IF(AND(YEAR($B218)=$B$2,YEAR(INDEX($B$5:$B$344,$A218+M$3-1))=$B$2),INDEX($B$5:$B$344,$A218+M$3)-INDEX($B$5:$B$344,$A218-1)-1,"")))</f>
        <v/>
      </c>
    </row>
    <row r="219">
      <c r="A219" s="11" t="n">
        <v>215</v>
      </c>
      <c r="B219" s="10">
        <f>IFERROR(INDEX('2_暦'!$A$7:$A$433,MATCH(A219,'2_暦'!$K$7:$K$433,0)),"")</f>
        <v/>
      </c>
      <c r="C219" s="11">
        <f>IF(OR($A219=1,$B219=""),"",IF(OR(YEAR($B219-1)=$B$2,YEAR(INDEX($B$5:$B$344,$A219-1)+1)=$B$2),$B219-INDEX($B$5:$B$344,$A219-1)-1,""))</f>
        <v/>
      </c>
      <c r="D219" s="11">
        <f>IF(OR($A219=1,$B219="",$A219+D$3&gt;340),"",IF(INDEX($B$5:$B$344,$A219+D$3)="","",IF(AND(YEAR($B219)=$B$2,YEAR(INDEX($B$5:$B$344,$A219+D$3-1))=$B$2),INDEX($B$5:$B$344,$A219+D$3)-INDEX($B$5:$B$344,$A219-1)-1,"")))</f>
        <v/>
      </c>
      <c r="E219" s="11">
        <f>IF(OR($A219=1,$B219="",$A219+E$3&gt;340),"",IF(INDEX($B$5:$B$344,$A219+E$3)="","",IF(AND(YEAR($B219)=$B$2,YEAR(INDEX($B$5:$B$344,$A219+E$3-1))=$B$2),INDEX($B$5:$B$344,$A219+E$3)-INDEX($B$5:$B$344,$A219-1)-1,"")))</f>
        <v/>
      </c>
      <c r="F219" s="11">
        <f>IF(OR($A219=1,$B219="",$A219+F$3&gt;340),"",IF(INDEX($B$5:$B$344,$A219+F$3)="","",IF(AND(YEAR($B219)=$B$2,YEAR(INDEX($B$5:$B$344,$A219+F$3-1))=$B$2),INDEX($B$5:$B$344,$A219+F$3)-INDEX($B$5:$B$344,$A219-1)-1,"")))</f>
        <v/>
      </c>
      <c r="G219" s="11">
        <f>IF(OR($A219=1,$B219="",$A219+G$3&gt;340),"",IF(INDEX($B$5:$B$344,$A219+G$3)="","",IF(AND(YEAR($B219)=$B$2,YEAR(INDEX($B$5:$B$344,$A219+G$3-1))=$B$2),INDEX($B$5:$B$344,$A219+G$3)-INDEX($B$5:$B$344,$A219-1)-1,"")))</f>
        <v/>
      </c>
      <c r="H219" s="11">
        <f>IF(OR($A219=1,$B219="",$A219+H$3&gt;340),"",IF(INDEX($B$5:$B$344,$A219+H$3)="","",IF(AND(YEAR($B219)=$B$2,YEAR(INDEX($B$5:$B$344,$A219+H$3-1))=$B$2),INDEX($B$5:$B$344,$A219+H$3)-INDEX($B$5:$B$344,$A219-1)-1,"")))</f>
        <v/>
      </c>
      <c r="I219" s="11">
        <f>IF(OR($A219=1,$B219="",$A219+I$3&gt;340),"",IF(INDEX($B$5:$B$344,$A219+I$3)="","",IF(AND(YEAR($B219)=$B$2,YEAR(INDEX($B$5:$B$344,$A219+I$3-1))=$B$2),INDEX($B$5:$B$344,$A219+I$3)-INDEX($B$5:$B$344,$A219-1)-1,"")))</f>
        <v/>
      </c>
      <c r="J219" s="11">
        <f>IF(OR($A219=1,$B219="",$A219+J$3&gt;340),"",IF(INDEX($B$5:$B$344,$A219+J$3)="","",IF(AND(YEAR($B219)=$B$2,YEAR(INDEX($B$5:$B$344,$A219+J$3-1))=$B$2),INDEX($B$5:$B$344,$A219+J$3)-INDEX($B$5:$B$344,$A219-1)-1,"")))</f>
        <v/>
      </c>
      <c r="K219" s="11">
        <f>IF(OR($A219=1,$B219="",$A219+K$3&gt;340),"",IF(INDEX($B$5:$B$344,$A219+K$3)="","",IF(AND(YEAR($B219)=$B$2,YEAR(INDEX($B$5:$B$344,$A219+K$3-1))=$B$2),INDEX($B$5:$B$344,$A219+K$3)-INDEX($B$5:$B$344,$A219-1)-1,"")))</f>
        <v/>
      </c>
      <c r="L219" s="11">
        <f>IF(OR($A219=1,$B219="",$A219+L$3&gt;340),"",IF(INDEX($B$5:$B$344,$A219+L$3)="","",IF(AND(YEAR($B219)=$B$2,YEAR(INDEX($B$5:$B$344,$A219+L$3-1))=$B$2),INDEX($B$5:$B$344,$A219+L$3)-INDEX($B$5:$B$344,$A219-1)-1,"")))</f>
        <v/>
      </c>
      <c r="M219" s="11">
        <f>IF(OR($A219=1,$B219="",$A219+M$3&gt;340),"",IF(INDEX($B$5:$B$344,$A219+M$3)="","",IF(AND(YEAR($B219)=$B$2,YEAR(INDEX($B$5:$B$344,$A219+M$3-1))=$B$2),INDEX($B$5:$B$344,$A219+M$3)-INDEX($B$5:$B$344,$A219-1)-1,"")))</f>
        <v/>
      </c>
    </row>
    <row r="220">
      <c r="A220" s="11" t="n">
        <v>216</v>
      </c>
      <c r="B220" s="10">
        <f>IFERROR(INDEX('2_暦'!$A$7:$A$433,MATCH(A220,'2_暦'!$K$7:$K$433,0)),"")</f>
        <v/>
      </c>
      <c r="C220" s="11">
        <f>IF(OR($A220=1,$B220=""),"",IF(OR(YEAR($B220-1)=$B$2,YEAR(INDEX($B$5:$B$344,$A220-1)+1)=$B$2),$B220-INDEX($B$5:$B$344,$A220-1)-1,""))</f>
        <v/>
      </c>
      <c r="D220" s="11">
        <f>IF(OR($A220=1,$B220="",$A220+D$3&gt;340),"",IF(INDEX($B$5:$B$344,$A220+D$3)="","",IF(AND(YEAR($B220)=$B$2,YEAR(INDEX($B$5:$B$344,$A220+D$3-1))=$B$2),INDEX($B$5:$B$344,$A220+D$3)-INDEX($B$5:$B$344,$A220-1)-1,"")))</f>
        <v/>
      </c>
      <c r="E220" s="11">
        <f>IF(OR($A220=1,$B220="",$A220+E$3&gt;340),"",IF(INDEX($B$5:$B$344,$A220+E$3)="","",IF(AND(YEAR($B220)=$B$2,YEAR(INDEX($B$5:$B$344,$A220+E$3-1))=$B$2),INDEX($B$5:$B$344,$A220+E$3)-INDEX($B$5:$B$344,$A220-1)-1,"")))</f>
        <v/>
      </c>
      <c r="F220" s="11">
        <f>IF(OR($A220=1,$B220="",$A220+F$3&gt;340),"",IF(INDEX($B$5:$B$344,$A220+F$3)="","",IF(AND(YEAR($B220)=$B$2,YEAR(INDEX($B$5:$B$344,$A220+F$3-1))=$B$2),INDEX($B$5:$B$344,$A220+F$3)-INDEX($B$5:$B$344,$A220-1)-1,"")))</f>
        <v/>
      </c>
      <c r="G220" s="11">
        <f>IF(OR($A220=1,$B220="",$A220+G$3&gt;340),"",IF(INDEX($B$5:$B$344,$A220+G$3)="","",IF(AND(YEAR($B220)=$B$2,YEAR(INDEX($B$5:$B$344,$A220+G$3-1))=$B$2),INDEX($B$5:$B$344,$A220+G$3)-INDEX($B$5:$B$344,$A220-1)-1,"")))</f>
        <v/>
      </c>
      <c r="H220" s="11">
        <f>IF(OR($A220=1,$B220="",$A220+H$3&gt;340),"",IF(INDEX($B$5:$B$344,$A220+H$3)="","",IF(AND(YEAR($B220)=$B$2,YEAR(INDEX($B$5:$B$344,$A220+H$3-1))=$B$2),INDEX($B$5:$B$344,$A220+H$3)-INDEX($B$5:$B$344,$A220-1)-1,"")))</f>
        <v/>
      </c>
      <c r="I220" s="11">
        <f>IF(OR($A220=1,$B220="",$A220+I$3&gt;340),"",IF(INDEX($B$5:$B$344,$A220+I$3)="","",IF(AND(YEAR($B220)=$B$2,YEAR(INDEX($B$5:$B$344,$A220+I$3-1))=$B$2),INDEX($B$5:$B$344,$A220+I$3)-INDEX($B$5:$B$344,$A220-1)-1,"")))</f>
        <v/>
      </c>
      <c r="J220" s="11">
        <f>IF(OR($A220=1,$B220="",$A220+J$3&gt;340),"",IF(INDEX($B$5:$B$344,$A220+J$3)="","",IF(AND(YEAR($B220)=$B$2,YEAR(INDEX($B$5:$B$344,$A220+J$3-1))=$B$2),INDEX($B$5:$B$344,$A220+J$3)-INDEX($B$5:$B$344,$A220-1)-1,"")))</f>
        <v/>
      </c>
      <c r="K220" s="11">
        <f>IF(OR($A220=1,$B220="",$A220+K$3&gt;340),"",IF(INDEX($B$5:$B$344,$A220+K$3)="","",IF(AND(YEAR($B220)=$B$2,YEAR(INDEX($B$5:$B$344,$A220+K$3-1))=$B$2),INDEX($B$5:$B$344,$A220+K$3)-INDEX($B$5:$B$344,$A220-1)-1,"")))</f>
        <v/>
      </c>
      <c r="L220" s="11">
        <f>IF(OR($A220=1,$B220="",$A220+L$3&gt;340),"",IF(INDEX($B$5:$B$344,$A220+L$3)="","",IF(AND(YEAR($B220)=$B$2,YEAR(INDEX($B$5:$B$344,$A220+L$3-1))=$B$2),INDEX($B$5:$B$344,$A220+L$3)-INDEX($B$5:$B$344,$A220-1)-1,"")))</f>
        <v/>
      </c>
      <c r="M220" s="11">
        <f>IF(OR($A220=1,$B220="",$A220+M$3&gt;340),"",IF(INDEX($B$5:$B$344,$A220+M$3)="","",IF(AND(YEAR($B220)=$B$2,YEAR(INDEX($B$5:$B$344,$A220+M$3-1))=$B$2),INDEX($B$5:$B$344,$A220+M$3)-INDEX($B$5:$B$344,$A220-1)-1,"")))</f>
        <v/>
      </c>
    </row>
    <row r="221">
      <c r="A221" s="11" t="n">
        <v>217</v>
      </c>
      <c r="B221" s="10">
        <f>IFERROR(INDEX('2_暦'!$A$7:$A$433,MATCH(A221,'2_暦'!$K$7:$K$433,0)),"")</f>
        <v/>
      </c>
      <c r="C221" s="11">
        <f>IF(OR($A221=1,$B221=""),"",IF(OR(YEAR($B221-1)=$B$2,YEAR(INDEX($B$5:$B$344,$A221-1)+1)=$B$2),$B221-INDEX($B$5:$B$344,$A221-1)-1,""))</f>
        <v/>
      </c>
      <c r="D221" s="11">
        <f>IF(OR($A221=1,$B221="",$A221+D$3&gt;340),"",IF(INDEX($B$5:$B$344,$A221+D$3)="","",IF(AND(YEAR($B221)=$B$2,YEAR(INDEX($B$5:$B$344,$A221+D$3-1))=$B$2),INDEX($B$5:$B$344,$A221+D$3)-INDEX($B$5:$B$344,$A221-1)-1,"")))</f>
        <v/>
      </c>
      <c r="E221" s="11">
        <f>IF(OR($A221=1,$B221="",$A221+E$3&gt;340),"",IF(INDEX($B$5:$B$344,$A221+E$3)="","",IF(AND(YEAR($B221)=$B$2,YEAR(INDEX($B$5:$B$344,$A221+E$3-1))=$B$2),INDEX($B$5:$B$344,$A221+E$3)-INDEX($B$5:$B$344,$A221-1)-1,"")))</f>
        <v/>
      </c>
      <c r="F221" s="11">
        <f>IF(OR($A221=1,$B221="",$A221+F$3&gt;340),"",IF(INDEX($B$5:$B$344,$A221+F$3)="","",IF(AND(YEAR($B221)=$B$2,YEAR(INDEX($B$5:$B$344,$A221+F$3-1))=$B$2),INDEX($B$5:$B$344,$A221+F$3)-INDEX($B$5:$B$344,$A221-1)-1,"")))</f>
        <v/>
      </c>
      <c r="G221" s="11">
        <f>IF(OR($A221=1,$B221="",$A221+G$3&gt;340),"",IF(INDEX($B$5:$B$344,$A221+G$3)="","",IF(AND(YEAR($B221)=$B$2,YEAR(INDEX($B$5:$B$344,$A221+G$3-1))=$B$2),INDEX($B$5:$B$344,$A221+G$3)-INDEX($B$5:$B$344,$A221-1)-1,"")))</f>
        <v/>
      </c>
      <c r="H221" s="11">
        <f>IF(OR($A221=1,$B221="",$A221+H$3&gt;340),"",IF(INDEX($B$5:$B$344,$A221+H$3)="","",IF(AND(YEAR($B221)=$B$2,YEAR(INDEX($B$5:$B$344,$A221+H$3-1))=$B$2),INDEX($B$5:$B$344,$A221+H$3)-INDEX($B$5:$B$344,$A221-1)-1,"")))</f>
        <v/>
      </c>
      <c r="I221" s="11">
        <f>IF(OR($A221=1,$B221="",$A221+I$3&gt;340),"",IF(INDEX($B$5:$B$344,$A221+I$3)="","",IF(AND(YEAR($B221)=$B$2,YEAR(INDEX($B$5:$B$344,$A221+I$3-1))=$B$2),INDEX($B$5:$B$344,$A221+I$3)-INDEX($B$5:$B$344,$A221-1)-1,"")))</f>
        <v/>
      </c>
      <c r="J221" s="11">
        <f>IF(OR($A221=1,$B221="",$A221+J$3&gt;340),"",IF(INDEX($B$5:$B$344,$A221+J$3)="","",IF(AND(YEAR($B221)=$B$2,YEAR(INDEX($B$5:$B$344,$A221+J$3-1))=$B$2),INDEX($B$5:$B$344,$A221+J$3)-INDEX($B$5:$B$344,$A221-1)-1,"")))</f>
        <v/>
      </c>
      <c r="K221" s="11">
        <f>IF(OR($A221=1,$B221="",$A221+K$3&gt;340),"",IF(INDEX($B$5:$B$344,$A221+K$3)="","",IF(AND(YEAR($B221)=$B$2,YEAR(INDEX($B$5:$B$344,$A221+K$3-1))=$B$2),INDEX($B$5:$B$344,$A221+K$3)-INDEX($B$5:$B$344,$A221-1)-1,"")))</f>
        <v/>
      </c>
      <c r="L221" s="11">
        <f>IF(OR($A221=1,$B221="",$A221+L$3&gt;340),"",IF(INDEX($B$5:$B$344,$A221+L$3)="","",IF(AND(YEAR($B221)=$B$2,YEAR(INDEX($B$5:$B$344,$A221+L$3-1))=$B$2),INDEX($B$5:$B$344,$A221+L$3)-INDEX($B$5:$B$344,$A221-1)-1,"")))</f>
        <v/>
      </c>
      <c r="M221" s="11">
        <f>IF(OR($A221=1,$B221="",$A221+M$3&gt;340),"",IF(INDEX($B$5:$B$344,$A221+M$3)="","",IF(AND(YEAR($B221)=$B$2,YEAR(INDEX($B$5:$B$344,$A221+M$3-1))=$B$2),INDEX($B$5:$B$344,$A221+M$3)-INDEX($B$5:$B$344,$A221-1)-1,"")))</f>
        <v/>
      </c>
    </row>
    <row r="222">
      <c r="A222" s="11" t="n">
        <v>218</v>
      </c>
      <c r="B222" s="10">
        <f>IFERROR(INDEX('2_暦'!$A$7:$A$433,MATCH(A222,'2_暦'!$K$7:$K$433,0)),"")</f>
        <v/>
      </c>
      <c r="C222" s="11">
        <f>IF(OR($A222=1,$B222=""),"",IF(OR(YEAR($B222-1)=$B$2,YEAR(INDEX($B$5:$B$344,$A222-1)+1)=$B$2),$B222-INDEX($B$5:$B$344,$A222-1)-1,""))</f>
        <v/>
      </c>
      <c r="D222" s="11">
        <f>IF(OR($A222=1,$B222="",$A222+D$3&gt;340),"",IF(INDEX($B$5:$B$344,$A222+D$3)="","",IF(AND(YEAR($B222)=$B$2,YEAR(INDEX($B$5:$B$344,$A222+D$3-1))=$B$2),INDEX($B$5:$B$344,$A222+D$3)-INDEX($B$5:$B$344,$A222-1)-1,"")))</f>
        <v/>
      </c>
      <c r="E222" s="11">
        <f>IF(OR($A222=1,$B222="",$A222+E$3&gt;340),"",IF(INDEX($B$5:$B$344,$A222+E$3)="","",IF(AND(YEAR($B222)=$B$2,YEAR(INDEX($B$5:$B$344,$A222+E$3-1))=$B$2),INDEX($B$5:$B$344,$A222+E$3)-INDEX($B$5:$B$344,$A222-1)-1,"")))</f>
        <v/>
      </c>
      <c r="F222" s="11">
        <f>IF(OR($A222=1,$B222="",$A222+F$3&gt;340),"",IF(INDEX($B$5:$B$344,$A222+F$3)="","",IF(AND(YEAR($B222)=$B$2,YEAR(INDEX($B$5:$B$344,$A222+F$3-1))=$B$2),INDEX($B$5:$B$344,$A222+F$3)-INDEX($B$5:$B$344,$A222-1)-1,"")))</f>
        <v/>
      </c>
      <c r="G222" s="11">
        <f>IF(OR($A222=1,$B222="",$A222+G$3&gt;340),"",IF(INDEX($B$5:$B$344,$A222+G$3)="","",IF(AND(YEAR($B222)=$B$2,YEAR(INDEX($B$5:$B$344,$A222+G$3-1))=$B$2),INDEX($B$5:$B$344,$A222+G$3)-INDEX($B$5:$B$344,$A222-1)-1,"")))</f>
        <v/>
      </c>
      <c r="H222" s="11">
        <f>IF(OR($A222=1,$B222="",$A222+H$3&gt;340),"",IF(INDEX($B$5:$B$344,$A222+H$3)="","",IF(AND(YEAR($B222)=$B$2,YEAR(INDEX($B$5:$B$344,$A222+H$3-1))=$B$2),INDEX($B$5:$B$344,$A222+H$3)-INDEX($B$5:$B$344,$A222-1)-1,"")))</f>
        <v/>
      </c>
      <c r="I222" s="11">
        <f>IF(OR($A222=1,$B222="",$A222+I$3&gt;340),"",IF(INDEX($B$5:$B$344,$A222+I$3)="","",IF(AND(YEAR($B222)=$B$2,YEAR(INDEX($B$5:$B$344,$A222+I$3-1))=$B$2),INDEX($B$5:$B$344,$A222+I$3)-INDEX($B$5:$B$344,$A222-1)-1,"")))</f>
        <v/>
      </c>
      <c r="J222" s="11">
        <f>IF(OR($A222=1,$B222="",$A222+J$3&gt;340),"",IF(INDEX($B$5:$B$344,$A222+J$3)="","",IF(AND(YEAR($B222)=$B$2,YEAR(INDEX($B$5:$B$344,$A222+J$3-1))=$B$2),INDEX($B$5:$B$344,$A222+J$3)-INDEX($B$5:$B$344,$A222-1)-1,"")))</f>
        <v/>
      </c>
      <c r="K222" s="11">
        <f>IF(OR($A222=1,$B222="",$A222+K$3&gt;340),"",IF(INDEX($B$5:$B$344,$A222+K$3)="","",IF(AND(YEAR($B222)=$B$2,YEAR(INDEX($B$5:$B$344,$A222+K$3-1))=$B$2),INDEX($B$5:$B$344,$A222+K$3)-INDEX($B$5:$B$344,$A222-1)-1,"")))</f>
        <v/>
      </c>
      <c r="L222" s="11">
        <f>IF(OR($A222=1,$B222="",$A222+L$3&gt;340),"",IF(INDEX($B$5:$B$344,$A222+L$3)="","",IF(AND(YEAR($B222)=$B$2,YEAR(INDEX($B$5:$B$344,$A222+L$3-1))=$B$2),INDEX($B$5:$B$344,$A222+L$3)-INDEX($B$5:$B$344,$A222-1)-1,"")))</f>
        <v/>
      </c>
      <c r="M222" s="11">
        <f>IF(OR($A222=1,$B222="",$A222+M$3&gt;340),"",IF(INDEX($B$5:$B$344,$A222+M$3)="","",IF(AND(YEAR($B222)=$B$2,YEAR(INDEX($B$5:$B$344,$A222+M$3-1))=$B$2),INDEX($B$5:$B$344,$A222+M$3)-INDEX($B$5:$B$344,$A222-1)-1,"")))</f>
        <v/>
      </c>
    </row>
    <row r="223">
      <c r="A223" s="11" t="n">
        <v>219</v>
      </c>
      <c r="B223" s="10">
        <f>IFERROR(INDEX('2_暦'!$A$7:$A$433,MATCH(A223,'2_暦'!$K$7:$K$433,0)),"")</f>
        <v/>
      </c>
      <c r="C223" s="11">
        <f>IF(OR($A223=1,$B223=""),"",IF(OR(YEAR($B223-1)=$B$2,YEAR(INDEX($B$5:$B$344,$A223-1)+1)=$B$2),$B223-INDEX($B$5:$B$344,$A223-1)-1,""))</f>
        <v/>
      </c>
      <c r="D223" s="11">
        <f>IF(OR($A223=1,$B223="",$A223+D$3&gt;340),"",IF(INDEX($B$5:$B$344,$A223+D$3)="","",IF(AND(YEAR($B223)=$B$2,YEAR(INDEX($B$5:$B$344,$A223+D$3-1))=$B$2),INDEX($B$5:$B$344,$A223+D$3)-INDEX($B$5:$B$344,$A223-1)-1,"")))</f>
        <v/>
      </c>
      <c r="E223" s="11">
        <f>IF(OR($A223=1,$B223="",$A223+E$3&gt;340),"",IF(INDEX($B$5:$B$344,$A223+E$3)="","",IF(AND(YEAR($B223)=$B$2,YEAR(INDEX($B$5:$B$344,$A223+E$3-1))=$B$2),INDEX($B$5:$B$344,$A223+E$3)-INDEX($B$5:$B$344,$A223-1)-1,"")))</f>
        <v/>
      </c>
      <c r="F223" s="11">
        <f>IF(OR($A223=1,$B223="",$A223+F$3&gt;340),"",IF(INDEX($B$5:$B$344,$A223+F$3)="","",IF(AND(YEAR($B223)=$B$2,YEAR(INDEX($B$5:$B$344,$A223+F$3-1))=$B$2),INDEX($B$5:$B$344,$A223+F$3)-INDEX($B$5:$B$344,$A223-1)-1,"")))</f>
        <v/>
      </c>
      <c r="G223" s="11">
        <f>IF(OR($A223=1,$B223="",$A223+G$3&gt;340),"",IF(INDEX($B$5:$B$344,$A223+G$3)="","",IF(AND(YEAR($B223)=$B$2,YEAR(INDEX($B$5:$B$344,$A223+G$3-1))=$B$2),INDEX($B$5:$B$344,$A223+G$3)-INDEX($B$5:$B$344,$A223-1)-1,"")))</f>
        <v/>
      </c>
      <c r="H223" s="11">
        <f>IF(OR($A223=1,$B223="",$A223+H$3&gt;340),"",IF(INDEX($B$5:$B$344,$A223+H$3)="","",IF(AND(YEAR($B223)=$B$2,YEAR(INDEX($B$5:$B$344,$A223+H$3-1))=$B$2),INDEX($B$5:$B$344,$A223+H$3)-INDEX($B$5:$B$344,$A223-1)-1,"")))</f>
        <v/>
      </c>
      <c r="I223" s="11">
        <f>IF(OR($A223=1,$B223="",$A223+I$3&gt;340),"",IF(INDEX($B$5:$B$344,$A223+I$3)="","",IF(AND(YEAR($B223)=$B$2,YEAR(INDEX($B$5:$B$344,$A223+I$3-1))=$B$2),INDEX($B$5:$B$344,$A223+I$3)-INDEX($B$5:$B$344,$A223-1)-1,"")))</f>
        <v/>
      </c>
      <c r="J223" s="11">
        <f>IF(OR($A223=1,$B223="",$A223+J$3&gt;340),"",IF(INDEX($B$5:$B$344,$A223+J$3)="","",IF(AND(YEAR($B223)=$B$2,YEAR(INDEX($B$5:$B$344,$A223+J$3-1))=$B$2),INDEX($B$5:$B$344,$A223+J$3)-INDEX($B$5:$B$344,$A223-1)-1,"")))</f>
        <v/>
      </c>
      <c r="K223" s="11">
        <f>IF(OR($A223=1,$B223="",$A223+K$3&gt;340),"",IF(INDEX($B$5:$B$344,$A223+K$3)="","",IF(AND(YEAR($B223)=$B$2,YEAR(INDEX($B$5:$B$344,$A223+K$3-1))=$B$2),INDEX($B$5:$B$344,$A223+K$3)-INDEX($B$5:$B$344,$A223-1)-1,"")))</f>
        <v/>
      </c>
      <c r="L223" s="11">
        <f>IF(OR($A223=1,$B223="",$A223+L$3&gt;340),"",IF(INDEX($B$5:$B$344,$A223+L$3)="","",IF(AND(YEAR($B223)=$B$2,YEAR(INDEX($B$5:$B$344,$A223+L$3-1))=$B$2),INDEX($B$5:$B$344,$A223+L$3)-INDEX($B$5:$B$344,$A223-1)-1,"")))</f>
        <v/>
      </c>
      <c r="M223" s="11">
        <f>IF(OR($A223=1,$B223="",$A223+M$3&gt;340),"",IF(INDEX($B$5:$B$344,$A223+M$3)="","",IF(AND(YEAR($B223)=$B$2,YEAR(INDEX($B$5:$B$344,$A223+M$3-1))=$B$2),INDEX($B$5:$B$344,$A223+M$3)-INDEX($B$5:$B$344,$A223-1)-1,"")))</f>
        <v/>
      </c>
    </row>
    <row r="224">
      <c r="A224" s="11" t="n">
        <v>220</v>
      </c>
      <c r="B224" s="10">
        <f>IFERROR(INDEX('2_暦'!$A$7:$A$433,MATCH(A224,'2_暦'!$K$7:$K$433,0)),"")</f>
        <v/>
      </c>
      <c r="C224" s="11">
        <f>IF(OR($A224=1,$B224=""),"",IF(OR(YEAR($B224-1)=$B$2,YEAR(INDEX($B$5:$B$344,$A224-1)+1)=$B$2),$B224-INDEX($B$5:$B$344,$A224-1)-1,""))</f>
        <v/>
      </c>
      <c r="D224" s="11">
        <f>IF(OR($A224=1,$B224="",$A224+D$3&gt;340),"",IF(INDEX($B$5:$B$344,$A224+D$3)="","",IF(AND(YEAR($B224)=$B$2,YEAR(INDEX($B$5:$B$344,$A224+D$3-1))=$B$2),INDEX($B$5:$B$344,$A224+D$3)-INDEX($B$5:$B$344,$A224-1)-1,"")))</f>
        <v/>
      </c>
      <c r="E224" s="11">
        <f>IF(OR($A224=1,$B224="",$A224+E$3&gt;340),"",IF(INDEX($B$5:$B$344,$A224+E$3)="","",IF(AND(YEAR($B224)=$B$2,YEAR(INDEX($B$5:$B$344,$A224+E$3-1))=$B$2),INDEX($B$5:$B$344,$A224+E$3)-INDEX($B$5:$B$344,$A224-1)-1,"")))</f>
        <v/>
      </c>
      <c r="F224" s="11">
        <f>IF(OR($A224=1,$B224="",$A224+F$3&gt;340),"",IF(INDEX($B$5:$B$344,$A224+F$3)="","",IF(AND(YEAR($B224)=$B$2,YEAR(INDEX($B$5:$B$344,$A224+F$3-1))=$B$2),INDEX($B$5:$B$344,$A224+F$3)-INDEX($B$5:$B$344,$A224-1)-1,"")))</f>
        <v/>
      </c>
      <c r="G224" s="11">
        <f>IF(OR($A224=1,$B224="",$A224+G$3&gt;340),"",IF(INDEX($B$5:$B$344,$A224+G$3)="","",IF(AND(YEAR($B224)=$B$2,YEAR(INDEX($B$5:$B$344,$A224+G$3-1))=$B$2),INDEX($B$5:$B$344,$A224+G$3)-INDEX($B$5:$B$344,$A224-1)-1,"")))</f>
        <v/>
      </c>
      <c r="H224" s="11">
        <f>IF(OR($A224=1,$B224="",$A224+H$3&gt;340),"",IF(INDEX($B$5:$B$344,$A224+H$3)="","",IF(AND(YEAR($B224)=$B$2,YEAR(INDEX($B$5:$B$344,$A224+H$3-1))=$B$2),INDEX($B$5:$B$344,$A224+H$3)-INDEX($B$5:$B$344,$A224-1)-1,"")))</f>
        <v/>
      </c>
      <c r="I224" s="11">
        <f>IF(OR($A224=1,$B224="",$A224+I$3&gt;340),"",IF(INDEX($B$5:$B$344,$A224+I$3)="","",IF(AND(YEAR($B224)=$B$2,YEAR(INDEX($B$5:$B$344,$A224+I$3-1))=$B$2),INDEX($B$5:$B$344,$A224+I$3)-INDEX($B$5:$B$344,$A224-1)-1,"")))</f>
        <v/>
      </c>
      <c r="J224" s="11">
        <f>IF(OR($A224=1,$B224="",$A224+J$3&gt;340),"",IF(INDEX($B$5:$B$344,$A224+J$3)="","",IF(AND(YEAR($B224)=$B$2,YEAR(INDEX($B$5:$B$344,$A224+J$3-1))=$B$2),INDEX($B$5:$B$344,$A224+J$3)-INDEX($B$5:$B$344,$A224-1)-1,"")))</f>
        <v/>
      </c>
      <c r="K224" s="11">
        <f>IF(OR($A224=1,$B224="",$A224+K$3&gt;340),"",IF(INDEX($B$5:$B$344,$A224+K$3)="","",IF(AND(YEAR($B224)=$B$2,YEAR(INDEX($B$5:$B$344,$A224+K$3-1))=$B$2),INDEX($B$5:$B$344,$A224+K$3)-INDEX($B$5:$B$344,$A224-1)-1,"")))</f>
        <v/>
      </c>
      <c r="L224" s="11">
        <f>IF(OR($A224=1,$B224="",$A224+L$3&gt;340),"",IF(INDEX($B$5:$B$344,$A224+L$3)="","",IF(AND(YEAR($B224)=$B$2,YEAR(INDEX($B$5:$B$344,$A224+L$3-1))=$B$2),INDEX($B$5:$B$344,$A224+L$3)-INDEX($B$5:$B$344,$A224-1)-1,"")))</f>
        <v/>
      </c>
      <c r="M224" s="11">
        <f>IF(OR($A224=1,$B224="",$A224+M$3&gt;340),"",IF(INDEX($B$5:$B$344,$A224+M$3)="","",IF(AND(YEAR($B224)=$B$2,YEAR(INDEX($B$5:$B$344,$A224+M$3-1))=$B$2),INDEX($B$5:$B$344,$A224+M$3)-INDEX($B$5:$B$344,$A224-1)-1,"")))</f>
        <v/>
      </c>
    </row>
    <row r="225">
      <c r="A225" s="11" t="n">
        <v>221</v>
      </c>
      <c r="B225" s="10">
        <f>IFERROR(INDEX('2_暦'!$A$7:$A$433,MATCH(A225,'2_暦'!$K$7:$K$433,0)),"")</f>
        <v/>
      </c>
      <c r="C225" s="11">
        <f>IF(OR($A225=1,$B225=""),"",IF(OR(YEAR($B225-1)=$B$2,YEAR(INDEX($B$5:$B$344,$A225-1)+1)=$B$2),$B225-INDEX($B$5:$B$344,$A225-1)-1,""))</f>
        <v/>
      </c>
      <c r="D225" s="11">
        <f>IF(OR($A225=1,$B225="",$A225+D$3&gt;340),"",IF(INDEX($B$5:$B$344,$A225+D$3)="","",IF(AND(YEAR($B225)=$B$2,YEAR(INDEX($B$5:$B$344,$A225+D$3-1))=$B$2),INDEX($B$5:$B$344,$A225+D$3)-INDEX($B$5:$B$344,$A225-1)-1,"")))</f>
        <v/>
      </c>
      <c r="E225" s="11">
        <f>IF(OR($A225=1,$B225="",$A225+E$3&gt;340),"",IF(INDEX($B$5:$B$344,$A225+E$3)="","",IF(AND(YEAR($B225)=$B$2,YEAR(INDEX($B$5:$B$344,$A225+E$3-1))=$B$2),INDEX($B$5:$B$344,$A225+E$3)-INDEX($B$5:$B$344,$A225-1)-1,"")))</f>
        <v/>
      </c>
      <c r="F225" s="11">
        <f>IF(OR($A225=1,$B225="",$A225+F$3&gt;340),"",IF(INDEX($B$5:$B$344,$A225+F$3)="","",IF(AND(YEAR($B225)=$B$2,YEAR(INDEX($B$5:$B$344,$A225+F$3-1))=$B$2),INDEX($B$5:$B$344,$A225+F$3)-INDEX($B$5:$B$344,$A225-1)-1,"")))</f>
        <v/>
      </c>
      <c r="G225" s="11">
        <f>IF(OR($A225=1,$B225="",$A225+G$3&gt;340),"",IF(INDEX($B$5:$B$344,$A225+G$3)="","",IF(AND(YEAR($B225)=$B$2,YEAR(INDEX($B$5:$B$344,$A225+G$3-1))=$B$2),INDEX($B$5:$B$344,$A225+G$3)-INDEX($B$5:$B$344,$A225-1)-1,"")))</f>
        <v/>
      </c>
      <c r="H225" s="11">
        <f>IF(OR($A225=1,$B225="",$A225+H$3&gt;340),"",IF(INDEX($B$5:$B$344,$A225+H$3)="","",IF(AND(YEAR($B225)=$B$2,YEAR(INDEX($B$5:$B$344,$A225+H$3-1))=$B$2),INDEX($B$5:$B$344,$A225+H$3)-INDEX($B$5:$B$344,$A225-1)-1,"")))</f>
        <v/>
      </c>
      <c r="I225" s="11">
        <f>IF(OR($A225=1,$B225="",$A225+I$3&gt;340),"",IF(INDEX($B$5:$B$344,$A225+I$3)="","",IF(AND(YEAR($B225)=$B$2,YEAR(INDEX($B$5:$B$344,$A225+I$3-1))=$B$2),INDEX($B$5:$B$344,$A225+I$3)-INDEX($B$5:$B$344,$A225-1)-1,"")))</f>
        <v/>
      </c>
      <c r="J225" s="11">
        <f>IF(OR($A225=1,$B225="",$A225+J$3&gt;340),"",IF(INDEX($B$5:$B$344,$A225+J$3)="","",IF(AND(YEAR($B225)=$B$2,YEAR(INDEX($B$5:$B$344,$A225+J$3-1))=$B$2),INDEX($B$5:$B$344,$A225+J$3)-INDEX($B$5:$B$344,$A225-1)-1,"")))</f>
        <v/>
      </c>
      <c r="K225" s="11">
        <f>IF(OR($A225=1,$B225="",$A225+K$3&gt;340),"",IF(INDEX($B$5:$B$344,$A225+K$3)="","",IF(AND(YEAR($B225)=$B$2,YEAR(INDEX($B$5:$B$344,$A225+K$3-1))=$B$2),INDEX($B$5:$B$344,$A225+K$3)-INDEX($B$5:$B$344,$A225-1)-1,"")))</f>
        <v/>
      </c>
      <c r="L225" s="11">
        <f>IF(OR($A225=1,$B225="",$A225+L$3&gt;340),"",IF(INDEX($B$5:$B$344,$A225+L$3)="","",IF(AND(YEAR($B225)=$B$2,YEAR(INDEX($B$5:$B$344,$A225+L$3-1))=$B$2),INDEX($B$5:$B$344,$A225+L$3)-INDEX($B$5:$B$344,$A225-1)-1,"")))</f>
        <v/>
      </c>
      <c r="M225" s="11">
        <f>IF(OR($A225=1,$B225="",$A225+M$3&gt;340),"",IF(INDEX($B$5:$B$344,$A225+M$3)="","",IF(AND(YEAR($B225)=$B$2,YEAR(INDEX($B$5:$B$344,$A225+M$3-1))=$B$2),INDEX($B$5:$B$344,$A225+M$3)-INDEX($B$5:$B$344,$A225-1)-1,"")))</f>
        <v/>
      </c>
    </row>
    <row r="226">
      <c r="A226" s="11" t="n">
        <v>222</v>
      </c>
      <c r="B226" s="10">
        <f>IFERROR(INDEX('2_暦'!$A$7:$A$433,MATCH(A226,'2_暦'!$K$7:$K$433,0)),"")</f>
        <v/>
      </c>
      <c r="C226" s="11">
        <f>IF(OR($A226=1,$B226=""),"",IF(OR(YEAR($B226-1)=$B$2,YEAR(INDEX($B$5:$B$344,$A226-1)+1)=$B$2),$B226-INDEX($B$5:$B$344,$A226-1)-1,""))</f>
        <v/>
      </c>
      <c r="D226" s="11">
        <f>IF(OR($A226=1,$B226="",$A226+D$3&gt;340),"",IF(INDEX($B$5:$B$344,$A226+D$3)="","",IF(AND(YEAR($B226)=$B$2,YEAR(INDEX($B$5:$B$344,$A226+D$3-1))=$B$2),INDEX($B$5:$B$344,$A226+D$3)-INDEX($B$5:$B$344,$A226-1)-1,"")))</f>
        <v/>
      </c>
      <c r="E226" s="11">
        <f>IF(OR($A226=1,$B226="",$A226+E$3&gt;340),"",IF(INDEX($B$5:$B$344,$A226+E$3)="","",IF(AND(YEAR($B226)=$B$2,YEAR(INDEX($B$5:$B$344,$A226+E$3-1))=$B$2),INDEX($B$5:$B$344,$A226+E$3)-INDEX($B$5:$B$344,$A226-1)-1,"")))</f>
        <v/>
      </c>
      <c r="F226" s="11">
        <f>IF(OR($A226=1,$B226="",$A226+F$3&gt;340),"",IF(INDEX($B$5:$B$344,$A226+F$3)="","",IF(AND(YEAR($B226)=$B$2,YEAR(INDEX($B$5:$B$344,$A226+F$3-1))=$B$2),INDEX($B$5:$B$344,$A226+F$3)-INDEX($B$5:$B$344,$A226-1)-1,"")))</f>
        <v/>
      </c>
      <c r="G226" s="11">
        <f>IF(OR($A226=1,$B226="",$A226+G$3&gt;340),"",IF(INDEX($B$5:$B$344,$A226+G$3)="","",IF(AND(YEAR($B226)=$B$2,YEAR(INDEX($B$5:$B$344,$A226+G$3-1))=$B$2),INDEX($B$5:$B$344,$A226+G$3)-INDEX($B$5:$B$344,$A226-1)-1,"")))</f>
        <v/>
      </c>
      <c r="H226" s="11">
        <f>IF(OR($A226=1,$B226="",$A226+H$3&gt;340),"",IF(INDEX($B$5:$B$344,$A226+H$3)="","",IF(AND(YEAR($B226)=$B$2,YEAR(INDEX($B$5:$B$344,$A226+H$3-1))=$B$2),INDEX($B$5:$B$344,$A226+H$3)-INDEX($B$5:$B$344,$A226-1)-1,"")))</f>
        <v/>
      </c>
      <c r="I226" s="11">
        <f>IF(OR($A226=1,$B226="",$A226+I$3&gt;340),"",IF(INDEX($B$5:$B$344,$A226+I$3)="","",IF(AND(YEAR($B226)=$B$2,YEAR(INDEX($B$5:$B$344,$A226+I$3-1))=$B$2),INDEX($B$5:$B$344,$A226+I$3)-INDEX($B$5:$B$344,$A226-1)-1,"")))</f>
        <v/>
      </c>
      <c r="J226" s="11">
        <f>IF(OR($A226=1,$B226="",$A226+J$3&gt;340),"",IF(INDEX($B$5:$B$344,$A226+J$3)="","",IF(AND(YEAR($B226)=$B$2,YEAR(INDEX($B$5:$B$344,$A226+J$3-1))=$B$2),INDEX($B$5:$B$344,$A226+J$3)-INDEX($B$5:$B$344,$A226-1)-1,"")))</f>
        <v/>
      </c>
      <c r="K226" s="11">
        <f>IF(OR($A226=1,$B226="",$A226+K$3&gt;340),"",IF(INDEX($B$5:$B$344,$A226+K$3)="","",IF(AND(YEAR($B226)=$B$2,YEAR(INDEX($B$5:$B$344,$A226+K$3-1))=$B$2),INDEX($B$5:$B$344,$A226+K$3)-INDEX($B$5:$B$344,$A226-1)-1,"")))</f>
        <v/>
      </c>
      <c r="L226" s="11">
        <f>IF(OR($A226=1,$B226="",$A226+L$3&gt;340),"",IF(INDEX($B$5:$B$344,$A226+L$3)="","",IF(AND(YEAR($B226)=$B$2,YEAR(INDEX($B$5:$B$344,$A226+L$3-1))=$B$2),INDEX($B$5:$B$344,$A226+L$3)-INDEX($B$5:$B$344,$A226-1)-1,"")))</f>
        <v/>
      </c>
      <c r="M226" s="11">
        <f>IF(OR($A226=1,$B226="",$A226+M$3&gt;340),"",IF(INDEX($B$5:$B$344,$A226+M$3)="","",IF(AND(YEAR($B226)=$B$2,YEAR(INDEX($B$5:$B$344,$A226+M$3-1))=$B$2),INDEX($B$5:$B$344,$A226+M$3)-INDEX($B$5:$B$344,$A226-1)-1,"")))</f>
        <v/>
      </c>
    </row>
    <row r="227">
      <c r="A227" s="11" t="n">
        <v>223</v>
      </c>
      <c r="B227" s="10">
        <f>IFERROR(INDEX('2_暦'!$A$7:$A$433,MATCH(A227,'2_暦'!$K$7:$K$433,0)),"")</f>
        <v/>
      </c>
      <c r="C227" s="11">
        <f>IF(OR($A227=1,$B227=""),"",IF(OR(YEAR($B227-1)=$B$2,YEAR(INDEX($B$5:$B$344,$A227-1)+1)=$B$2),$B227-INDEX($B$5:$B$344,$A227-1)-1,""))</f>
        <v/>
      </c>
      <c r="D227" s="11">
        <f>IF(OR($A227=1,$B227="",$A227+D$3&gt;340),"",IF(INDEX($B$5:$B$344,$A227+D$3)="","",IF(AND(YEAR($B227)=$B$2,YEAR(INDEX($B$5:$B$344,$A227+D$3-1))=$B$2),INDEX($B$5:$B$344,$A227+D$3)-INDEX($B$5:$B$344,$A227-1)-1,"")))</f>
        <v/>
      </c>
      <c r="E227" s="11">
        <f>IF(OR($A227=1,$B227="",$A227+E$3&gt;340),"",IF(INDEX($B$5:$B$344,$A227+E$3)="","",IF(AND(YEAR($B227)=$B$2,YEAR(INDEX($B$5:$B$344,$A227+E$3-1))=$B$2),INDEX($B$5:$B$344,$A227+E$3)-INDEX($B$5:$B$344,$A227-1)-1,"")))</f>
        <v/>
      </c>
      <c r="F227" s="11">
        <f>IF(OR($A227=1,$B227="",$A227+F$3&gt;340),"",IF(INDEX($B$5:$B$344,$A227+F$3)="","",IF(AND(YEAR($B227)=$B$2,YEAR(INDEX($B$5:$B$344,$A227+F$3-1))=$B$2),INDEX($B$5:$B$344,$A227+F$3)-INDEX($B$5:$B$344,$A227-1)-1,"")))</f>
        <v/>
      </c>
      <c r="G227" s="11">
        <f>IF(OR($A227=1,$B227="",$A227+G$3&gt;340),"",IF(INDEX($B$5:$B$344,$A227+G$3)="","",IF(AND(YEAR($B227)=$B$2,YEAR(INDEX($B$5:$B$344,$A227+G$3-1))=$B$2),INDEX($B$5:$B$344,$A227+G$3)-INDEX($B$5:$B$344,$A227-1)-1,"")))</f>
        <v/>
      </c>
      <c r="H227" s="11">
        <f>IF(OR($A227=1,$B227="",$A227+H$3&gt;340),"",IF(INDEX($B$5:$B$344,$A227+H$3)="","",IF(AND(YEAR($B227)=$B$2,YEAR(INDEX($B$5:$B$344,$A227+H$3-1))=$B$2),INDEX($B$5:$B$344,$A227+H$3)-INDEX($B$5:$B$344,$A227-1)-1,"")))</f>
        <v/>
      </c>
      <c r="I227" s="11">
        <f>IF(OR($A227=1,$B227="",$A227+I$3&gt;340),"",IF(INDEX($B$5:$B$344,$A227+I$3)="","",IF(AND(YEAR($B227)=$B$2,YEAR(INDEX($B$5:$B$344,$A227+I$3-1))=$B$2),INDEX($B$5:$B$344,$A227+I$3)-INDEX($B$5:$B$344,$A227-1)-1,"")))</f>
        <v/>
      </c>
      <c r="J227" s="11">
        <f>IF(OR($A227=1,$B227="",$A227+J$3&gt;340),"",IF(INDEX($B$5:$B$344,$A227+J$3)="","",IF(AND(YEAR($B227)=$B$2,YEAR(INDEX($B$5:$B$344,$A227+J$3-1))=$B$2),INDEX($B$5:$B$344,$A227+J$3)-INDEX($B$5:$B$344,$A227-1)-1,"")))</f>
        <v/>
      </c>
      <c r="K227" s="11">
        <f>IF(OR($A227=1,$B227="",$A227+K$3&gt;340),"",IF(INDEX($B$5:$B$344,$A227+K$3)="","",IF(AND(YEAR($B227)=$B$2,YEAR(INDEX($B$5:$B$344,$A227+K$3-1))=$B$2),INDEX($B$5:$B$344,$A227+K$3)-INDEX($B$5:$B$344,$A227-1)-1,"")))</f>
        <v/>
      </c>
      <c r="L227" s="11">
        <f>IF(OR($A227=1,$B227="",$A227+L$3&gt;340),"",IF(INDEX($B$5:$B$344,$A227+L$3)="","",IF(AND(YEAR($B227)=$B$2,YEAR(INDEX($B$5:$B$344,$A227+L$3-1))=$B$2),INDEX($B$5:$B$344,$A227+L$3)-INDEX($B$5:$B$344,$A227-1)-1,"")))</f>
        <v/>
      </c>
      <c r="M227" s="11">
        <f>IF(OR($A227=1,$B227="",$A227+M$3&gt;340),"",IF(INDEX($B$5:$B$344,$A227+M$3)="","",IF(AND(YEAR($B227)=$B$2,YEAR(INDEX($B$5:$B$344,$A227+M$3-1))=$B$2),INDEX($B$5:$B$344,$A227+M$3)-INDEX($B$5:$B$344,$A227-1)-1,"")))</f>
        <v/>
      </c>
    </row>
    <row r="228">
      <c r="A228" s="11" t="n">
        <v>224</v>
      </c>
      <c r="B228" s="10">
        <f>IFERROR(INDEX('2_暦'!$A$7:$A$433,MATCH(A228,'2_暦'!$K$7:$K$433,0)),"")</f>
        <v/>
      </c>
      <c r="C228" s="11">
        <f>IF(OR($A228=1,$B228=""),"",IF(OR(YEAR($B228-1)=$B$2,YEAR(INDEX($B$5:$B$344,$A228-1)+1)=$B$2),$B228-INDEX($B$5:$B$344,$A228-1)-1,""))</f>
        <v/>
      </c>
      <c r="D228" s="11">
        <f>IF(OR($A228=1,$B228="",$A228+D$3&gt;340),"",IF(INDEX($B$5:$B$344,$A228+D$3)="","",IF(AND(YEAR($B228)=$B$2,YEAR(INDEX($B$5:$B$344,$A228+D$3-1))=$B$2),INDEX($B$5:$B$344,$A228+D$3)-INDEX($B$5:$B$344,$A228-1)-1,"")))</f>
        <v/>
      </c>
      <c r="E228" s="11">
        <f>IF(OR($A228=1,$B228="",$A228+E$3&gt;340),"",IF(INDEX($B$5:$B$344,$A228+E$3)="","",IF(AND(YEAR($B228)=$B$2,YEAR(INDEX($B$5:$B$344,$A228+E$3-1))=$B$2),INDEX($B$5:$B$344,$A228+E$3)-INDEX($B$5:$B$344,$A228-1)-1,"")))</f>
        <v/>
      </c>
      <c r="F228" s="11">
        <f>IF(OR($A228=1,$B228="",$A228+F$3&gt;340),"",IF(INDEX($B$5:$B$344,$A228+F$3)="","",IF(AND(YEAR($B228)=$B$2,YEAR(INDEX($B$5:$B$344,$A228+F$3-1))=$B$2),INDEX($B$5:$B$344,$A228+F$3)-INDEX($B$5:$B$344,$A228-1)-1,"")))</f>
        <v/>
      </c>
      <c r="G228" s="11">
        <f>IF(OR($A228=1,$B228="",$A228+G$3&gt;340),"",IF(INDEX($B$5:$B$344,$A228+G$3)="","",IF(AND(YEAR($B228)=$B$2,YEAR(INDEX($B$5:$B$344,$A228+G$3-1))=$B$2),INDEX($B$5:$B$344,$A228+G$3)-INDEX($B$5:$B$344,$A228-1)-1,"")))</f>
        <v/>
      </c>
      <c r="H228" s="11">
        <f>IF(OR($A228=1,$B228="",$A228+H$3&gt;340),"",IF(INDEX($B$5:$B$344,$A228+H$3)="","",IF(AND(YEAR($B228)=$B$2,YEAR(INDEX($B$5:$B$344,$A228+H$3-1))=$B$2),INDEX($B$5:$B$344,$A228+H$3)-INDEX($B$5:$B$344,$A228-1)-1,"")))</f>
        <v/>
      </c>
      <c r="I228" s="11">
        <f>IF(OR($A228=1,$B228="",$A228+I$3&gt;340),"",IF(INDEX($B$5:$B$344,$A228+I$3)="","",IF(AND(YEAR($B228)=$B$2,YEAR(INDEX($B$5:$B$344,$A228+I$3-1))=$B$2),INDEX($B$5:$B$344,$A228+I$3)-INDEX($B$5:$B$344,$A228-1)-1,"")))</f>
        <v/>
      </c>
      <c r="J228" s="11">
        <f>IF(OR($A228=1,$B228="",$A228+J$3&gt;340),"",IF(INDEX($B$5:$B$344,$A228+J$3)="","",IF(AND(YEAR($B228)=$B$2,YEAR(INDEX($B$5:$B$344,$A228+J$3-1))=$B$2),INDEX($B$5:$B$344,$A228+J$3)-INDEX($B$5:$B$344,$A228-1)-1,"")))</f>
        <v/>
      </c>
      <c r="K228" s="11">
        <f>IF(OR($A228=1,$B228="",$A228+K$3&gt;340),"",IF(INDEX($B$5:$B$344,$A228+K$3)="","",IF(AND(YEAR($B228)=$B$2,YEAR(INDEX($B$5:$B$344,$A228+K$3-1))=$B$2),INDEX($B$5:$B$344,$A228+K$3)-INDEX($B$5:$B$344,$A228-1)-1,"")))</f>
        <v/>
      </c>
      <c r="L228" s="11">
        <f>IF(OR($A228=1,$B228="",$A228+L$3&gt;340),"",IF(INDEX($B$5:$B$344,$A228+L$3)="","",IF(AND(YEAR($B228)=$B$2,YEAR(INDEX($B$5:$B$344,$A228+L$3-1))=$B$2),INDEX($B$5:$B$344,$A228+L$3)-INDEX($B$5:$B$344,$A228-1)-1,"")))</f>
        <v/>
      </c>
      <c r="M228" s="11">
        <f>IF(OR($A228=1,$B228="",$A228+M$3&gt;340),"",IF(INDEX($B$5:$B$344,$A228+M$3)="","",IF(AND(YEAR($B228)=$B$2,YEAR(INDEX($B$5:$B$344,$A228+M$3-1))=$B$2),INDEX($B$5:$B$344,$A228+M$3)-INDEX($B$5:$B$344,$A228-1)-1,"")))</f>
        <v/>
      </c>
    </row>
    <row r="229">
      <c r="A229" s="11" t="n">
        <v>225</v>
      </c>
      <c r="B229" s="10">
        <f>IFERROR(INDEX('2_暦'!$A$7:$A$433,MATCH(A229,'2_暦'!$K$7:$K$433,0)),"")</f>
        <v/>
      </c>
      <c r="C229" s="11">
        <f>IF(OR($A229=1,$B229=""),"",IF(OR(YEAR($B229-1)=$B$2,YEAR(INDEX($B$5:$B$344,$A229-1)+1)=$B$2),$B229-INDEX($B$5:$B$344,$A229-1)-1,""))</f>
        <v/>
      </c>
      <c r="D229" s="11">
        <f>IF(OR($A229=1,$B229="",$A229+D$3&gt;340),"",IF(INDEX($B$5:$B$344,$A229+D$3)="","",IF(AND(YEAR($B229)=$B$2,YEAR(INDEX($B$5:$B$344,$A229+D$3-1))=$B$2),INDEX($B$5:$B$344,$A229+D$3)-INDEX($B$5:$B$344,$A229-1)-1,"")))</f>
        <v/>
      </c>
      <c r="E229" s="11">
        <f>IF(OR($A229=1,$B229="",$A229+E$3&gt;340),"",IF(INDEX($B$5:$B$344,$A229+E$3)="","",IF(AND(YEAR($B229)=$B$2,YEAR(INDEX($B$5:$B$344,$A229+E$3-1))=$B$2),INDEX($B$5:$B$344,$A229+E$3)-INDEX($B$5:$B$344,$A229-1)-1,"")))</f>
        <v/>
      </c>
      <c r="F229" s="11">
        <f>IF(OR($A229=1,$B229="",$A229+F$3&gt;340),"",IF(INDEX($B$5:$B$344,$A229+F$3)="","",IF(AND(YEAR($B229)=$B$2,YEAR(INDEX($B$5:$B$344,$A229+F$3-1))=$B$2),INDEX($B$5:$B$344,$A229+F$3)-INDEX($B$5:$B$344,$A229-1)-1,"")))</f>
        <v/>
      </c>
      <c r="G229" s="11">
        <f>IF(OR($A229=1,$B229="",$A229+G$3&gt;340),"",IF(INDEX($B$5:$B$344,$A229+G$3)="","",IF(AND(YEAR($B229)=$B$2,YEAR(INDEX($B$5:$B$344,$A229+G$3-1))=$B$2),INDEX($B$5:$B$344,$A229+G$3)-INDEX($B$5:$B$344,$A229-1)-1,"")))</f>
        <v/>
      </c>
      <c r="H229" s="11">
        <f>IF(OR($A229=1,$B229="",$A229+H$3&gt;340),"",IF(INDEX($B$5:$B$344,$A229+H$3)="","",IF(AND(YEAR($B229)=$B$2,YEAR(INDEX($B$5:$B$344,$A229+H$3-1))=$B$2),INDEX($B$5:$B$344,$A229+H$3)-INDEX($B$5:$B$344,$A229-1)-1,"")))</f>
        <v/>
      </c>
      <c r="I229" s="11">
        <f>IF(OR($A229=1,$B229="",$A229+I$3&gt;340),"",IF(INDEX($B$5:$B$344,$A229+I$3)="","",IF(AND(YEAR($B229)=$B$2,YEAR(INDEX($B$5:$B$344,$A229+I$3-1))=$B$2),INDEX($B$5:$B$344,$A229+I$3)-INDEX($B$5:$B$344,$A229-1)-1,"")))</f>
        <v/>
      </c>
      <c r="J229" s="11">
        <f>IF(OR($A229=1,$B229="",$A229+J$3&gt;340),"",IF(INDEX($B$5:$B$344,$A229+J$3)="","",IF(AND(YEAR($B229)=$B$2,YEAR(INDEX($B$5:$B$344,$A229+J$3-1))=$B$2),INDEX($B$5:$B$344,$A229+J$3)-INDEX($B$5:$B$344,$A229-1)-1,"")))</f>
        <v/>
      </c>
      <c r="K229" s="11">
        <f>IF(OR($A229=1,$B229="",$A229+K$3&gt;340),"",IF(INDEX($B$5:$B$344,$A229+K$3)="","",IF(AND(YEAR($B229)=$B$2,YEAR(INDEX($B$5:$B$344,$A229+K$3-1))=$B$2),INDEX($B$5:$B$344,$A229+K$3)-INDEX($B$5:$B$344,$A229-1)-1,"")))</f>
        <v/>
      </c>
      <c r="L229" s="11">
        <f>IF(OR($A229=1,$B229="",$A229+L$3&gt;340),"",IF(INDEX($B$5:$B$344,$A229+L$3)="","",IF(AND(YEAR($B229)=$B$2,YEAR(INDEX($B$5:$B$344,$A229+L$3-1))=$B$2),INDEX($B$5:$B$344,$A229+L$3)-INDEX($B$5:$B$344,$A229-1)-1,"")))</f>
        <v/>
      </c>
      <c r="M229" s="11">
        <f>IF(OR($A229=1,$B229="",$A229+M$3&gt;340),"",IF(INDEX($B$5:$B$344,$A229+M$3)="","",IF(AND(YEAR($B229)=$B$2,YEAR(INDEX($B$5:$B$344,$A229+M$3-1))=$B$2),INDEX($B$5:$B$344,$A229+M$3)-INDEX($B$5:$B$344,$A229-1)-1,"")))</f>
        <v/>
      </c>
    </row>
    <row r="230">
      <c r="A230" s="11" t="n">
        <v>226</v>
      </c>
      <c r="B230" s="10">
        <f>IFERROR(INDEX('2_暦'!$A$7:$A$433,MATCH(A230,'2_暦'!$K$7:$K$433,0)),"")</f>
        <v/>
      </c>
      <c r="C230" s="11">
        <f>IF(OR($A230=1,$B230=""),"",IF(OR(YEAR($B230-1)=$B$2,YEAR(INDEX($B$5:$B$344,$A230-1)+1)=$B$2),$B230-INDEX($B$5:$B$344,$A230-1)-1,""))</f>
        <v/>
      </c>
      <c r="D230" s="11">
        <f>IF(OR($A230=1,$B230="",$A230+D$3&gt;340),"",IF(INDEX($B$5:$B$344,$A230+D$3)="","",IF(AND(YEAR($B230)=$B$2,YEAR(INDEX($B$5:$B$344,$A230+D$3-1))=$B$2),INDEX($B$5:$B$344,$A230+D$3)-INDEX($B$5:$B$344,$A230-1)-1,"")))</f>
        <v/>
      </c>
      <c r="E230" s="11">
        <f>IF(OR($A230=1,$B230="",$A230+E$3&gt;340),"",IF(INDEX($B$5:$B$344,$A230+E$3)="","",IF(AND(YEAR($B230)=$B$2,YEAR(INDEX($B$5:$B$344,$A230+E$3-1))=$B$2),INDEX($B$5:$B$344,$A230+E$3)-INDEX($B$5:$B$344,$A230-1)-1,"")))</f>
        <v/>
      </c>
      <c r="F230" s="11">
        <f>IF(OR($A230=1,$B230="",$A230+F$3&gt;340),"",IF(INDEX($B$5:$B$344,$A230+F$3)="","",IF(AND(YEAR($B230)=$B$2,YEAR(INDEX($B$5:$B$344,$A230+F$3-1))=$B$2),INDEX($B$5:$B$344,$A230+F$3)-INDEX($B$5:$B$344,$A230-1)-1,"")))</f>
        <v/>
      </c>
      <c r="G230" s="11">
        <f>IF(OR($A230=1,$B230="",$A230+G$3&gt;340),"",IF(INDEX($B$5:$B$344,$A230+G$3)="","",IF(AND(YEAR($B230)=$B$2,YEAR(INDEX($B$5:$B$344,$A230+G$3-1))=$B$2),INDEX($B$5:$B$344,$A230+G$3)-INDEX($B$5:$B$344,$A230-1)-1,"")))</f>
        <v/>
      </c>
      <c r="H230" s="11">
        <f>IF(OR($A230=1,$B230="",$A230+H$3&gt;340),"",IF(INDEX($B$5:$B$344,$A230+H$3)="","",IF(AND(YEAR($B230)=$B$2,YEAR(INDEX($B$5:$B$344,$A230+H$3-1))=$B$2),INDEX($B$5:$B$344,$A230+H$3)-INDEX($B$5:$B$344,$A230-1)-1,"")))</f>
        <v/>
      </c>
      <c r="I230" s="11">
        <f>IF(OR($A230=1,$B230="",$A230+I$3&gt;340),"",IF(INDEX($B$5:$B$344,$A230+I$3)="","",IF(AND(YEAR($B230)=$B$2,YEAR(INDEX($B$5:$B$344,$A230+I$3-1))=$B$2),INDEX($B$5:$B$344,$A230+I$3)-INDEX($B$5:$B$344,$A230-1)-1,"")))</f>
        <v/>
      </c>
      <c r="J230" s="11">
        <f>IF(OR($A230=1,$B230="",$A230+J$3&gt;340),"",IF(INDEX($B$5:$B$344,$A230+J$3)="","",IF(AND(YEAR($B230)=$B$2,YEAR(INDEX($B$5:$B$344,$A230+J$3-1))=$B$2),INDEX($B$5:$B$344,$A230+J$3)-INDEX($B$5:$B$344,$A230-1)-1,"")))</f>
        <v/>
      </c>
      <c r="K230" s="11">
        <f>IF(OR($A230=1,$B230="",$A230+K$3&gt;340),"",IF(INDEX($B$5:$B$344,$A230+K$3)="","",IF(AND(YEAR($B230)=$B$2,YEAR(INDEX($B$5:$B$344,$A230+K$3-1))=$B$2),INDEX($B$5:$B$344,$A230+K$3)-INDEX($B$5:$B$344,$A230-1)-1,"")))</f>
        <v/>
      </c>
      <c r="L230" s="11">
        <f>IF(OR($A230=1,$B230="",$A230+L$3&gt;340),"",IF(INDEX($B$5:$B$344,$A230+L$3)="","",IF(AND(YEAR($B230)=$B$2,YEAR(INDEX($B$5:$B$344,$A230+L$3-1))=$B$2),INDEX($B$5:$B$344,$A230+L$3)-INDEX($B$5:$B$344,$A230-1)-1,"")))</f>
        <v/>
      </c>
      <c r="M230" s="11">
        <f>IF(OR($A230=1,$B230="",$A230+M$3&gt;340),"",IF(INDEX($B$5:$B$344,$A230+M$3)="","",IF(AND(YEAR($B230)=$B$2,YEAR(INDEX($B$5:$B$344,$A230+M$3-1))=$B$2),INDEX($B$5:$B$344,$A230+M$3)-INDEX($B$5:$B$344,$A230-1)-1,"")))</f>
        <v/>
      </c>
    </row>
    <row r="231">
      <c r="A231" s="11" t="n">
        <v>227</v>
      </c>
      <c r="B231" s="10">
        <f>IFERROR(INDEX('2_暦'!$A$7:$A$433,MATCH(A231,'2_暦'!$K$7:$K$433,0)),"")</f>
        <v/>
      </c>
      <c r="C231" s="11">
        <f>IF(OR($A231=1,$B231=""),"",IF(OR(YEAR($B231-1)=$B$2,YEAR(INDEX($B$5:$B$344,$A231-1)+1)=$B$2),$B231-INDEX($B$5:$B$344,$A231-1)-1,""))</f>
        <v/>
      </c>
      <c r="D231" s="11">
        <f>IF(OR($A231=1,$B231="",$A231+D$3&gt;340),"",IF(INDEX($B$5:$B$344,$A231+D$3)="","",IF(AND(YEAR($B231)=$B$2,YEAR(INDEX($B$5:$B$344,$A231+D$3-1))=$B$2),INDEX($B$5:$B$344,$A231+D$3)-INDEX($B$5:$B$344,$A231-1)-1,"")))</f>
        <v/>
      </c>
      <c r="E231" s="11">
        <f>IF(OR($A231=1,$B231="",$A231+E$3&gt;340),"",IF(INDEX($B$5:$B$344,$A231+E$3)="","",IF(AND(YEAR($B231)=$B$2,YEAR(INDEX($B$5:$B$344,$A231+E$3-1))=$B$2),INDEX($B$5:$B$344,$A231+E$3)-INDEX($B$5:$B$344,$A231-1)-1,"")))</f>
        <v/>
      </c>
      <c r="F231" s="11">
        <f>IF(OR($A231=1,$B231="",$A231+F$3&gt;340),"",IF(INDEX($B$5:$B$344,$A231+F$3)="","",IF(AND(YEAR($B231)=$B$2,YEAR(INDEX($B$5:$B$344,$A231+F$3-1))=$B$2),INDEX($B$5:$B$344,$A231+F$3)-INDEX($B$5:$B$344,$A231-1)-1,"")))</f>
        <v/>
      </c>
      <c r="G231" s="11">
        <f>IF(OR($A231=1,$B231="",$A231+G$3&gt;340),"",IF(INDEX($B$5:$B$344,$A231+G$3)="","",IF(AND(YEAR($B231)=$B$2,YEAR(INDEX($B$5:$B$344,$A231+G$3-1))=$B$2),INDEX($B$5:$B$344,$A231+G$3)-INDEX($B$5:$B$344,$A231-1)-1,"")))</f>
        <v/>
      </c>
      <c r="H231" s="11">
        <f>IF(OR($A231=1,$B231="",$A231+H$3&gt;340),"",IF(INDEX($B$5:$B$344,$A231+H$3)="","",IF(AND(YEAR($B231)=$B$2,YEAR(INDEX($B$5:$B$344,$A231+H$3-1))=$B$2),INDEX($B$5:$B$344,$A231+H$3)-INDEX($B$5:$B$344,$A231-1)-1,"")))</f>
        <v/>
      </c>
      <c r="I231" s="11">
        <f>IF(OR($A231=1,$B231="",$A231+I$3&gt;340),"",IF(INDEX($B$5:$B$344,$A231+I$3)="","",IF(AND(YEAR($B231)=$B$2,YEAR(INDEX($B$5:$B$344,$A231+I$3-1))=$B$2),INDEX($B$5:$B$344,$A231+I$3)-INDEX($B$5:$B$344,$A231-1)-1,"")))</f>
        <v/>
      </c>
      <c r="J231" s="11">
        <f>IF(OR($A231=1,$B231="",$A231+J$3&gt;340),"",IF(INDEX($B$5:$B$344,$A231+J$3)="","",IF(AND(YEAR($B231)=$B$2,YEAR(INDEX($B$5:$B$344,$A231+J$3-1))=$B$2),INDEX($B$5:$B$344,$A231+J$3)-INDEX($B$5:$B$344,$A231-1)-1,"")))</f>
        <v/>
      </c>
      <c r="K231" s="11">
        <f>IF(OR($A231=1,$B231="",$A231+K$3&gt;340),"",IF(INDEX($B$5:$B$344,$A231+K$3)="","",IF(AND(YEAR($B231)=$B$2,YEAR(INDEX($B$5:$B$344,$A231+K$3-1))=$B$2),INDEX($B$5:$B$344,$A231+K$3)-INDEX($B$5:$B$344,$A231-1)-1,"")))</f>
        <v/>
      </c>
      <c r="L231" s="11">
        <f>IF(OR($A231=1,$B231="",$A231+L$3&gt;340),"",IF(INDEX($B$5:$B$344,$A231+L$3)="","",IF(AND(YEAR($B231)=$B$2,YEAR(INDEX($B$5:$B$344,$A231+L$3-1))=$B$2),INDEX($B$5:$B$344,$A231+L$3)-INDEX($B$5:$B$344,$A231-1)-1,"")))</f>
        <v/>
      </c>
      <c r="M231" s="11">
        <f>IF(OR($A231=1,$B231="",$A231+M$3&gt;340),"",IF(INDEX($B$5:$B$344,$A231+M$3)="","",IF(AND(YEAR($B231)=$B$2,YEAR(INDEX($B$5:$B$344,$A231+M$3-1))=$B$2),INDEX($B$5:$B$344,$A231+M$3)-INDEX($B$5:$B$344,$A231-1)-1,"")))</f>
        <v/>
      </c>
    </row>
    <row r="232">
      <c r="A232" s="11" t="n">
        <v>228</v>
      </c>
      <c r="B232" s="10">
        <f>IFERROR(INDEX('2_暦'!$A$7:$A$433,MATCH(A232,'2_暦'!$K$7:$K$433,0)),"")</f>
        <v/>
      </c>
      <c r="C232" s="11">
        <f>IF(OR($A232=1,$B232=""),"",IF(OR(YEAR($B232-1)=$B$2,YEAR(INDEX($B$5:$B$344,$A232-1)+1)=$B$2),$B232-INDEX($B$5:$B$344,$A232-1)-1,""))</f>
        <v/>
      </c>
      <c r="D232" s="11">
        <f>IF(OR($A232=1,$B232="",$A232+D$3&gt;340),"",IF(INDEX($B$5:$B$344,$A232+D$3)="","",IF(AND(YEAR($B232)=$B$2,YEAR(INDEX($B$5:$B$344,$A232+D$3-1))=$B$2),INDEX($B$5:$B$344,$A232+D$3)-INDEX($B$5:$B$344,$A232-1)-1,"")))</f>
        <v/>
      </c>
      <c r="E232" s="11">
        <f>IF(OR($A232=1,$B232="",$A232+E$3&gt;340),"",IF(INDEX($B$5:$B$344,$A232+E$3)="","",IF(AND(YEAR($B232)=$B$2,YEAR(INDEX($B$5:$B$344,$A232+E$3-1))=$B$2),INDEX($B$5:$B$344,$A232+E$3)-INDEX($B$5:$B$344,$A232-1)-1,"")))</f>
        <v/>
      </c>
      <c r="F232" s="11">
        <f>IF(OR($A232=1,$B232="",$A232+F$3&gt;340),"",IF(INDEX($B$5:$B$344,$A232+F$3)="","",IF(AND(YEAR($B232)=$B$2,YEAR(INDEX($B$5:$B$344,$A232+F$3-1))=$B$2),INDEX($B$5:$B$344,$A232+F$3)-INDEX($B$5:$B$344,$A232-1)-1,"")))</f>
        <v/>
      </c>
      <c r="G232" s="11">
        <f>IF(OR($A232=1,$B232="",$A232+G$3&gt;340),"",IF(INDEX($B$5:$B$344,$A232+G$3)="","",IF(AND(YEAR($B232)=$B$2,YEAR(INDEX($B$5:$B$344,$A232+G$3-1))=$B$2),INDEX($B$5:$B$344,$A232+G$3)-INDEX($B$5:$B$344,$A232-1)-1,"")))</f>
        <v/>
      </c>
      <c r="H232" s="11">
        <f>IF(OR($A232=1,$B232="",$A232+H$3&gt;340),"",IF(INDEX($B$5:$B$344,$A232+H$3)="","",IF(AND(YEAR($B232)=$B$2,YEAR(INDEX($B$5:$B$344,$A232+H$3-1))=$B$2),INDEX($B$5:$B$344,$A232+H$3)-INDEX($B$5:$B$344,$A232-1)-1,"")))</f>
        <v/>
      </c>
      <c r="I232" s="11">
        <f>IF(OR($A232=1,$B232="",$A232+I$3&gt;340),"",IF(INDEX($B$5:$B$344,$A232+I$3)="","",IF(AND(YEAR($B232)=$B$2,YEAR(INDEX($B$5:$B$344,$A232+I$3-1))=$B$2),INDEX($B$5:$B$344,$A232+I$3)-INDEX($B$5:$B$344,$A232-1)-1,"")))</f>
        <v/>
      </c>
      <c r="J232" s="11">
        <f>IF(OR($A232=1,$B232="",$A232+J$3&gt;340),"",IF(INDEX($B$5:$B$344,$A232+J$3)="","",IF(AND(YEAR($B232)=$B$2,YEAR(INDEX($B$5:$B$344,$A232+J$3-1))=$B$2),INDEX($B$5:$B$344,$A232+J$3)-INDEX($B$5:$B$344,$A232-1)-1,"")))</f>
        <v/>
      </c>
      <c r="K232" s="11">
        <f>IF(OR($A232=1,$B232="",$A232+K$3&gt;340),"",IF(INDEX($B$5:$B$344,$A232+K$3)="","",IF(AND(YEAR($B232)=$B$2,YEAR(INDEX($B$5:$B$344,$A232+K$3-1))=$B$2),INDEX($B$5:$B$344,$A232+K$3)-INDEX($B$5:$B$344,$A232-1)-1,"")))</f>
        <v/>
      </c>
      <c r="L232" s="11">
        <f>IF(OR($A232=1,$B232="",$A232+L$3&gt;340),"",IF(INDEX($B$5:$B$344,$A232+L$3)="","",IF(AND(YEAR($B232)=$B$2,YEAR(INDEX($B$5:$B$344,$A232+L$3-1))=$B$2),INDEX($B$5:$B$344,$A232+L$3)-INDEX($B$5:$B$344,$A232-1)-1,"")))</f>
        <v/>
      </c>
      <c r="M232" s="11">
        <f>IF(OR($A232=1,$B232="",$A232+M$3&gt;340),"",IF(INDEX($B$5:$B$344,$A232+M$3)="","",IF(AND(YEAR($B232)=$B$2,YEAR(INDEX($B$5:$B$344,$A232+M$3-1))=$B$2),INDEX($B$5:$B$344,$A232+M$3)-INDEX($B$5:$B$344,$A232-1)-1,"")))</f>
        <v/>
      </c>
    </row>
    <row r="233">
      <c r="A233" s="11" t="n">
        <v>229</v>
      </c>
      <c r="B233" s="10">
        <f>IFERROR(INDEX('2_暦'!$A$7:$A$433,MATCH(A233,'2_暦'!$K$7:$K$433,0)),"")</f>
        <v/>
      </c>
      <c r="C233" s="11">
        <f>IF(OR($A233=1,$B233=""),"",IF(OR(YEAR($B233-1)=$B$2,YEAR(INDEX($B$5:$B$344,$A233-1)+1)=$B$2),$B233-INDEX($B$5:$B$344,$A233-1)-1,""))</f>
        <v/>
      </c>
      <c r="D233" s="11">
        <f>IF(OR($A233=1,$B233="",$A233+D$3&gt;340),"",IF(INDEX($B$5:$B$344,$A233+D$3)="","",IF(AND(YEAR($B233)=$B$2,YEAR(INDEX($B$5:$B$344,$A233+D$3-1))=$B$2),INDEX($B$5:$B$344,$A233+D$3)-INDEX($B$5:$B$344,$A233-1)-1,"")))</f>
        <v/>
      </c>
      <c r="E233" s="11">
        <f>IF(OR($A233=1,$B233="",$A233+E$3&gt;340),"",IF(INDEX($B$5:$B$344,$A233+E$3)="","",IF(AND(YEAR($B233)=$B$2,YEAR(INDEX($B$5:$B$344,$A233+E$3-1))=$B$2),INDEX($B$5:$B$344,$A233+E$3)-INDEX($B$5:$B$344,$A233-1)-1,"")))</f>
        <v/>
      </c>
      <c r="F233" s="11">
        <f>IF(OR($A233=1,$B233="",$A233+F$3&gt;340),"",IF(INDEX($B$5:$B$344,$A233+F$3)="","",IF(AND(YEAR($B233)=$B$2,YEAR(INDEX($B$5:$B$344,$A233+F$3-1))=$B$2),INDEX($B$5:$B$344,$A233+F$3)-INDEX($B$5:$B$344,$A233-1)-1,"")))</f>
        <v/>
      </c>
      <c r="G233" s="11">
        <f>IF(OR($A233=1,$B233="",$A233+G$3&gt;340),"",IF(INDEX($B$5:$B$344,$A233+G$3)="","",IF(AND(YEAR($B233)=$B$2,YEAR(INDEX($B$5:$B$344,$A233+G$3-1))=$B$2),INDEX($B$5:$B$344,$A233+G$3)-INDEX($B$5:$B$344,$A233-1)-1,"")))</f>
        <v/>
      </c>
      <c r="H233" s="11">
        <f>IF(OR($A233=1,$B233="",$A233+H$3&gt;340),"",IF(INDEX($B$5:$B$344,$A233+H$3)="","",IF(AND(YEAR($B233)=$B$2,YEAR(INDEX($B$5:$B$344,$A233+H$3-1))=$B$2),INDEX($B$5:$B$344,$A233+H$3)-INDEX($B$5:$B$344,$A233-1)-1,"")))</f>
        <v/>
      </c>
      <c r="I233" s="11">
        <f>IF(OR($A233=1,$B233="",$A233+I$3&gt;340),"",IF(INDEX($B$5:$B$344,$A233+I$3)="","",IF(AND(YEAR($B233)=$B$2,YEAR(INDEX($B$5:$B$344,$A233+I$3-1))=$B$2),INDEX($B$5:$B$344,$A233+I$3)-INDEX($B$5:$B$344,$A233-1)-1,"")))</f>
        <v/>
      </c>
      <c r="J233" s="11">
        <f>IF(OR($A233=1,$B233="",$A233+J$3&gt;340),"",IF(INDEX($B$5:$B$344,$A233+J$3)="","",IF(AND(YEAR($B233)=$B$2,YEAR(INDEX($B$5:$B$344,$A233+J$3-1))=$B$2),INDEX($B$5:$B$344,$A233+J$3)-INDEX($B$5:$B$344,$A233-1)-1,"")))</f>
        <v/>
      </c>
      <c r="K233" s="11">
        <f>IF(OR($A233=1,$B233="",$A233+K$3&gt;340),"",IF(INDEX($B$5:$B$344,$A233+K$3)="","",IF(AND(YEAR($B233)=$B$2,YEAR(INDEX($B$5:$B$344,$A233+K$3-1))=$B$2),INDEX($B$5:$B$344,$A233+K$3)-INDEX($B$5:$B$344,$A233-1)-1,"")))</f>
        <v/>
      </c>
      <c r="L233" s="11">
        <f>IF(OR($A233=1,$B233="",$A233+L$3&gt;340),"",IF(INDEX($B$5:$B$344,$A233+L$3)="","",IF(AND(YEAR($B233)=$B$2,YEAR(INDEX($B$5:$B$344,$A233+L$3-1))=$B$2),INDEX($B$5:$B$344,$A233+L$3)-INDEX($B$5:$B$344,$A233-1)-1,"")))</f>
        <v/>
      </c>
      <c r="M233" s="11">
        <f>IF(OR($A233=1,$B233="",$A233+M$3&gt;340),"",IF(INDEX($B$5:$B$344,$A233+M$3)="","",IF(AND(YEAR($B233)=$B$2,YEAR(INDEX($B$5:$B$344,$A233+M$3-1))=$B$2),INDEX($B$5:$B$344,$A233+M$3)-INDEX($B$5:$B$344,$A233-1)-1,"")))</f>
        <v/>
      </c>
    </row>
    <row r="234">
      <c r="A234" s="11" t="n">
        <v>230</v>
      </c>
      <c r="B234" s="10">
        <f>IFERROR(INDEX('2_暦'!$A$7:$A$433,MATCH(A234,'2_暦'!$K$7:$K$433,0)),"")</f>
        <v/>
      </c>
      <c r="C234" s="11">
        <f>IF(OR($A234=1,$B234=""),"",IF(OR(YEAR($B234-1)=$B$2,YEAR(INDEX($B$5:$B$344,$A234-1)+1)=$B$2),$B234-INDEX($B$5:$B$344,$A234-1)-1,""))</f>
        <v/>
      </c>
      <c r="D234" s="11">
        <f>IF(OR($A234=1,$B234="",$A234+D$3&gt;340),"",IF(INDEX($B$5:$B$344,$A234+D$3)="","",IF(AND(YEAR($B234)=$B$2,YEAR(INDEX($B$5:$B$344,$A234+D$3-1))=$B$2),INDEX($B$5:$B$344,$A234+D$3)-INDEX($B$5:$B$344,$A234-1)-1,"")))</f>
        <v/>
      </c>
      <c r="E234" s="11">
        <f>IF(OR($A234=1,$B234="",$A234+E$3&gt;340),"",IF(INDEX($B$5:$B$344,$A234+E$3)="","",IF(AND(YEAR($B234)=$B$2,YEAR(INDEX($B$5:$B$344,$A234+E$3-1))=$B$2),INDEX($B$5:$B$344,$A234+E$3)-INDEX($B$5:$B$344,$A234-1)-1,"")))</f>
        <v/>
      </c>
      <c r="F234" s="11">
        <f>IF(OR($A234=1,$B234="",$A234+F$3&gt;340),"",IF(INDEX($B$5:$B$344,$A234+F$3)="","",IF(AND(YEAR($B234)=$B$2,YEAR(INDEX($B$5:$B$344,$A234+F$3-1))=$B$2),INDEX($B$5:$B$344,$A234+F$3)-INDEX($B$5:$B$344,$A234-1)-1,"")))</f>
        <v/>
      </c>
      <c r="G234" s="11">
        <f>IF(OR($A234=1,$B234="",$A234+G$3&gt;340),"",IF(INDEX($B$5:$B$344,$A234+G$3)="","",IF(AND(YEAR($B234)=$B$2,YEAR(INDEX($B$5:$B$344,$A234+G$3-1))=$B$2),INDEX($B$5:$B$344,$A234+G$3)-INDEX($B$5:$B$344,$A234-1)-1,"")))</f>
        <v/>
      </c>
      <c r="H234" s="11">
        <f>IF(OR($A234=1,$B234="",$A234+H$3&gt;340),"",IF(INDEX($B$5:$B$344,$A234+H$3)="","",IF(AND(YEAR($B234)=$B$2,YEAR(INDEX($B$5:$B$344,$A234+H$3-1))=$B$2),INDEX($B$5:$B$344,$A234+H$3)-INDEX($B$5:$B$344,$A234-1)-1,"")))</f>
        <v/>
      </c>
      <c r="I234" s="11">
        <f>IF(OR($A234=1,$B234="",$A234+I$3&gt;340),"",IF(INDEX($B$5:$B$344,$A234+I$3)="","",IF(AND(YEAR($B234)=$B$2,YEAR(INDEX($B$5:$B$344,$A234+I$3-1))=$B$2),INDEX($B$5:$B$344,$A234+I$3)-INDEX($B$5:$B$344,$A234-1)-1,"")))</f>
        <v/>
      </c>
      <c r="J234" s="11">
        <f>IF(OR($A234=1,$B234="",$A234+J$3&gt;340),"",IF(INDEX($B$5:$B$344,$A234+J$3)="","",IF(AND(YEAR($B234)=$B$2,YEAR(INDEX($B$5:$B$344,$A234+J$3-1))=$B$2),INDEX($B$5:$B$344,$A234+J$3)-INDEX($B$5:$B$344,$A234-1)-1,"")))</f>
        <v/>
      </c>
      <c r="K234" s="11">
        <f>IF(OR($A234=1,$B234="",$A234+K$3&gt;340),"",IF(INDEX($B$5:$B$344,$A234+K$3)="","",IF(AND(YEAR($B234)=$B$2,YEAR(INDEX($B$5:$B$344,$A234+K$3-1))=$B$2),INDEX($B$5:$B$344,$A234+K$3)-INDEX($B$5:$B$344,$A234-1)-1,"")))</f>
        <v/>
      </c>
      <c r="L234" s="11">
        <f>IF(OR($A234=1,$B234="",$A234+L$3&gt;340),"",IF(INDEX($B$5:$B$344,$A234+L$3)="","",IF(AND(YEAR($B234)=$B$2,YEAR(INDEX($B$5:$B$344,$A234+L$3-1))=$B$2),INDEX($B$5:$B$344,$A234+L$3)-INDEX($B$5:$B$344,$A234-1)-1,"")))</f>
        <v/>
      </c>
      <c r="M234" s="11">
        <f>IF(OR($A234=1,$B234="",$A234+M$3&gt;340),"",IF(INDEX($B$5:$B$344,$A234+M$3)="","",IF(AND(YEAR($B234)=$B$2,YEAR(INDEX($B$5:$B$344,$A234+M$3-1))=$B$2),INDEX($B$5:$B$344,$A234+M$3)-INDEX($B$5:$B$344,$A234-1)-1,"")))</f>
        <v/>
      </c>
    </row>
    <row r="235">
      <c r="A235" s="11" t="n">
        <v>231</v>
      </c>
      <c r="B235" s="10">
        <f>IFERROR(INDEX('2_暦'!$A$7:$A$433,MATCH(A235,'2_暦'!$K$7:$K$433,0)),"")</f>
        <v/>
      </c>
      <c r="C235" s="11">
        <f>IF(OR($A235=1,$B235=""),"",IF(OR(YEAR($B235-1)=$B$2,YEAR(INDEX($B$5:$B$344,$A235-1)+1)=$B$2),$B235-INDEX($B$5:$B$344,$A235-1)-1,""))</f>
        <v/>
      </c>
      <c r="D235" s="11">
        <f>IF(OR($A235=1,$B235="",$A235+D$3&gt;340),"",IF(INDEX($B$5:$B$344,$A235+D$3)="","",IF(AND(YEAR($B235)=$B$2,YEAR(INDEX($B$5:$B$344,$A235+D$3-1))=$B$2),INDEX($B$5:$B$344,$A235+D$3)-INDEX($B$5:$B$344,$A235-1)-1,"")))</f>
        <v/>
      </c>
      <c r="E235" s="11">
        <f>IF(OR($A235=1,$B235="",$A235+E$3&gt;340),"",IF(INDEX($B$5:$B$344,$A235+E$3)="","",IF(AND(YEAR($B235)=$B$2,YEAR(INDEX($B$5:$B$344,$A235+E$3-1))=$B$2),INDEX($B$5:$B$344,$A235+E$3)-INDEX($B$5:$B$344,$A235-1)-1,"")))</f>
        <v/>
      </c>
      <c r="F235" s="11">
        <f>IF(OR($A235=1,$B235="",$A235+F$3&gt;340),"",IF(INDEX($B$5:$B$344,$A235+F$3)="","",IF(AND(YEAR($B235)=$B$2,YEAR(INDEX($B$5:$B$344,$A235+F$3-1))=$B$2),INDEX($B$5:$B$344,$A235+F$3)-INDEX($B$5:$B$344,$A235-1)-1,"")))</f>
        <v/>
      </c>
      <c r="G235" s="11">
        <f>IF(OR($A235=1,$B235="",$A235+G$3&gt;340),"",IF(INDEX($B$5:$B$344,$A235+G$3)="","",IF(AND(YEAR($B235)=$B$2,YEAR(INDEX($B$5:$B$344,$A235+G$3-1))=$B$2),INDEX($B$5:$B$344,$A235+G$3)-INDEX($B$5:$B$344,$A235-1)-1,"")))</f>
        <v/>
      </c>
      <c r="H235" s="11">
        <f>IF(OR($A235=1,$B235="",$A235+H$3&gt;340),"",IF(INDEX($B$5:$B$344,$A235+H$3)="","",IF(AND(YEAR($B235)=$B$2,YEAR(INDEX($B$5:$B$344,$A235+H$3-1))=$B$2),INDEX($B$5:$B$344,$A235+H$3)-INDEX($B$5:$B$344,$A235-1)-1,"")))</f>
        <v/>
      </c>
      <c r="I235" s="11">
        <f>IF(OR($A235=1,$B235="",$A235+I$3&gt;340),"",IF(INDEX($B$5:$B$344,$A235+I$3)="","",IF(AND(YEAR($B235)=$B$2,YEAR(INDEX($B$5:$B$344,$A235+I$3-1))=$B$2),INDEX($B$5:$B$344,$A235+I$3)-INDEX($B$5:$B$344,$A235-1)-1,"")))</f>
        <v/>
      </c>
      <c r="J235" s="11">
        <f>IF(OR($A235=1,$B235="",$A235+J$3&gt;340),"",IF(INDEX($B$5:$B$344,$A235+J$3)="","",IF(AND(YEAR($B235)=$B$2,YEAR(INDEX($B$5:$B$344,$A235+J$3-1))=$B$2),INDEX($B$5:$B$344,$A235+J$3)-INDEX($B$5:$B$344,$A235-1)-1,"")))</f>
        <v/>
      </c>
      <c r="K235" s="11">
        <f>IF(OR($A235=1,$B235="",$A235+K$3&gt;340),"",IF(INDEX($B$5:$B$344,$A235+K$3)="","",IF(AND(YEAR($B235)=$B$2,YEAR(INDEX($B$5:$B$344,$A235+K$3-1))=$B$2),INDEX($B$5:$B$344,$A235+K$3)-INDEX($B$5:$B$344,$A235-1)-1,"")))</f>
        <v/>
      </c>
      <c r="L235" s="11">
        <f>IF(OR($A235=1,$B235="",$A235+L$3&gt;340),"",IF(INDEX($B$5:$B$344,$A235+L$3)="","",IF(AND(YEAR($B235)=$B$2,YEAR(INDEX($B$5:$B$344,$A235+L$3-1))=$B$2),INDEX($B$5:$B$344,$A235+L$3)-INDEX($B$5:$B$344,$A235-1)-1,"")))</f>
        <v/>
      </c>
      <c r="M235" s="11">
        <f>IF(OR($A235=1,$B235="",$A235+M$3&gt;340),"",IF(INDEX($B$5:$B$344,$A235+M$3)="","",IF(AND(YEAR($B235)=$B$2,YEAR(INDEX($B$5:$B$344,$A235+M$3-1))=$B$2),INDEX($B$5:$B$344,$A235+M$3)-INDEX($B$5:$B$344,$A235-1)-1,"")))</f>
        <v/>
      </c>
    </row>
    <row r="236">
      <c r="A236" s="11" t="n">
        <v>232</v>
      </c>
      <c r="B236" s="10">
        <f>IFERROR(INDEX('2_暦'!$A$7:$A$433,MATCH(A236,'2_暦'!$K$7:$K$433,0)),"")</f>
        <v/>
      </c>
      <c r="C236" s="11">
        <f>IF(OR($A236=1,$B236=""),"",IF(OR(YEAR($B236-1)=$B$2,YEAR(INDEX($B$5:$B$344,$A236-1)+1)=$B$2),$B236-INDEX($B$5:$B$344,$A236-1)-1,""))</f>
        <v/>
      </c>
      <c r="D236" s="11">
        <f>IF(OR($A236=1,$B236="",$A236+D$3&gt;340),"",IF(INDEX($B$5:$B$344,$A236+D$3)="","",IF(AND(YEAR($B236)=$B$2,YEAR(INDEX($B$5:$B$344,$A236+D$3-1))=$B$2),INDEX($B$5:$B$344,$A236+D$3)-INDEX($B$5:$B$344,$A236-1)-1,"")))</f>
        <v/>
      </c>
      <c r="E236" s="11">
        <f>IF(OR($A236=1,$B236="",$A236+E$3&gt;340),"",IF(INDEX($B$5:$B$344,$A236+E$3)="","",IF(AND(YEAR($B236)=$B$2,YEAR(INDEX($B$5:$B$344,$A236+E$3-1))=$B$2),INDEX($B$5:$B$344,$A236+E$3)-INDEX($B$5:$B$344,$A236-1)-1,"")))</f>
        <v/>
      </c>
      <c r="F236" s="11">
        <f>IF(OR($A236=1,$B236="",$A236+F$3&gt;340),"",IF(INDEX($B$5:$B$344,$A236+F$3)="","",IF(AND(YEAR($B236)=$B$2,YEAR(INDEX($B$5:$B$344,$A236+F$3-1))=$B$2),INDEX($B$5:$B$344,$A236+F$3)-INDEX($B$5:$B$344,$A236-1)-1,"")))</f>
        <v/>
      </c>
      <c r="G236" s="11">
        <f>IF(OR($A236=1,$B236="",$A236+G$3&gt;340),"",IF(INDEX($B$5:$B$344,$A236+G$3)="","",IF(AND(YEAR($B236)=$B$2,YEAR(INDEX($B$5:$B$344,$A236+G$3-1))=$B$2),INDEX($B$5:$B$344,$A236+G$3)-INDEX($B$5:$B$344,$A236-1)-1,"")))</f>
        <v/>
      </c>
      <c r="H236" s="11">
        <f>IF(OR($A236=1,$B236="",$A236+H$3&gt;340),"",IF(INDEX($B$5:$B$344,$A236+H$3)="","",IF(AND(YEAR($B236)=$B$2,YEAR(INDEX($B$5:$B$344,$A236+H$3-1))=$B$2),INDEX($B$5:$B$344,$A236+H$3)-INDEX($B$5:$B$344,$A236-1)-1,"")))</f>
        <v/>
      </c>
      <c r="I236" s="11">
        <f>IF(OR($A236=1,$B236="",$A236+I$3&gt;340),"",IF(INDEX($B$5:$B$344,$A236+I$3)="","",IF(AND(YEAR($B236)=$B$2,YEAR(INDEX($B$5:$B$344,$A236+I$3-1))=$B$2),INDEX($B$5:$B$344,$A236+I$3)-INDEX($B$5:$B$344,$A236-1)-1,"")))</f>
        <v/>
      </c>
      <c r="J236" s="11">
        <f>IF(OR($A236=1,$B236="",$A236+J$3&gt;340),"",IF(INDEX($B$5:$B$344,$A236+J$3)="","",IF(AND(YEAR($B236)=$B$2,YEAR(INDEX($B$5:$B$344,$A236+J$3-1))=$B$2),INDEX($B$5:$B$344,$A236+J$3)-INDEX($B$5:$B$344,$A236-1)-1,"")))</f>
        <v/>
      </c>
      <c r="K236" s="11">
        <f>IF(OR($A236=1,$B236="",$A236+K$3&gt;340),"",IF(INDEX($B$5:$B$344,$A236+K$3)="","",IF(AND(YEAR($B236)=$B$2,YEAR(INDEX($B$5:$B$344,$A236+K$3-1))=$B$2),INDEX($B$5:$B$344,$A236+K$3)-INDEX($B$5:$B$344,$A236-1)-1,"")))</f>
        <v/>
      </c>
      <c r="L236" s="11">
        <f>IF(OR($A236=1,$B236="",$A236+L$3&gt;340),"",IF(INDEX($B$5:$B$344,$A236+L$3)="","",IF(AND(YEAR($B236)=$B$2,YEAR(INDEX($B$5:$B$344,$A236+L$3-1))=$B$2),INDEX($B$5:$B$344,$A236+L$3)-INDEX($B$5:$B$344,$A236-1)-1,"")))</f>
        <v/>
      </c>
      <c r="M236" s="11">
        <f>IF(OR($A236=1,$B236="",$A236+M$3&gt;340),"",IF(INDEX($B$5:$B$344,$A236+M$3)="","",IF(AND(YEAR($B236)=$B$2,YEAR(INDEX($B$5:$B$344,$A236+M$3-1))=$B$2),INDEX($B$5:$B$344,$A236+M$3)-INDEX($B$5:$B$344,$A236-1)-1,"")))</f>
        <v/>
      </c>
    </row>
    <row r="237">
      <c r="A237" s="11" t="n">
        <v>233</v>
      </c>
      <c r="B237" s="10">
        <f>IFERROR(INDEX('2_暦'!$A$7:$A$433,MATCH(A237,'2_暦'!$K$7:$K$433,0)),"")</f>
        <v/>
      </c>
      <c r="C237" s="11">
        <f>IF(OR($A237=1,$B237=""),"",IF(OR(YEAR($B237-1)=$B$2,YEAR(INDEX($B$5:$B$344,$A237-1)+1)=$B$2),$B237-INDEX($B$5:$B$344,$A237-1)-1,""))</f>
        <v/>
      </c>
      <c r="D237" s="11">
        <f>IF(OR($A237=1,$B237="",$A237+D$3&gt;340),"",IF(INDEX($B$5:$B$344,$A237+D$3)="","",IF(AND(YEAR($B237)=$B$2,YEAR(INDEX($B$5:$B$344,$A237+D$3-1))=$B$2),INDEX($B$5:$B$344,$A237+D$3)-INDEX($B$5:$B$344,$A237-1)-1,"")))</f>
        <v/>
      </c>
      <c r="E237" s="11">
        <f>IF(OR($A237=1,$B237="",$A237+E$3&gt;340),"",IF(INDEX($B$5:$B$344,$A237+E$3)="","",IF(AND(YEAR($B237)=$B$2,YEAR(INDEX($B$5:$B$344,$A237+E$3-1))=$B$2),INDEX($B$5:$B$344,$A237+E$3)-INDEX($B$5:$B$344,$A237-1)-1,"")))</f>
        <v/>
      </c>
      <c r="F237" s="11">
        <f>IF(OR($A237=1,$B237="",$A237+F$3&gt;340),"",IF(INDEX($B$5:$B$344,$A237+F$3)="","",IF(AND(YEAR($B237)=$B$2,YEAR(INDEX($B$5:$B$344,$A237+F$3-1))=$B$2),INDEX($B$5:$B$344,$A237+F$3)-INDEX($B$5:$B$344,$A237-1)-1,"")))</f>
        <v/>
      </c>
      <c r="G237" s="11">
        <f>IF(OR($A237=1,$B237="",$A237+G$3&gt;340),"",IF(INDEX($B$5:$B$344,$A237+G$3)="","",IF(AND(YEAR($B237)=$B$2,YEAR(INDEX($B$5:$B$344,$A237+G$3-1))=$B$2),INDEX($B$5:$B$344,$A237+G$3)-INDEX($B$5:$B$344,$A237-1)-1,"")))</f>
        <v/>
      </c>
      <c r="H237" s="11">
        <f>IF(OR($A237=1,$B237="",$A237+H$3&gt;340),"",IF(INDEX($B$5:$B$344,$A237+H$3)="","",IF(AND(YEAR($B237)=$B$2,YEAR(INDEX($B$5:$B$344,$A237+H$3-1))=$B$2),INDEX($B$5:$B$344,$A237+H$3)-INDEX($B$5:$B$344,$A237-1)-1,"")))</f>
        <v/>
      </c>
      <c r="I237" s="11">
        <f>IF(OR($A237=1,$B237="",$A237+I$3&gt;340),"",IF(INDEX($B$5:$B$344,$A237+I$3)="","",IF(AND(YEAR($B237)=$B$2,YEAR(INDEX($B$5:$B$344,$A237+I$3-1))=$B$2),INDEX($B$5:$B$344,$A237+I$3)-INDEX($B$5:$B$344,$A237-1)-1,"")))</f>
        <v/>
      </c>
      <c r="J237" s="11">
        <f>IF(OR($A237=1,$B237="",$A237+J$3&gt;340),"",IF(INDEX($B$5:$B$344,$A237+J$3)="","",IF(AND(YEAR($B237)=$B$2,YEAR(INDEX($B$5:$B$344,$A237+J$3-1))=$B$2),INDEX($B$5:$B$344,$A237+J$3)-INDEX($B$5:$B$344,$A237-1)-1,"")))</f>
        <v/>
      </c>
      <c r="K237" s="11">
        <f>IF(OR($A237=1,$B237="",$A237+K$3&gt;340),"",IF(INDEX($B$5:$B$344,$A237+K$3)="","",IF(AND(YEAR($B237)=$B$2,YEAR(INDEX($B$5:$B$344,$A237+K$3-1))=$B$2),INDEX($B$5:$B$344,$A237+K$3)-INDEX($B$5:$B$344,$A237-1)-1,"")))</f>
        <v/>
      </c>
      <c r="L237" s="11">
        <f>IF(OR($A237=1,$B237="",$A237+L$3&gt;340),"",IF(INDEX($B$5:$B$344,$A237+L$3)="","",IF(AND(YEAR($B237)=$B$2,YEAR(INDEX($B$5:$B$344,$A237+L$3-1))=$B$2),INDEX($B$5:$B$344,$A237+L$3)-INDEX($B$5:$B$344,$A237-1)-1,"")))</f>
        <v/>
      </c>
      <c r="M237" s="11">
        <f>IF(OR($A237=1,$B237="",$A237+M$3&gt;340),"",IF(INDEX($B$5:$B$344,$A237+M$3)="","",IF(AND(YEAR($B237)=$B$2,YEAR(INDEX($B$5:$B$344,$A237+M$3-1))=$B$2),INDEX($B$5:$B$344,$A237+M$3)-INDEX($B$5:$B$344,$A237-1)-1,"")))</f>
        <v/>
      </c>
    </row>
    <row r="238">
      <c r="A238" s="11" t="n">
        <v>234</v>
      </c>
      <c r="B238" s="10">
        <f>IFERROR(INDEX('2_暦'!$A$7:$A$433,MATCH(A238,'2_暦'!$K$7:$K$433,0)),"")</f>
        <v/>
      </c>
      <c r="C238" s="11">
        <f>IF(OR($A238=1,$B238=""),"",IF(OR(YEAR($B238-1)=$B$2,YEAR(INDEX($B$5:$B$344,$A238-1)+1)=$B$2),$B238-INDEX($B$5:$B$344,$A238-1)-1,""))</f>
        <v/>
      </c>
      <c r="D238" s="11">
        <f>IF(OR($A238=1,$B238="",$A238+D$3&gt;340),"",IF(INDEX($B$5:$B$344,$A238+D$3)="","",IF(AND(YEAR($B238)=$B$2,YEAR(INDEX($B$5:$B$344,$A238+D$3-1))=$B$2),INDEX($B$5:$B$344,$A238+D$3)-INDEX($B$5:$B$344,$A238-1)-1,"")))</f>
        <v/>
      </c>
      <c r="E238" s="11">
        <f>IF(OR($A238=1,$B238="",$A238+E$3&gt;340),"",IF(INDEX($B$5:$B$344,$A238+E$3)="","",IF(AND(YEAR($B238)=$B$2,YEAR(INDEX($B$5:$B$344,$A238+E$3-1))=$B$2),INDEX($B$5:$B$344,$A238+E$3)-INDEX($B$5:$B$344,$A238-1)-1,"")))</f>
        <v/>
      </c>
      <c r="F238" s="11">
        <f>IF(OR($A238=1,$B238="",$A238+F$3&gt;340),"",IF(INDEX($B$5:$B$344,$A238+F$3)="","",IF(AND(YEAR($B238)=$B$2,YEAR(INDEX($B$5:$B$344,$A238+F$3-1))=$B$2),INDEX($B$5:$B$344,$A238+F$3)-INDEX($B$5:$B$344,$A238-1)-1,"")))</f>
        <v/>
      </c>
      <c r="G238" s="11">
        <f>IF(OR($A238=1,$B238="",$A238+G$3&gt;340),"",IF(INDEX($B$5:$B$344,$A238+G$3)="","",IF(AND(YEAR($B238)=$B$2,YEAR(INDEX($B$5:$B$344,$A238+G$3-1))=$B$2),INDEX($B$5:$B$344,$A238+G$3)-INDEX($B$5:$B$344,$A238-1)-1,"")))</f>
        <v/>
      </c>
      <c r="H238" s="11">
        <f>IF(OR($A238=1,$B238="",$A238+H$3&gt;340),"",IF(INDEX($B$5:$B$344,$A238+H$3)="","",IF(AND(YEAR($B238)=$B$2,YEAR(INDEX($B$5:$B$344,$A238+H$3-1))=$B$2),INDEX($B$5:$B$344,$A238+H$3)-INDEX($B$5:$B$344,$A238-1)-1,"")))</f>
        <v/>
      </c>
      <c r="I238" s="11">
        <f>IF(OR($A238=1,$B238="",$A238+I$3&gt;340),"",IF(INDEX($B$5:$B$344,$A238+I$3)="","",IF(AND(YEAR($B238)=$B$2,YEAR(INDEX($B$5:$B$344,$A238+I$3-1))=$B$2),INDEX($B$5:$B$344,$A238+I$3)-INDEX($B$5:$B$344,$A238-1)-1,"")))</f>
        <v/>
      </c>
      <c r="J238" s="11">
        <f>IF(OR($A238=1,$B238="",$A238+J$3&gt;340),"",IF(INDEX($B$5:$B$344,$A238+J$3)="","",IF(AND(YEAR($B238)=$B$2,YEAR(INDEX($B$5:$B$344,$A238+J$3-1))=$B$2),INDEX($B$5:$B$344,$A238+J$3)-INDEX($B$5:$B$344,$A238-1)-1,"")))</f>
        <v/>
      </c>
      <c r="K238" s="11">
        <f>IF(OR($A238=1,$B238="",$A238+K$3&gt;340),"",IF(INDEX($B$5:$B$344,$A238+K$3)="","",IF(AND(YEAR($B238)=$B$2,YEAR(INDEX($B$5:$B$344,$A238+K$3-1))=$B$2),INDEX($B$5:$B$344,$A238+K$3)-INDEX($B$5:$B$344,$A238-1)-1,"")))</f>
        <v/>
      </c>
      <c r="L238" s="11">
        <f>IF(OR($A238=1,$B238="",$A238+L$3&gt;340),"",IF(INDEX($B$5:$B$344,$A238+L$3)="","",IF(AND(YEAR($B238)=$B$2,YEAR(INDEX($B$5:$B$344,$A238+L$3-1))=$B$2),INDEX($B$5:$B$344,$A238+L$3)-INDEX($B$5:$B$344,$A238-1)-1,"")))</f>
        <v/>
      </c>
      <c r="M238" s="11">
        <f>IF(OR($A238=1,$B238="",$A238+M$3&gt;340),"",IF(INDEX($B$5:$B$344,$A238+M$3)="","",IF(AND(YEAR($B238)=$B$2,YEAR(INDEX($B$5:$B$344,$A238+M$3-1))=$B$2),INDEX($B$5:$B$344,$A238+M$3)-INDEX($B$5:$B$344,$A238-1)-1,"")))</f>
        <v/>
      </c>
    </row>
    <row r="239">
      <c r="A239" s="11" t="n">
        <v>235</v>
      </c>
      <c r="B239" s="10">
        <f>IFERROR(INDEX('2_暦'!$A$7:$A$433,MATCH(A239,'2_暦'!$K$7:$K$433,0)),"")</f>
        <v/>
      </c>
      <c r="C239" s="11">
        <f>IF(OR($A239=1,$B239=""),"",IF(OR(YEAR($B239-1)=$B$2,YEAR(INDEX($B$5:$B$344,$A239-1)+1)=$B$2),$B239-INDEX($B$5:$B$344,$A239-1)-1,""))</f>
        <v/>
      </c>
      <c r="D239" s="11">
        <f>IF(OR($A239=1,$B239="",$A239+D$3&gt;340),"",IF(INDEX($B$5:$B$344,$A239+D$3)="","",IF(AND(YEAR($B239)=$B$2,YEAR(INDEX($B$5:$B$344,$A239+D$3-1))=$B$2),INDEX($B$5:$B$344,$A239+D$3)-INDEX($B$5:$B$344,$A239-1)-1,"")))</f>
        <v/>
      </c>
      <c r="E239" s="11">
        <f>IF(OR($A239=1,$B239="",$A239+E$3&gt;340),"",IF(INDEX($B$5:$B$344,$A239+E$3)="","",IF(AND(YEAR($B239)=$B$2,YEAR(INDEX($B$5:$B$344,$A239+E$3-1))=$B$2),INDEX($B$5:$B$344,$A239+E$3)-INDEX($B$5:$B$344,$A239-1)-1,"")))</f>
        <v/>
      </c>
      <c r="F239" s="11">
        <f>IF(OR($A239=1,$B239="",$A239+F$3&gt;340),"",IF(INDEX($B$5:$B$344,$A239+F$3)="","",IF(AND(YEAR($B239)=$B$2,YEAR(INDEX($B$5:$B$344,$A239+F$3-1))=$B$2),INDEX($B$5:$B$344,$A239+F$3)-INDEX($B$5:$B$344,$A239-1)-1,"")))</f>
        <v/>
      </c>
      <c r="G239" s="11">
        <f>IF(OR($A239=1,$B239="",$A239+G$3&gt;340),"",IF(INDEX($B$5:$B$344,$A239+G$3)="","",IF(AND(YEAR($B239)=$B$2,YEAR(INDEX($B$5:$B$344,$A239+G$3-1))=$B$2),INDEX($B$5:$B$344,$A239+G$3)-INDEX($B$5:$B$344,$A239-1)-1,"")))</f>
        <v/>
      </c>
      <c r="H239" s="11">
        <f>IF(OR($A239=1,$B239="",$A239+H$3&gt;340),"",IF(INDEX($B$5:$B$344,$A239+H$3)="","",IF(AND(YEAR($B239)=$B$2,YEAR(INDEX($B$5:$B$344,$A239+H$3-1))=$B$2),INDEX($B$5:$B$344,$A239+H$3)-INDEX($B$5:$B$344,$A239-1)-1,"")))</f>
        <v/>
      </c>
      <c r="I239" s="11">
        <f>IF(OR($A239=1,$B239="",$A239+I$3&gt;340),"",IF(INDEX($B$5:$B$344,$A239+I$3)="","",IF(AND(YEAR($B239)=$B$2,YEAR(INDEX($B$5:$B$344,$A239+I$3-1))=$B$2),INDEX($B$5:$B$344,$A239+I$3)-INDEX($B$5:$B$344,$A239-1)-1,"")))</f>
        <v/>
      </c>
      <c r="J239" s="11">
        <f>IF(OR($A239=1,$B239="",$A239+J$3&gt;340),"",IF(INDEX($B$5:$B$344,$A239+J$3)="","",IF(AND(YEAR($B239)=$B$2,YEAR(INDEX($B$5:$B$344,$A239+J$3-1))=$B$2),INDEX($B$5:$B$344,$A239+J$3)-INDEX($B$5:$B$344,$A239-1)-1,"")))</f>
        <v/>
      </c>
      <c r="K239" s="11">
        <f>IF(OR($A239=1,$B239="",$A239+K$3&gt;340),"",IF(INDEX($B$5:$B$344,$A239+K$3)="","",IF(AND(YEAR($B239)=$B$2,YEAR(INDEX($B$5:$B$344,$A239+K$3-1))=$B$2),INDEX($B$5:$B$344,$A239+K$3)-INDEX($B$5:$B$344,$A239-1)-1,"")))</f>
        <v/>
      </c>
      <c r="L239" s="11">
        <f>IF(OR($A239=1,$B239="",$A239+L$3&gt;340),"",IF(INDEX($B$5:$B$344,$A239+L$3)="","",IF(AND(YEAR($B239)=$B$2,YEAR(INDEX($B$5:$B$344,$A239+L$3-1))=$B$2),INDEX($B$5:$B$344,$A239+L$3)-INDEX($B$5:$B$344,$A239-1)-1,"")))</f>
        <v/>
      </c>
      <c r="M239" s="11">
        <f>IF(OR($A239=1,$B239="",$A239+M$3&gt;340),"",IF(INDEX($B$5:$B$344,$A239+M$3)="","",IF(AND(YEAR($B239)=$B$2,YEAR(INDEX($B$5:$B$344,$A239+M$3-1))=$B$2),INDEX($B$5:$B$344,$A239+M$3)-INDEX($B$5:$B$344,$A239-1)-1,"")))</f>
        <v/>
      </c>
    </row>
    <row r="240">
      <c r="A240" s="11" t="n">
        <v>236</v>
      </c>
      <c r="B240" s="10">
        <f>IFERROR(INDEX('2_暦'!$A$7:$A$433,MATCH(A240,'2_暦'!$K$7:$K$433,0)),"")</f>
        <v/>
      </c>
      <c r="C240" s="11">
        <f>IF(OR($A240=1,$B240=""),"",IF(OR(YEAR($B240-1)=$B$2,YEAR(INDEX($B$5:$B$344,$A240-1)+1)=$B$2),$B240-INDEX($B$5:$B$344,$A240-1)-1,""))</f>
        <v/>
      </c>
      <c r="D240" s="11">
        <f>IF(OR($A240=1,$B240="",$A240+D$3&gt;340),"",IF(INDEX($B$5:$B$344,$A240+D$3)="","",IF(AND(YEAR($B240)=$B$2,YEAR(INDEX($B$5:$B$344,$A240+D$3-1))=$B$2),INDEX($B$5:$B$344,$A240+D$3)-INDEX($B$5:$B$344,$A240-1)-1,"")))</f>
        <v/>
      </c>
      <c r="E240" s="11">
        <f>IF(OR($A240=1,$B240="",$A240+E$3&gt;340),"",IF(INDEX($B$5:$B$344,$A240+E$3)="","",IF(AND(YEAR($B240)=$B$2,YEAR(INDEX($B$5:$B$344,$A240+E$3-1))=$B$2),INDEX($B$5:$B$344,$A240+E$3)-INDEX($B$5:$B$344,$A240-1)-1,"")))</f>
        <v/>
      </c>
      <c r="F240" s="11">
        <f>IF(OR($A240=1,$B240="",$A240+F$3&gt;340),"",IF(INDEX($B$5:$B$344,$A240+F$3)="","",IF(AND(YEAR($B240)=$B$2,YEAR(INDEX($B$5:$B$344,$A240+F$3-1))=$B$2),INDEX($B$5:$B$344,$A240+F$3)-INDEX($B$5:$B$344,$A240-1)-1,"")))</f>
        <v/>
      </c>
      <c r="G240" s="11">
        <f>IF(OR($A240=1,$B240="",$A240+G$3&gt;340),"",IF(INDEX($B$5:$B$344,$A240+G$3)="","",IF(AND(YEAR($B240)=$B$2,YEAR(INDEX($B$5:$B$344,$A240+G$3-1))=$B$2),INDEX($B$5:$B$344,$A240+G$3)-INDEX($B$5:$B$344,$A240-1)-1,"")))</f>
        <v/>
      </c>
      <c r="H240" s="11">
        <f>IF(OR($A240=1,$B240="",$A240+H$3&gt;340),"",IF(INDEX($B$5:$B$344,$A240+H$3)="","",IF(AND(YEAR($B240)=$B$2,YEAR(INDEX($B$5:$B$344,$A240+H$3-1))=$B$2),INDEX($B$5:$B$344,$A240+H$3)-INDEX($B$5:$B$344,$A240-1)-1,"")))</f>
        <v/>
      </c>
      <c r="I240" s="11">
        <f>IF(OR($A240=1,$B240="",$A240+I$3&gt;340),"",IF(INDEX($B$5:$B$344,$A240+I$3)="","",IF(AND(YEAR($B240)=$B$2,YEAR(INDEX($B$5:$B$344,$A240+I$3-1))=$B$2),INDEX($B$5:$B$344,$A240+I$3)-INDEX($B$5:$B$344,$A240-1)-1,"")))</f>
        <v/>
      </c>
      <c r="J240" s="11">
        <f>IF(OR($A240=1,$B240="",$A240+J$3&gt;340),"",IF(INDEX($B$5:$B$344,$A240+J$3)="","",IF(AND(YEAR($B240)=$B$2,YEAR(INDEX($B$5:$B$344,$A240+J$3-1))=$B$2),INDEX($B$5:$B$344,$A240+J$3)-INDEX($B$5:$B$344,$A240-1)-1,"")))</f>
        <v/>
      </c>
      <c r="K240" s="11">
        <f>IF(OR($A240=1,$B240="",$A240+K$3&gt;340),"",IF(INDEX($B$5:$B$344,$A240+K$3)="","",IF(AND(YEAR($B240)=$B$2,YEAR(INDEX($B$5:$B$344,$A240+K$3-1))=$B$2),INDEX($B$5:$B$344,$A240+K$3)-INDEX($B$5:$B$344,$A240-1)-1,"")))</f>
        <v/>
      </c>
      <c r="L240" s="11">
        <f>IF(OR($A240=1,$B240="",$A240+L$3&gt;340),"",IF(INDEX($B$5:$B$344,$A240+L$3)="","",IF(AND(YEAR($B240)=$B$2,YEAR(INDEX($B$5:$B$344,$A240+L$3-1))=$B$2),INDEX($B$5:$B$344,$A240+L$3)-INDEX($B$5:$B$344,$A240-1)-1,"")))</f>
        <v/>
      </c>
      <c r="M240" s="11">
        <f>IF(OR($A240=1,$B240="",$A240+M$3&gt;340),"",IF(INDEX($B$5:$B$344,$A240+M$3)="","",IF(AND(YEAR($B240)=$B$2,YEAR(INDEX($B$5:$B$344,$A240+M$3-1))=$B$2),INDEX($B$5:$B$344,$A240+M$3)-INDEX($B$5:$B$344,$A240-1)-1,"")))</f>
        <v/>
      </c>
    </row>
    <row r="241">
      <c r="A241" s="11" t="n">
        <v>237</v>
      </c>
      <c r="B241" s="10">
        <f>IFERROR(INDEX('2_暦'!$A$7:$A$433,MATCH(A241,'2_暦'!$K$7:$K$433,0)),"")</f>
        <v/>
      </c>
      <c r="C241" s="11">
        <f>IF(OR($A241=1,$B241=""),"",IF(OR(YEAR($B241-1)=$B$2,YEAR(INDEX($B$5:$B$344,$A241-1)+1)=$B$2),$B241-INDEX($B$5:$B$344,$A241-1)-1,""))</f>
        <v/>
      </c>
      <c r="D241" s="11">
        <f>IF(OR($A241=1,$B241="",$A241+D$3&gt;340),"",IF(INDEX($B$5:$B$344,$A241+D$3)="","",IF(AND(YEAR($B241)=$B$2,YEAR(INDEX($B$5:$B$344,$A241+D$3-1))=$B$2),INDEX($B$5:$B$344,$A241+D$3)-INDEX($B$5:$B$344,$A241-1)-1,"")))</f>
        <v/>
      </c>
      <c r="E241" s="11">
        <f>IF(OR($A241=1,$B241="",$A241+E$3&gt;340),"",IF(INDEX($B$5:$B$344,$A241+E$3)="","",IF(AND(YEAR($B241)=$B$2,YEAR(INDEX($B$5:$B$344,$A241+E$3-1))=$B$2),INDEX($B$5:$B$344,$A241+E$3)-INDEX($B$5:$B$344,$A241-1)-1,"")))</f>
        <v/>
      </c>
      <c r="F241" s="11">
        <f>IF(OR($A241=1,$B241="",$A241+F$3&gt;340),"",IF(INDEX($B$5:$B$344,$A241+F$3)="","",IF(AND(YEAR($B241)=$B$2,YEAR(INDEX($B$5:$B$344,$A241+F$3-1))=$B$2),INDEX($B$5:$B$344,$A241+F$3)-INDEX($B$5:$B$344,$A241-1)-1,"")))</f>
        <v/>
      </c>
      <c r="G241" s="11">
        <f>IF(OR($A241=1,$B241="",$A241+G$3&gt;340),"",IF(INDEX($B$5:$B$344,$A241+G$3)="","",IF(AND(YEAR($B241)=$B$2,YEAR(INDEX($B$5:$B$344,$A241+G$3-1))=$B$2),INDEX($B$5:$B$344,$A241+G$3)-INDEX($B$5:$B$344,$A241-1)-1,"")))</f>
        <v/>
      </c>
      <c r="H241" s="11">
        <f>IF(OR($A241=1,$B241="",$A241+H$3&gt;340),"",IF(INDEX($B$5:$B$344,$A241+H$3)="","",IF(AND(YEAR($B241)=$B$2,YEAR(INDEX($B$5:$B$344,$A241+H$3-1))=$B$2),INDEX($B$5:$B$344,$A241+H$3)-INDEX($B$5:$B$344,$A241-1)-1,"")))</f>
        <v/>
      </c>
      <c r="I241" s="11">
        <f>IF(OR($A241=1,$B241="",$A241+I$3&gt;340),"",IF(INDEX($B$5:$B$344,$A241+I$3)="","",IF(AND(YEAR($B241)=$B$2,YEAR(INDEX($B$5:$B$344,$A241+I$3-1))=$B$2),INDEX($B$5:$B$344,$A241+I$3)-INDEX($B$5:$B$344,$A241-1)-1,"")))</f>
        <v/>
      </c>
      <c r="J241" s="11">
        <f>IF(OR($A241=1,$B241="",$A241+J$3&gt;340),"",IF(INDEX($B$5:$B$344,$A241+J$3)="","",IF(AND(YEAR($B241)=$B$2,YEAR(INDEX($B$5:$B$344,$A241+J$3-1))=$B$2),INDEX($B$5:$B$344,$A241+J$3)-INDEX($B$5:$B$344,$A241-1)-1,"")))</f>
        <v/>
      </c>
      <c r="K241" s="11">
        <f>IF(OR($A241=1,$B241="",$A241+K$3&gt;340),"",IF(INDEX($B$5:$B$344,$A241+K$3)="","",IF(AND(YEAR($B241)=$B$2,YEAR(INDEX($B$5:$B$344,$A241+K$3-1))=$B$2),INDEX($B$5:$B$344,$A241+K$3)-INDEX($B$5:$B$344,$A241-1)-1,"")))</f>
        <v/>
      </c>
      <c r="L241" s="11">
        <f>IF(OR($A241=1,$B241="",$A241+L$3&gt;340),"",IF(INDEX($B$5:$B$344,$A241+L$3)="","",IF(AND(YEAR($B241)=$B$2,YEAR(INDEX($B$5:$B$344,$A241+L$3-1))=$B$2),INDEX($B$5:$B$344,$A241+L$3)-INDEX($B$5:$B$344,$A241-1)-1,"")))</f>
        <v/>
      </c>
      <c r="M241" s="11">
        <f>IF(OR($A241=1,$B241="",$A241+M$3&gt;340),"",IF(INDEX($B$5:$B$344,$A241+M$3)="","",IF(AND(YEAR($B241)=$B$2,YEAR(INDEX($B$5:$B$344,$A241+M$3-1))=$B$2),INDEX($B$5:$B$344,$A241+M$3)-INDEX($B$5:$B$344,$A241-1)-1,"")))</f>
        <v/>
      </c>
    </row>
    <row r="242">
      <c r="A242" s="11" t="n">
        <v>238</v>
      </c>
      <c r="B242" s="10">
        <f>IFERROR(INDEX('2_暦'!$A$7:$A$433,MATCH(A242,'2_暦'!$K$7:$K$433,0)),"")</f>
        <v/>
      </c>
      <c r="C242" s="11">
        <f>IF(OR($A242=1,$B242=""),"",IF(OR(YEAR($B242-1)=$B$2,YEAR(INDEX($B$5:$B$344,$A242-1)+1)=$B$2),$B242-INDEX($B$5:$B$344,$A242-1)-1,""))</f>
        <v/>
      </c>
      <c r="D242" s="11">
        <f>IF(OR($A242=1,$B242="",$A242+D$3&gt;340),"",IF(INDEX($B$5:$B$344,$A242+D$3)="","",IF(AND(YEAR($B242)=$B$2,YEAR(INDEX($B$5:$B$344,$A242+D$3-1))=$B$2),INDEX($B$5:$B$344,$A242+D$3)-INDEX($B$5:$B$344,$A242-1)-1,"")))</f>
        <v/>
      </c>
      <c r="E242" s="11">
        <f>IF(OR($A242=1,$B242="",$A242+E$3&gt;340),"",IF(INDEX($B$5:$B$344,$A242+E$3)="","",IF(AND(YEAR($B242)=$B$2,YEAR(INDEX($B$5:$B$344,$A242+E$3-1))=$B$2),INDEX($B$5:$B$344,$A242+E$3)-INDEX($B$5:$B$344,$A242-1)-1,"")))</f>
        <v/>
      </c>
      <c r="F242" s="11">
        <f>IF(OR($A242=1,$B242="",$A242+F$3&gt;340),"",IF(INDEX($B$5:$B$344,$A242+F$3)="","",IF(AND(YEAR($B242)=$B$2,YEAR(INDEX($B$5:$B$344,$A242+F$3-1))=$B$2),INDEX($B$5:$B$344,$A242+F$3)-INDEX($B$5:$B$344,$A242-1)-1,"")))</f>
        <v/>
      </c>
      <c r="G242" s="11">
        <f>IF(OR($A242=1,$B242="",$A242+G$3&gt;340),"",IF(INDEX($B$5:$B$344,$A242+G$3)="","",IF(AND(YEAR($B242)=$B$2,YEAR(INDEX($B$5:$B$344,$A242+G$3-1))=$B$2),INDEX($B$5:$B$344,$A242+G$3)-INDEX($B$5:$B$344,$A242-1)-1,"")))</f>
        <v/>
      </c>
      <c r="H242" s="11">
        <f>IF(OR($A242=1,$B242="",$A242+H$3&gt;340),"",IF(INDEX($B$5:$B$344,$A242+H$3)="","",IF(AND(YEAR($B242)=$B$2,YEAR(INDEX($B$5:$B$344,$A242+H$3-1))=$B$2),INDEX($B$5:$B$344,$A242+H$3)-INDEX($B$5:$B$344,$A242-1)-1,"")))</f>
        <v/>
      </c>
      <c r="I242" s="11">
        <f>IF(OR($A242=1,$B242="",$A242+I$3&gt;340),"",IF(INDEX($B$5:$B$344,$A242+I$3)="","",IF(AND(YEAR($B242)=$B$2,YEAR(INDEX($B$5:$B$344,$A242+I$3-1))=$B$2),INDEX($B$5:$B$344,$A242+I$3)-INDEX($B$5:$B$344,$A242-1)-1,"")))</f>
        <v/>
      </c>
      <c r="J242" s="11">
        <f>IF(OR($A242=1,$B242="",$A242+J$3&gt;340),"",IF(INDEX($B$5:$B$344,$A242+J$3)="","",IF(AND(YEAR($B242)=$B$2,YEAR(INDEX($B$5:$B$344,$A242+J$3-1))=$B$2),INDEX($B$5:$B$344,$A242+J$3)-INDEX($B$5:$B$344,$A242-1)-1,"")))</f>
        <v/>
      </c>
      <c r="K242" s="11">
        <f>IF(OR($A242=1,$B242="",$A242+K$3&gt;340),"",IF(INDEX($B$5:$B$344,$A242+K$3)="","",IF(AND(YEAR($B242)=$B$2,YEAR(INDEX($B$5:$B$344,$A242+K$3-1))=$B$2),INDEX($B$5:$B$344,$A242+K$3)-INDEX($B$5:$B$344,$A242-1)-1,"")))</f>
        <v/>
      </c>
      <c r="L242" s="11">
        <f>IF(OR($A242=1,$B242="",$A242+L$3&gt;340),"",IF(INDEX($B$5:$B$344,$A242+L$3)="","",IF(AND(YEAR($B242)=$B$2,YEAR(INDEX($B$5:$B$344,$A242+L$3-1))=$B$2),INDEX($B$5:$B$344,$A242+L$3)-INDEX($B$5:$B$344,$A242-1)-1,"")))</f>
        <v/>
      </c>
      <c r="M242" s="11">
        <f>IF(OR($A242=1,$B242="",$A242+M$3&gt;340),"",IF(INDEX($B$5:$B$344,$A242+M$3)="","",IF(AND(YEAR($B242)=$B$2,YEAR(INDEX($B$5:$B$344,$A242+M$3-1))=$B$2),INDEX($B$5:$B$344,$A242+M$3)-INDEX($B$5:$B$344,$A242-1)-1,"")))</f>
        <v/>
      </c>
    </row>
    <row r="243">
      <c r="A243" s="11" t="n">
        <v>239</v>
      </c>
      <c r="B243" s="10">
        <f>IFERROR(INDEX('2_暦'!$A$7:$A$433,MATCH(A243,'2_暦'!$K$7:$K$433,0)),"")</f>
        <v/>
      </c>
      <c r="C243" s="11">
        <f>IF(OR($A243=1,$B243=""),"",IF(OR(YEAR($B243-1)=$B$2,YEAR(INDEX($B$5:$B$344,$A243-1)+1)=$B$2),$B243-INDEX($B$5:$B$344,$A243-1)-1,""))</f>
        <v/>
      </c>
      <c r="D243" s="11">
        <f>IF(OR($A243=1,$B243="",$A243+D$3&gt;340),"",IF(INDEX($B$5:$B$344,$A243+D$3)="","",IF(AND(YEAR($B243)=$B$2,YEAR(INDEX($B$5:$B$344,$A243+D$3-1))=$B$2),INDEX($B$5:$B$344,$A243+D$3)-INDEX($B$5:$B$344,$A243-1)-1,"")))</f>
        <v/>
      </c>
      <c r="E243" s="11">
        <f>IF(OR($A243=1,$B243="",$A243+E$3&gt;340),"",IF(INDEX($B$5:$B$344,$A243+E$3)="","",IF(AND(YEAR($B243)=$B$2,YEAR(INDEX($B$5:$B$344,$A243+E$3-1))=$B$2),INDEX($B$5:$B$344,$A243+E$3)-INDEX($B$5:$B$344,$A243-1)-1,"")))</f>
        <v/>
      </c>
      <c r="F243" s="11">
        <f>IF(OR($A243=1,$B243="",$A243+F$3&gt;340),"",IF(INDEX($B$5:$B$344,$A243+F$3)="","",IF(AND(YEAR($B243)=$B$2,YEAR(INDEX($B$5:$B$344,$A243+F$3-1))=$B$2),INDEX($B$5:$B$344,$A243+F$3)-INDEX($B$5:$B$344,$A243-1)-1,"")))</f>
        <v/>
      </c>
      <c r="G243" s="11">
        <f>IF(OR($A243=1,$B243="",$A243+G$3&gt;340),"",IF(INDEX($B$5:$B$344,$A243+G$3)="","",IF(AND(YEAR($B243)=$B$2,YEAR(INDEX($B$5:$B$344,$A243+G$3-1))=$B$2),INDEX($B$5:$B$344,$A243+G$3)-INDEX($B$5:$B$344,$A243-1)-1,"")))</f>
        <v/>
      </c>
      <c r="H243" s="11">
        <f>IF(OR($A243=1,$B243="",$A243+H$3&gt;340),"",IF(INDEX($B$5:$B$344,$A243+H$3)="","",IF(AND(YEAR($B243)=$B$2,YEAR(INDEX($B$5:$B$344,$A243+H$3-1))=$B$2),INDEX($B$5:$B$344,$A243+H$3)-INDEX($B$5:$B$344,$A243-1)-1,"")))</f>
        <v/>
      </c>
      <c r="I243" s="11">
        <f>IF(OR($A243=1,$B243="",$A243+I$3&gt;340),"",IF(INDEX($B$5:$B$344,$A243+I$3)="","",IF(AND(YEAR($B243)=$B$2,YEAR(INDEX($B$5:$B$344,$A243+I$3-1))=$B$2),INDEX($B$5:$B$344,$A243+I$3)-INDEX($B$5:$B$344,$A243-1)-1,"")))</f>
        <v/>
      </c>
      <c r="J243" s="11">
        <f>IF(OR($A243=1,$B243="",$A243+J$3&gt;340),"",IF(INDEX($B$5:$B$344,$A243+J$3)="","",IF(AND(YEAR($B243)=$B$2,YEAR(INDEX($B$5:$B$344,$A243+J$3-1))=$B$2),INDEX($B$5:$B$344,$A243+J$3)-INDEX($B$5:$B$344,$A243-1)-1,"")))</f>
        <v/>
      </c>
      <c r="K243" s="11">
        <f>IF(OR($A243=1,$B243="",$A243+K$3&gt;340),"",IF(INDEX($B$5:$B$344,$A243+K$3)="","",IF(AND(YEAR($B243)=$B$2,YEAR(INDEX($B$5:$B$344,$A243+K$3-1))=$B$2),INDEX($B$5:$B$344,$A243+K$3)-INDEX($B$5:$B$344,$A243-1)-1,"")))</f>
        <v/>
      </c>
      <c r="L243" s="11">
        <f>IF(OR($A243=1,$B243="",$A243+L$3&gt;340),"",IF(INDEX($B$5:$B$344,$A243+L$3)="","",IF(AND(YEAR($B243)=$B$2,YEAR(INDEX($B$5:$B$344,$A243+L$3-1))=$B$2),INDEX($B$5:$B$344,$A243+L$3)-INDEX($B$5:$B$344,$A243-1)-1,"")))</f>
        <v/>
      </c>
      <c r="M243" s="11">
        <f>IF(OR($A243=1,$B243="",$A243+M$3&gt;340),"",IF(INDEX($B$5:$B$344,$A243+M$3)="","",IF(AND(YEAR($B243)=$B$2,YEAR(INDEX($B$5:$B$344,$A243+M$3-1))=$B$2),INDEX($B$5:$B$344,$A243+M$3)-INDEX($B$5:$B$344,$A243-1)-1,"")))</f>
        <v/>
      </c>
    </row>
    <row r="244">
      <c r="A244" s="11" t="n">
        <v>240</v>
      </c>
      <c r="B244" s="10">
        <f>IFERROR(INDEX('2_暦'!$A$7:$A$433,MATCH(A244,'2_暦'!$K$7:$K$433,0)),"")</f>
        <v/>
      </c>
      <c r="C244" s="11">
        <f>IF(OR($A244=1,$B244=""),"",IF(OR(YEAR($B244-1)=$B$2,YEAR(INDEX($B$5:$B$344,$A244-1)+1)=$B$2),$B244-INDEX($B$5:$B$344,$A244-1)-1,""))</f>
        <v/>
      </c>
      <c r="D244" s="11">
        <f>IF(OR($A244=1,$B244="",$A244+D$3&gt;340),"",IF(INDEX($B$5:$B$344,$A244+D$3)="","",IF(AND(YEAR($B244)=$B$2,YEAR(INDEX($B$5:$B$344,$A244+D$3-1))=$B$2),INDEX($B$5:$B$344,$A244+D$3)-INDEX($B$5:$B$344,$A244-1)-1,"")))</f>
        <v/>
      </c>
      <c r="E244" s="11">
        <f>IF(OR($A244=1,$B244="",$A244+E$3&gt;340),"",IF(INDEX($B$5:$B$344,$A244+E$3)="","",IF(AND(YEAR($B244)=$B$2,YEAR(INDEX($B$5:$B$344,$A244+E$3-1))=$B$2),INDEX($B$5:$B$344,$A244+E$3)-INDEX($B$5:$B$344,$A244-1)-1,"")))</f>
        <v/>
      </c>
      <c r="F244" s="11">
        <f>IF(OR($A244=1,$B244="",$A244+F$3&gt;340),"",IF(INDEX($B$5:$B$344,$A244+F$3)="","",IF(AND(YEAR($B244)=$B$2,YEAR(INDEX($B$5:$B$344,$A244+F$3-1))=$B$2),INDEX($B$5:$B$344,$A244+F$3)-INDEX($B$5:$B$344,$A244-1)-1,"")))</f>
        <v/>
      </c>
      <c r="G244" s="11">
        <f>IF(OR($A244=1,$B244="",$A244+G$3&gt;340),"",IF(INDEX($B$5:$B$344,$A244+G$3)="","",IF(AND(YEAR($B244)=$B$2,YEAR(INDEX($B$5:$B$344,$A244+G$3-1))=$B$2),INDEX($B$5:$B$344,$A244+G$3)-INDEX($B$5:$B$344,$A244-1)-1,"")))</f>
        <v/>
      </c>
      <c r="H244" s="11">
        <f>IF(OR($A244=1,$B244="",$A244+H$3&gt;340),"",IF(INDEX($B$5:$B$344,$A244+H$3)="","",IF(AND(YEAR($B244)=$B$2,YEAR(INDEX($B$5:$B$344,$A244+H$3-1))=$B$2),INDEX($B$5:$B$344,$A244+H$3)-INDEX($B$5:$B$344,$A244-1)-1,"")))</f>
        <v/>
      </c>
      <c r="I244" s="11">
        <f>IF(OR($A244=1,$B244="",$A244+I$3&gt;340),"",IF(INDEX($B$5:$B$344,$A244+I$3)="","",IF(AND(YEAR($B244)=$B$2,YEAR(INDEX($B$5:$B$344,$A244+I$3-1))=$B$2),INDEX($B$5:$B$344,$A244+I$3)-INDEX($B$5:$B$344,$A244-1)-1,"")))</f>
        <v/>
      </c>
      <c r="J244" s="11">
        <f>IF(OR($A244=1,$B244="",$A244+J$3&gt;340),"",IF(INDEX($B$5:$B$344,$A244+J$3)="","",IF(AND(YEAR($B244)=$B$2,YEAR(INDEX($B$5:$B$344,$A244+J$3-1))=$B$2),INDEX($B$5:$B$344,$A244+J$3)-INDEX($B$5:$B$344,$A244-1)-1,"")))</f>
        <v/>
      </c>
      <c r="K244" s="11">
        <f>IF(OR($A244=1,$B244="",$A244+K$3&gt;340),"",IF(INDEX($B$5:$B$344,$A244+K$3)="","",IF(AND(YEAR($B244)=$B$2,YEAR(INDEX($B$5:$B$344,$A244+K$3-1))=$B$2),INDEX($B$5:$B$344,$A244+K$3)-INDEX($B$5:$B$344,$A244-1)-1,"")))</f>
        <v/>
      </c>
      <c r="L244" s="11">
        <f>IF(OR($A244=1,$B244="",$A244+L$3&gt;340),"",IF(INDEX($B$5:$B$344,$A244+L$3)="","",IF(AND(YEAR($B244)=$B$2,YEAR(INDEX($B$5:$B$344,$A244+L$3-1))=$B$2),INDEX($B$5:$B$344,$A244+L$3)-INDEX($B$5:$B$344,$A244-1)-1,"")))</f>
        <v/>
      </c>
      <c r="M244" s="11">
        <f>IF(OR($A244=1,$B244="",$A244+M$3&gt;340),"",IF(INDEX($B$5:$B$344,$A244+M$3)="","",IF(AND(YEAR($B244)=$B$2,YEAR(INDEX($B$5:$B$344,$A244+M$3-1))=$B$2),INDEX($B$5:$B$344,$A244+M$3)-INDEX($B$5:$B$344,$A244-1)-1,"")))</f>
        <v/>
      </c>
    </row>
    <row r="245">
      <c r="A245" s="11" t="n">
        <v>241</v>
      </c>
      <c r="B245" s="10">
        <f>IFERROR(INDEX('2_暦'!$A$7:$A$433,MATCH(A245,'2_暦'!$K$7:$K$433,0)),"")</f>
        <v/>
      </c>
      <c r="C245" s="11">
        <f>IF(OR($A245=1,$B245=""),"",IF(OR(YEAR($B245-1)=$B$2,YEAR(INDEX($B$5:$B$344,$A245-1)+1)=$B$2),$B245-INDEX($B$5:$B$344,$A245-1)-1,""))</f>
        <v/>
      </c>
      <c r="D245" s="11">
        <f>IF(OR($A245=1,$B245="",$A245+D$3&gt;340),"",IF(INDEX($B$5:$B$344,$A245+D$3)="","",IF(AND(YEAR($B245)=$B$2,YEAR(INDEX($B$5:$B$344,$A245+D$3-1))=$B$2),INDEX($B$5:$B$344,$A245+D$3)-INDEX($B$5:$B$344,$A245-1)-1,"")))</f>
        <v/>
      </c>
      <c r="E245" s="11">
        <f>IF(OR($A245=1,$B245="",$A245+E$3&gt;340),"",IF(INDEX($B$5:$B$344,$A245+E$3)="","",IF(AND(YEAR($B245)=$B$2,YEAR(INDEX($B$5:$B$344,$A245+E$3-1))=$B$2),INDEX($B$5:$B$344,$A245+E$3)-INDEX($B$5:$B$344,$A245-1)-1,"")))</f>
        <v/>
      </c>
      <c r="F245" s="11">
        <f>IF(OR($A245=1,$B245="",$A245+F$3&gt;340),"",IF(INDEX($B$5:$B$344,$A245+F$3)="","",IF(AND(YEAR($B245)=$B$2,YEAR(INDEX($B$5:$B$344,$A245+F$3-1))=$B$2),INDEX($B$5:$B$344,$A245+F$3)-INDEX($B$5:$B$344,$A245-1)-1,"")))</f>
        <v/>
      </c>
      <c r="G245" s="11">
        <f>IF(OR($A245=1,$B245="",$A245+G$3&gt;340),"",IF(INDEX($B$5:$B$344,$A245+G$3)="","",IF(AND(YEAR($B245)=$B$2,YEAR(INDEX($B$5:$B$344,$A245+G$3-1))=$B$2),INDEX($B$5:$B$344,$A245+G$3)-INDEX($B$5:$B$344,$A245-1)-1,"")))</f>
        <v/>
      </c>
      <c r="H245" s="11">
        <f>IF(OR($A245=1,$B245="",$A245+H$3&gt;340),"",IF(INDEX($B$5:$B$344,$A245+H$3)="","",IF(AND(YEAR($B245)=$B$2,YEAR(INDEX($B$5:$B$344,$A245+H$3-1))=$B$2),INDEX($B$5:$B$344,$A245+H$3)-INDEX($B$5:$B$344,$A245-1)-1,"")))</f>
        <v/>
      </c>
      <c r="I245" s="11">
        <f>IF(OR($A245=1,$B245="",$A245+I$3&gt;340),"",IF(INDEX($B$5:$B$344,$A245+I$3)="","",IF(AND(YEAR($B245)=$B$2,YEAR(INDEX($B$5:$B$344,$A245+I$3-1))=$B$2),INDEX($B$5:$B$344,$A245+I$3)-INDEX($B$5:$B$344,$A245-1)-1,"")))</f>
        <v/>
      </c>
      <c r="J245" s="11">
        <f>IF(OR($A245=1,$B245="",$A245+J$3&gt;340),"",IF(INDEX($B$5:$B$344,$A245+J$3)="","",IF(AND(YEAR($B245)=$B$2,YEAR(INDEX($B$5:$B$344,$A245+J$3-1))=$B$2),INDEX($B$5:$B$344,$A245+J$3)-INDEX($B$5:$B$344,$A245-1)-1,"")))</f>
        <v/>
      </c>
      <c r="K245" s="11">
        <f>IF(OR($A245=1,$B245="",$A245+K$3&gt;340),"",IF(INDEX($B$5:$B$344,$A245+K$3)="","",IF(AND(YEAR($B245)=$B$2,YEAR(INDEX($B$5:$B$344,$A245+K$3-1))=$B$2),INDEX($B$5:$B$344,$A245+K$3)-INDEX($B$5:$B$344,$A245-1)-1,"")))</f>
        <v/>
      </c>
      <c r="L245" s="11">
        <f>IF(OR($A245=1,$B245="",$A245+L$3&gt;340),"",IF(INDEX($B$5:$B$344,$A245+L$3)="","",IF(AND(YEAR($B245)=$B$2,YEAR(INDEX($B$5:$B$344,$A245+L$3-1))=$B$2),INDEX($B$5:$B$344,$A245+L$3)-INDEX($B$5:$B$344,$A245-1)-1,"")))</f>
        <v/>
      </c>
      <c r="M245" s="11">
        <f>IF(OR($A245=1,$B245="",$A245+M$3&gt;340),"",IF(INDEX($B$5:$B$344,$A245+M$3)="","",IF(AND(YEAR($B245)=$B$2,YEAR(INDEX($B$5:$B$344,$A245+M$3-1))=$B$2),INDEX($B$5:$B$344,$A245+M$3)-INDEX($B$5:$B$344,$A245-1)-1,"")))</f>
        <v/>
      </c>
    </row>
    <row r="246">
      <c r="A246" s="11" t="n">
        <v>242</v>
      </c>
      <c r="B246" s="10">
        <f>IFERROR(INDEX('2_暦'!$A$7:$A$433,MATCH(A246,'2_暦'!$K$7:$K$433,0)),"")</f>
        <v/>
      </c>
      <c r="C246" s="11">
        <f>IF(OR($A246=1,$B246=""),"",IF(OR(YEAR($B246-1)=$B$2,YEAR(INDEX($B$5:$B$344,$A246-1)+1)=$B$2),$B246-INDEX($B$5:$B$344,$A246-1)-1,""))</f>
        <v/>
      </c>
      <c r="D246" s="11">
        <f>IF(OR($A246=1,$B246="",$A246+D$3&gt;340),"",IF(INDEX($B$5:$B$344,$A246+D$3)="","",IF(AND(YEAR($B246)=$B$2,YEAR(INDEX($B$5:$B$344,$A246+D$3-1))=$B$2),INDEX($B$5:$B$344,$A246+D$3)-INDEX($B$5:$B$344,$A246-1)-1,"")))</f>
        <v/>
      </c>
      <c r="E246" s="11">
        <f>IF(OR($A246=1,$B246="",$A246+E$3&gt;340),"",IF(INDEX($B$5:$B$344,$A246+E$3)="","",IF(AND(YEAR($B246)=$B$2,YEAR(INDEX($B$5:$B$344,$A246+E$3-1))=$B$2),INDEX($B$5:$B$344,$A246+E$3)-INDEX($B$5:$B$344,$A246-1)-1,"")))</f>
        <v/>
      </c>
      <c r="F246" s="11">
        <f>IF(OR($A246=1,$B246="",$A246+F$3&gt;340),"",IF(INDEX($B$5:$B$344,$A246+F$3)="","",IF(AND(YEAR($B246)=$B$2,YEAR(INDEX($B$5:$B$344,$A246+F$3-1))=$B$2),INDEX($B$5:$B$344,$A246+F$3)-INDEX($B$5:$B$344,$A246-1)-1,"")))</f>
        <v/>
      </c>
      <c r="G246" s="11">
        <f>IF(OR($A246=1,$B246="",$A246+G$3&gt;340),"",IF(INDEX($B$5:$B$344,$A246+G$3)="","",IF(AND(YEAR($B246)=$B$2,YEAR(INDEX($B$5:$B$344,$A246+G$3-1))=$B$2),INDEX($B$5:$B$344,$A246+G$3)-INDEX($B$5:$B$344,$A246-1)-1,"")))</f>
        <v/>
      </c>
      <c r="H246" s="11">
        <f>IF(OR($A246=1,$B246="",$A246+H$3&gt;340),"",IF(INDEX($B$5:$B$344,$A246+H$3)="","",IF(AND(YEAR($B246)=$B$2,YEAR(INDEX($B$5:$B$344,$A246+H$3-1))=$B$2),INDEX($B$5:$B$344,$A246+H$3)-INDEX($B$5:$B$344,$A246-1)-1,"")))</f>
        <v/>
      </c>
      <c r="I246" s="11">
        <f>IF(OR($A246=1,$B246="",$A246+I$3&gt;340),"",IF(INDEX($B$5:$B$344,$A246+I$3)="","",IF(AND(YEAR($B246)=$B$2,YEAR(INDEX($B$5:$B$344,$A246+I$3-1))=$B$2),INDEX($B$5:$B$344,$A246+I$3)-INDEX($B$5:$B$344,$A246-1)-1,"")))</f>
        <v/>
      </c>
      <c r="J246" s="11">
        <f>IF(OR($A246=1,$B246="",$A246+J$3&gt;340),"",IF(INDEX($B$5:$B$344,$A246+J$3)="","",IF(AND(YEAR($B246)=$B$2,YEAR(INDEX($B$5:$B$344,$A246+J$3-1))=$B$2),INDEX($B$5:$B$344,$A246+J$3)-INDEX($B$5:$B$344,$A246-1)-1,"")))</f>
        <v/>
      </c>
      <c r="K246" s="11">
        <f>IF(OR($A246=1,$B246="",$A246+K$3&gt;340),"",IF(INDEX($B$5:$B$344,$A246+K$3)="","",IF(AND(YEAR($B246)=$B$2,YEAR(INDEX($B$5:$B$344,$A246+K$3-1))=$B$2),INDEX($B$5:$B$344,$A246+K$3)-INDEX($B$5:$B$344,$A246-1)-1,"")))</f>
        <v/>
      </c>
      <c r="L246" s="11">
        <f>IF(OR($A246=1,$B246="",$A246+L$3&gt;340),"",IF(INDEX($B$5:$B$344,$A246+L$3)="","",IF(AND(YEAR($B246)=$B$2,YEAR(INDEX($B$5:$B$344,$A246+L$3-1))=$B$2),INDEX($B$5:$B$344,$A246+L$3)-INDEX($B$5:$B$344,$A246-1)-1,"")))</f>
        <v/>
      </c>
      <c r="M246" s="11">
        <f>IF(OR($A246=1,$B246="",$A246+M$3&gt;340),"",IF(INDEX($B$5:$B$344,$A246+M$3)="","",IF(AND(YEAR($B246)=$B$2,YEAR(INDEX($B$5:$B$344,$A246+M$3-1))=$B$2),INDEX($B$5:$B$344,$A246+M$3)-INDEX($B$5:$B$344,$A246-1)-1,"")))</f>
        <v/>
      </c>
    </row>
    <row r="247">
      <c r="A247" s="11" t="n">
        <v>243</v>
      </c>
      <c r="B247" s="10">
        <f>IFERROR(INDEX('2_暦'!$A$7:$A$433,MATCH(A247,'2_暦'!$K$7:$K$433,0)),"")</f>
        <v/>
      </c>
      <c r="C247" s="11">
        <f>IF(OR($A247=1,$B247=""),"",IF(OR(YEAR($B247-1)=$B$2,YEAR(INDEX($B$5:$B$344,$A247-1)+1)=$B$2),$B247-INDEX($B$5:$B$344,$A247-1)-1,""))</f>
        <v/>
      </c>
      <c r="D247" s="11">
        <f>IF(OR($A247=1,$B247="",$A247+D$3&gt;340),"",IF(INDEX($B$5:$B$344,$A247+D$3)="","",IF(AND(YEAR($B247)=$B$2,YEAR(INDEX($B$5:$B$344,$A247+D$3-1))=$B$2),INDEX($B$5:$B$344,$A247+D$3)-INDEX($B$5:$B$344,$A247-1)-1,"")))</f>
        <v/>
      </c>
      <c r="E247" s="11">
        <f>IF(OR($A247=1,$B247="",$A247+E$3&gt;340),"",IF(INDEX($B$5:$B$344,$A247+E$3)="","",IF(AND(YEAR($B247)=$B$2,YEAR(INDEX($B$5:$B$344,$A247+E$3-1))=$B$2),INDEX($B$5:$B$344,$A247+E$3)-INDEX($B$5:$B$344,$A247-1)-1,"")))</f>
        <v/>
      </c>
      <c r="F247" s="11">
        <f>IF(OR($A247=1,$B247="",$A247+F$3&gt;340),"",IF(INDEX($B$5:$B$344,$A247+F$3)="","",IF(AND(YEAR($B247)=$B$2,YEAR(INDEX($B$5:$B$344,$A247+F$3-1))=$B$2),INDEX($B$5:$B$344,$A247+F$3)-INDEX($B$5:$B$344,$A247-1)-1,"")))</f>
        <v/>
      </c>
      <c r="G247" s="11">
        <f>IF(OR($A247=1,$B247="",$A247+G$3&gt;340),"",IF(INDEX($B$5:$B$344,$A247+G$3)="","",IF(AND(YEAR($B247)=$B$2,YEAR(INDEX($B$5:$B$344,$A247+G$3-1))=$B$2),INDEX($B$5:$B$344,$A247+G$3)-INDEX($B$5:$B$344,$A247-1)-1,"")))</f>
        <v/>
      </c>
      <c r="H247" s="11">
        <f>IF(OR($A247=1,$B247="",$A247+H$3&gt;340),"",IF(INDEX($B$5:$B$344,$A247+H$3)="","",IF(AND(YEAR($B247)=$B$2,YEAR(INDEX($B$5:$B$344,$A247+H$3-1))=$B$2),INDEX($B$5:$B$344,$A247+H$3)-INDEX($B$5:$B$344,$A247-1)-1,"")))</f>
        <v/>
      </c>
      <c r="I247" s="11">
        <f>IF(OR($A247=1,$B247="",$A247+I$3&gt;340),"",IF(INDEX($B$5:$B$344,$A247+I$3)="","",IF(AND(YEAR($B247)=$B$2,YEAR(INDEX($B$5:$B$344,$A247+I$3-1))=$B$2),INDEX($B$5:$B$344,$A247+I$3)-INDEX($B$5:$B$344,$A247-1)-1,"")))</f>
        <v/>
      </c>
      <c r="J247" s="11">
        <f>IF(OR($A247=1,$B247="",$A247+J$3&gt;340),"",IF(INDEX($B$5:$B$344,$A247+J$3)="","",IF(AND(YEAR($B247)=$B$2,YEAR(INDEX($B$5:$B$344,$A247+J$3-1))=$B$2),INDEX($B$5:$B$344,$A247+J$3)-INDEX($B$5:$B$344,$A247-1)-1,"")))</f>
        <v/>
      </c>
      <c r="K247" s="11">
        <f>IF(OR($A247=1,$B247="",$A247+K$3&gt;340),"",IF(INDEX($B$5:$B$344,$A247+K$3)="","",IF(AND(YEAR($B247)=$B$2,YEAR(INDEX($B$5:$B$344,$A247+K$3-1))=$B$2),INDEX($B$5:$B$344,$A247+K$3)-INDEX($B$5:$B$344,$A247-1)-1,"")))</f>
        <v/>
      </c>
      <c r="L247" s="11">
        <f>IF(OR($A247=1,$B247="",$A247+L$3&gt;340),"",IF(INDEX($B$5:$B$344,$A247+L$3)="","",IF(AND(YEAR($B247)=$B$2,YEAR(INDEX($B$5:$B$344,$A247+L$3-1))=$B$2),INDEX($B$5:$B$344,$A247+L$3)-INDEX($B$5:$B$344,$A247-1)-1,"")))</f>
        <v/>
      </c>
      <c r="M247" s="11">
        <f>IF(OR($A247=1,$B247="",$A247+M$3&gt;340),"",IF(INDEX($B$5:$B$344,$A247+M$3)="","",IF(AND(YEAR($B247)=$B$2,YEAR(INDEX($B$5:$B$344,$A247+M$3-1))=$B$2),INDEX($B$5:$B$344,$A247+M$3)-INDEX($B$5:$B$344,$A247-1)-1,"")))</f>
        <v/>
      </c>
    </row>
    <row r="248">
      <c r="A248" s="11" t="n">
        <v>244</v>
      </c>
      <c r="B248" s="10">
        <f>IFERROR(INDEX('2_暦'!$A$7:$A$433,MATCH(A248,'2_暦'!$K$7:$K$433,0)),"")</f>
        <v/>
      </c>
      <c r="C248" s="11">
        <f>IF(OR($A248=1,$B248=""),"",IF(OR(YEAR($B248-1)=$B$2,YEAR(INDEX($B$5:$B$344,$A248-1)+1)=$B$2),$B248-INDEX($B$5:$B$344,$A248-1)-1,""))</f>
        <v/>
      </c>
      <c r="D248" s="11">
        <f>IF(OR($A248=1,$B248="",$A248+D$3&gt;340),"",IF(INDEX($B$5:$B$344,$A248+D$3)="","",IF(AND(YEAR($B248)=$B$2,YEAR(INDEX($B$5:$B$344,$A248+D$3-1))=$B$2),INDEX($B$5:$B$344,$A248+D$3)-INDEX($B$5:$B$344,$A248-1)-1,"")))</f>
        <v/>
      </c>
      <c r="E248" s="11">
        <f>IF(OR($A248=1,$B248="",$A248+E$3&gt;340),"",IF(INDEX($B$5:$B$344,$A248+E$3)="","",IF(AND(YEAR($B248)=$B$2,YEAR(INDEX($B$5:$B$344,$A248+E$3-1))=$B$2),INDEX($B$5:$B$344,$A248+E$3)-INDEX($B$5:$B$344,$A248-1)-1,"")))</f>
        <v/>
      </c>
      <c r="F248" s="11">
        <f>IF(OR($A248=1,$B248="",$A248+F$3&gt;340),"",IF(INDEX($B$5:$B$344,$A248+F$3)="","",IF(AND(YEAR($B248)=$B$2,YEAR(INDEX($B$5:$B$344,$A248+F$3-1))=$B$2),INDEX($B$5:$B$344,$A248+F$3)-INDEX($B$5:$B$344,$A248-1)-1,"")))</f>
        <v/>
      </c>
      <c r="G248" s="11">
        <f>IF(OR($A248=1,$B248="",$A248+G$3&gt;340),"",IF(INDEX($B$5:$B$344,$A248+G$3)="","",IF(AND(YEAR($B248)=$B$2,YEAR(INDEX($B$5:$B$344,$A248+G$3-1))=$B$2),INDEX($B$5:$B$344,$A248+G$3)-INDEX($B$5:$B$344,$A248-1)-1,"")))</f>
        <v/>
      </c>
      <c r="H248" s="11">
        <f>IF(OR($A248=1,$B248="",$A248+H$3&gt;340),"",IF(INDEX($B$5:$B$344,$A248+H$3)="","",IF(AND(YEAR($B248)=$B$2,YEAR(INDEX($B$5:$B$344,$A248+H$3-1))=$B$2),INDEX($B$5:$B$344,$A248+H$3)-INDEX($B$5:$B$344,$A248-1)-1,"")))</f>
        <v/>
      </c>
      <c r="I248" s="11">
        <f>IF(OR($A248=1,$B248="",$A248+I$3&gt;340),"",IF(INDEX($B$5:$B$344,$A248+I$3)="","",IF(AND(YEAR($B248)=$B$2,YEAR(INDEX($B$5:$B$344,$A248+I$3-1))=$B$2),INDEX($B$5:$B$344,$A248+I$3)-INDEX($B$5:$B$344,$A248-1)-1,"")))</f>
        <v/>
      </c>
      <c r="J248" s="11">
        <f>IF(OR($A248=1,$B248="",$A248+J$3&gt;340),"",IF(INDEX($B$5:$B$344,$A248+J$3)="","",IF(AND(YEAR($B248)=$B$2,YEAR(INDEX($B$5:$B$344,$A248+J$3-1))=$B$2),INDEX($B$5:$B$344,$A248+J$3)-INDEX($B$5:$B$344,$A248-1)-1,"")))</f>
        <v/>
      </c>
      <c r="K248" s="11">
        <f>IF(OR($A248=1,$B248="",$A248+K$3&gt;340),"",IF(INDEX($B$5:$B$344,$A248+K$3)="","",IF(AND(YEAR($B248)=$B$2,YEAR(INDEX($B$5:$B$344,$A248+K$3-1))=$B$2),INDEX($B$5:$B$344,$A248+K$3)-INDEX($B$5:$B$344,$A248-1)-1,"")))</f>
        <v/>
      </c>
      <c r="L248" s="11">
        <f>IF(OR($A248=1,$B248="",$A248+L$3&gt;340),"",IF(INDEX($B$5:$B$344,$A248+L$3)="","",IF(AND(YEAR($B248)=$B$2,YEAR(INDEX($B$5:$B$344,$A248+L$3-1))=$B$2),INDEX($B$5:$B$344,$A248+L$3)-INDEX($B$5:$B$344,$A248-1)-1,"")))</f>
        <v/>
      </c>
      <c r="M248" s="11">
        <f>IF(OR($A248=1,$B248="",$A248+M$3&gt;340),"",IF(INDEX($B$5:$B$344,$A248+M$3)="","",IF(AND(YEAR($B248)=$B$2,YEAR(INDEX($B$5:$B$344,$A248+M$3-1))=$B$2),INDEX($B$5:$B$344,$A248+M$3)-INDEX($B$5:$B$344,$A248-1)-1,"")))</f>
        <v/>
      </c>
    </row>
    <row r="249">
      <c r="A249" s="11" t="n">
        <v>245</v>
      </c>
      <c r="B249" s="10">
        <f>IFERROR(INDEX('2_暦'!$A$7:$A$433,MATCH(A249,'2_暦'!$K$7:$K$433,0)),"")</f>
        <v/>
      </c>
      <c r="C249" s="11">
        <f>IF(OR($A249=1,$B249=""),"",IF(OR(YEAR($B249-1)=$B$2,YEAR(INDEX($B$5:$B$344,$A249-1)+1)=$B$2),$B249-INDEX($B$5:$B$344,$A249-1)-1,""))</f>
        <v/>
      </c>
      <c r="D249" s="11">
        <f>IF(OR($A249=1,$B249="",$A249+D$3&gt;340),"",IF(INDEX($B$5:$B$344,$A249+D$3)="","",IF(AND(YEAR($B249)=$B$2,YEAR(INDEX($B$5:$B$344,$A249+D$3-1))=$B$2),INDEX($B$5:$B$344,$A249+D$3)-INDEX($B$5:$B$344,$A249-1)-1,"")))</f>
        <v/>
      </c>
      <c r="E249" s="11">
        <f>IF(OR($A249=1,$B249="",$A249+E$3&gt;340),"",IF(INDEX($B$5:$B$344,$A249+E$3)="","",IF(AND(YEAR($B249)=$B$2,YEAR(INDEX($B$5:$B$344,$A249+E$3-1))=$B$2),INDEX($B$5:$B$344,$A249+E$3)-INDEX($B$5:$B$344,$A249-1)-1,"")))</f>
        <v/>
      </c>
      <c r="F249" s="11">
        <f>IF(OR($A249=1,$B249="",$A249+F$3&gt;340),"",IF(INDEX($B$5:$B$344,$A249+F$3)="","",IF(AND(YEAR($B249)=$B$2,YEAR(INDEX($B$5:$B$344,$A249+F$3-1))=$B$2),INDEX($B$5:$B$344,$A249+F$3)-INDEX($B$5:$B$344,$A249-1)-1,"")))</f>
        <v/>
      </c>
      <c r="G249" s="11">
        <f>IF(OR($A249=1,$B249="",$A249+G$3&gt;340),"",IF(INDEX($B$5:$B$344,$A249+G$3)="","",IF(AND(YEAR($B249)=$B$2,YEAR(INDEX($B$5:$B$344,$A249+G$3-1))=$B$2),INDEX($B$5:$B$344,$A249+G$3)-INDEX($B$5:$B$344,$A249-1)-1,"")))</f>
        <v/>
      </c>
      <c r="H249" s="11">
        <f>IF(OR($A249=1,$B249="",$A249+H$3&gt;340),"",IF(INDEX($B$5:$B$344,$A249+H$3)="","",IF(AND(YEAR($B249)=$B$2,YEAR(INDEX($B$5:$B$344,$A249+H$3-1))=$B$2),INDEX($B$5:$B$344,$A249+H$3)-INDEX($B$5:$B$344,$A249-1)-1,"")))</f>
        <v/>
      </c>
      <c r="I249" s="11">
        <f>IF(OR($A249=1,$B249="",$A249+I$3&gt;340),"",IF(INDEX($B$5:$B$344,$A249+I$3)="","",IF(AND(YEAR($B249)=$B$2,YEAR(INDEX($B$5:$B$344,$A249+I$3-1))=$B$2),INDEX($B$5:$B$344,$A249+I$3)-INDEX($B$5:$B$344,$A249-1)-1,"")))</f>
        <v/>
      </c>
      <c r="J249" s="11">
        <f>IF(OR($A249=1,$B249="",$A249+J$3&gt;340),"",IF(INDEX($B$5:$B$344,$A249+J$3)="","",IF(AND(YEAR($B249)=$B$2,YEAR(INDEX($B$5:$B$344,$A249+J$3-1))=$B$2),INDEX($B$5:$B$344,$A249+J$3)-INDEX($B$5:$B$344,$A249-1)-1,"")))</f>
        <v/>
      </c>
      <c r="K249" s="11">
        <f>IF(OR($A249=1,$B249="",$A249+K$3&gt;340),"",IF(INDEX($B$5:$B$344,$A249+K$3)="","",IF(AND(YEAR($B249)=$B$2,YEAR(INDEX($B$5:$B$344,$A249+K$3-1))=$B$2),INDEX($B$5:$B$344,$A249+K$3)-INDEX($B$5:$B$344,$A249-1)-1,"")))</f>
        <v/>
      </c>
      <c r="L249" s="11">
        <f>IF(OR($A249=1,$B249="",$A249+L$3&gt;340),"",IF(INDEX($B$5:$B$344,$A249+L$3)="","",IF(AND(YEAR($B249)=$B$2,YEAR(INDEX($B$5:$B$344,$A249+L$3-1))=$B$2),INDEX($B$5:$B$344,$A249+L$3)-INDEX($B$5:$B$344,$A249-1)-1,"")))</f>
        <v/>
      </c>
      <c r="M249" s="11">
        <f>IF(OR($A249=1,$B249="",$A249+M$3&gt;340),"",IF(INDEX($B$5:$B$344,$A249+M$3)="","",IF(AND(YEAR($B249)=$B$2,YEAR(INDEX($B$5:$B$344,$A249+M$3-1))=$B$2),INDEX($B$5:$B$344,$A249+M$3)-INDEX($B$5:$B$344,$A249-1)-1,"")))</f>
        <v/>
      </c>
    </row>
    <row r="250">
      <c r="A250" s="11" t="n">
        <v>246</v>
      </c>
      <c r="B250" s="10">
        <f>IFERROR(INDEX('2_暦'!$A$7:$A$433,MATCH(A250,'2_暦'!$K$7:$K$433,0)),"")</f>
        <v/>
      </c>
      <c r="C250" s="11">
        <f>IF(OR($A250=1,$B250=""),"",IF(OR(YEAR($B250-1)=$B$2,YEAR(INDEX($B$5:$B$344,$A250-1)+1)=$B$2),$B250-INDEX($B$5:$B$344,$A250-1)-1,""))</f>
        <v/>
      </c>
      <c r="D250" s="11">
        <f>IF(OR($A250=1,$B250="",$A250+D$3&gt;340),"",IF(INDEX($B$5:$B$344,$A250+D$3)="","",IF(AND(YEAR($B250)=$B$2,YEAR(INDEX($B$5:$B$344,$A250+D$3-1))=$B$2),INDEX($B$5:$B$344,$A250+D$3)-INDEX($B$5:$B$344,$A250-1)-1,"")))</f>
        <v/>
      </c>
      <c r="E250" s="11">
        <f>IF(OR($A250=1,$B250="",$A250+E$3&gt;340),"",IF(INDEX($B$5:$B$344,$A250+E$3)="","",IF(AND(YEAR($B250)=$B$2,YEAR(INDEX($B$5:$B$344,$A250+E$3-1))=$B$2),INDEX($B$5:$B$344,$A250+E$3)-INDEX($B$5:$B$344,$A250-1)-1,"")))</f>
        <v/>
      </c>
      <c r="F250" s="11">
        <f>IF(OR($A250=1,$B250="",$A250+F$3&gt;340),"",IF(INDEX($B$5:$B$344,$A250+F$3)="","",IF(AND(YEAR($B250)=$B$2,YEAR(INDEX($B$5:$B$344,$A250+F$3-1))=$B$2),INDEX($B$5:$B$344,$A250+F$3)-INDEX($B$5:$B$344,$A250-1)-1,"")))</f>
        <v/>
      </c>
      <c r="G250" s="11">
        <f>IF(OR($A250=1,$B250="",$A250+G$3&gt;340),"",IF(INDEX($B$5:$B$344,$A250+G$3)="","",IF(AND(YEAR($B250)=$B$2,YEAR(INDEX($B$5:$B$344,$A250+G$3-1))=$B$2),INDEX($B$5:$B$344,$A250+G$3)-INDEX($B$5:$B$344,$A250-1)-1,"")))</f>
        <v/>
      </c>
      <c r="H250" s="11">
        <f>IF(OR($A250=1,$B250="",$A250+H$3&gt;340),"",IF(INDEX($B$5:$B$344,$A250+H$3)="","",IF(AND(YEAR($B250)=$B$2,YEAR(INDEX($B$5:$B$344,$A250+H$3-1))=$B$2),INDEX($B$5:$B$344,$A250+H$3)-INDEX($B$5:$B$344,$A250-1)-1,"")))</f>
        <v/>
      </c>
      <c r="I250" s="11">
        <f>IF(OR($A250=1,$B250="",$A250+I$3&gt;340),"",IF(INDEX($B$5:$B$344,$A250+I$3)="","",IF(AND(YEAR($B250)=$B$2,YEAR(INDEX($B$5:$B$344,$A250+I$3-1))=$B$2),INDEX($B$5:$B$344,$A250+I$3)-INDEX($B$5:$B$344,$A250-1)-1,"")))</f>
        <v/>
      </c>
      <c r="J250" s="11">
        <f>IF(OR($A250=1,$B250="",$A250+J$3&gt;340),"",IF(INDEX($B$5:$B$344,$A250+J$3)="","",IF(AND(YEAR($B250)=$B$2,YEAR(INDEX($B$5:$B$344,$A250+J$3-1))=$B$2),INDEX($B$5:$B$344,$A250+J$3)-INDEX($B$5:$B$344,$A250-1)-1,"")))</f>
        <v/>
      </c>
      <c r="K250" s="11">
        <f>IF(OR($A250=1,$B250="",$A250+K$3&gt;340),"",IF(INDEX($B$5:$B$344,$A250+K$3)="","",IF(AND(YEAR($B250)=$B$2,YEAR(INDEX($B$5:$B$344,$A250+K$3-1))=$B$2),INDEX($B$5:$B$344,$A250+K$3)-INDEX($B$5:$B$344,$A250-1)-1,"")))</f>
        <v/>
      </c>
      <c r="L250" s="11">
        <f>IF(OR($A250=1,$B250="",$A250+L$3&gt;340),"",IF(INDEX($B$5:$B$344,$A250+L$3)="","",IF(AND(YEAR($B250)=$B$2,YEAR(INDEX($B$5:$B$344,$A250+L$3-1))=$B$2),INDEX($B$5:$B$344,$A250+L$3)-INDEX($B$5:$B$344,$A250-1)-1,"")))</f>
        <v/>
      </c>
      <c r="M250" s="11">
        <f>IF(OR($A250=1,$B250="",$A250+M$3&gt;340),"",IF(INDEX($B$5:$B$344,$A250+M$3)="","",IF(AND(YEAR($B250)=$B$2,YEAR(INDEX($B$5:$B$344,$A250+M$3-1))=$B$2),INDEX($B$5:$B$344,$A250+M$3)-INDEX($B$5:$B$344,$A250-1)-1,"")))</f>
        <v/>
      </c>
    </row>
    <row r="251">
      <c r="A251" s="11" t="n">
        <v>247</v>
      </c>
      <c r="B251" s="10">
        <f>IFERROR(INDEX('2_暦'!$A$7:$A$433,MATCH(A251,'2_暦'!$K$7:$K$433,0)),"")</f>
        <v/>
      </c>
      <c r="C251" s="11">
        <f>IF(OR($A251=1,$B251=""),"",IF(OR(YEAR($B251-1)=$B$2,YEAR(INDEX($B$5:$B$344,$A251-1)+1)=$B$2),$B251-INDEX($B$5:$B$344,$A251-1)-1,""))</f>
        <v/>
      </c>
      <c r="D251" s="11">
        <f>IF(OR($A251=1,$B251="",$A251+D$3&gt;340),"",IF(INDEX($B$5:$B$344,$A251+D$3)="","",IF(AND(YEAR($B251)=$B$2,YEAR(INDEX($B$5:$B$344,$A251+D$3-1))=$B$2),INDEX($B$5:$B$344,$A251+D$3)-INDEX($B$5:$B$344,$A251-1)-1,"")))</f>
        <v/>
      </c>
      <c r="E251" s="11">
        <f>IF(OR($A251=1,$B251="",$A251+E$3&gt;340),"",IF(INDEX($B$5:$B$344,$A251+E$3)="","",IF(AND(YEAR($B251)=$B$2,YEAR(INDEX($B$5:$B$344,$A251+E$3-1))=$B$2),INDEX($B$5:$B$344,$A251+E$3)-INDEX($B$5:$B$344,$A251-1)-1,"")))</f>
        <v/>
      </c>
      <c r="F251" s="11">
        <f>IF(OR($A251=1,$B251="",$A251+F$3&gt;340),"",IF(INDEX($B$5:$B$344,$A251+F$3)="","",IF(AND(YEAR($B251)=$B$2,YEAR(INDEX($B$5:$B$344,$A251+F$3-1))=$B$2),INDEX($B$5:$B$344,$A251+F$3)-INDEX($B$5:$B$344,$A251-1)-1,"")))</f>
        <v/>
      </c>
      <c r="G251" s="11">
        <f>IF(OR($A251=1,$B251="",$A251+G$3&gt;340),"",IF(INDEX($B$5:$B$344,$A251+G$3)="","",IF(AND(YEAR($B251)=$B$2,YEAR(INDEX($B$5:$B$344,$A251+G$3-1))=$B$2),INDEX($B$5:$B$344,$A251+G$3)-INDEX($B$5:$B$344,$A251-1)-1,"")))</f>
        <v/>
      </c>
      <c r="H251" s="11">
        <f>IF(OR($A251=1,$B251="",$A251+H$3&gt;340),"",IF(INDEX($B$5:$B$344,$A251+H$3)="","",IF(AND(YEAR($B251)=$B$2,YEAR(INDEX($B$5:$B$344,$A251+H$3-1))=$B$2),INDEX($B$5:$B$344,$A251+H$3)-INDEX($B$5:$B$344,$A251-1)-1,"")))</f>
        <v/>
      </c>
      <c r="I251" s="11">
        <f>IF(OR($A251=1,$B251="",$A251+I$3&gt;340),"",IF(INDEX($B$5:$B$344,$A251+I$3)="","",IF(AND(YEAR($B251)=$B$2,YEAR(INDEX($B$5:$B$344,$A251+I$3-1))=$B$2),INDEX($B$5:$B$344,$A251+I$3)-INDEX($B$5:$B$344,$A251-1)-1,"")))</f>
        <v/>
      </c>
      <c r="J251" s="11">
        <f>IF(OR($A251=1,$B251="",$A251+J$3&gt;340),"",IF(INDEX($B$5:$B$344,$A251+J$3)="","",IF(AND(YEAR($B251)=$B$2,YEAR(INDEX($B$5:$B$344,$A251+J$3-1))=$B$2),INDEX($B$5:$B$344,$A251+J$3)-INDEX($B$5:$B$344,$A251-1)-1,"")))</f>
        <v/>
      </c>
      <c r="K251" s="11">
        <f>IF(OR($A251=1,$B251="",$A251+K$3&gt;340),"",IF(INDEX($B$5:$B$344,$A251+K$3)="","",IF(AND(YEAR($B251)=$B$2,YEAR(INDEX($B$5:$B$344,$A251+K$3-1))=$B$2),INDEX($B$5:$B$344,$A251+K$3)-INDEX($B$5:$B$344,$A251-1)-1,"")))</f>
        <v/>
      </c>
      <c r="L251" s="11">
        <f>IF(OR($A251=1,$B251="",$A251+L$3&gt;340),"",IF(INDEX($B$5:$B$344,$A251+L$3)="","",IF(AND(YEAR($B251)=$B$2,YEAR(INDEX($B$5:$B$344,$A251+L$3-1))=$B$2),INDEX($B$5:$B$344,$A251+L$3)-INDEX($B$5:$B$344,$A251-1)-1,"")))</f>
        <v/>
      </c>
      <c r="M251" s="11">
        <f>IF(OR($A251=1,$B251="",$A251+M$3&gt;340),"",IF(INDEX($B$5:$B$344,$A251+M$3)="","",IF(AND(YEAR($B251)=$B$2,YEAR(INDEX($B$5:$B$344,$A251+M$3-1))=$B$2),INDEX($B$5:$B$344,$A251+M$3)-INDEX($B$5:$B$344,$A251-1)-1,"")))</f>
        <v/>
      </c>
    </row>
    <row r="252">
      <c r="A252" s="11" t="n">
        <v>248</v>
      </c>
      <c r="B252" s="10">
        <f>IFERROR(INDEX('2_暦'!$A$7:$A$433,MATCH(A252,'2_暦'!$K$7:$K$433,0)),"")</f>
        <v/>
      </c>
      <c r="C252" s="11">
        <f>IF(OR($A252=1,$B252=""),"",IF(OR(YEAR($B252-1)=$B$2,YEAR(INDEX($B$5:$B$344,$A252-1)+1)=$B$2),$B252-INDEX($B$5:$B$344,$A252-1)-1,""))</f>
        <v/>
      </c>
      <c r="D252" s="11">
        <f>IF(OR($A252=1,$B252="",$A252+D$3&gt;340),"",IF(INDEX($B$5:$B$344,$A252+D$3)="","",IF(AND(YEAR($B252)=$B$2,YEAR(INDEX($B$5:$B$344,$A252+D$3-1))=$B$2),INDEX($B$5:$B$344,$A252+D$3)-INDEX($B$5:$B$344,$A252-1)-1,"")))</f>
        <v/>
      </c>
      <c r="E252" s="11">
        <f>IF(OR($A252=1,$B252="",$A252+E$3&gt;340),"",IF(INDEX($B$5:$B$344,$A252+E$3)="","",IF(AND(YEAR($B252)=$B$2,YEAR(INDEX($B$5:$B$344,$A252+E$3-1))=$B$2),INDEX($B$5:$B$344,$A252+E$3)-INDEX($B$5:$B$344,$A252-1)-1,"")))</f>
        <v/>
      </c>
      <c r="F252" s="11">
        <f>IF(OR($A252=1,$B252="",$A252+F$3&gt;340),"",IF(INDEX($B$5:$B$344,$A252+F$3)="","",IF(AND(YEAR($B252)=$B$2,YEAR(INDEX($B$5:$B$344,$A252+F$3-1))=$B$2),INDEX($B$5:$B$344,$A252+F$3)-INDEX($B$5:$B$344,$A252-1)-1,"")))</f>
        <v/>
      </c>
      <c r="G252" s="11">
        <f>IF(OR($A252=1,$B252="",$A252+G$3&gt;340),"",IF(INDEX($B$5:$B$344,$A252+G$3)="","",IF(AND(YEAR($B252)=$B$2,YEAR(INDEX($B$5:$B$344,$A252+G$3-1))=$B$2),INDEX($B$5:$B$344,$A252+G$3)-INDEX($B$5:$B$344,$A252-1)-1,"")))</f>
        <v/>
      </c>
      <c r="H252" s="11">
        <f>IF(OR($A252=1,$B252="",$A252+H$3&gt;340),"",IF(INDEX($B$5:$B$344,$A252+H$3)="","",IF(AND(YEAR($B252)=$B$2,YEAR(INDEX($B$5:$B$344,$A252+H$3-1))=$B$2),INDEX($B$5:$B$344,$A252+H$3)-INDEX($B$5:$B$344,$A252-1)-1,"")))</f>
        <v/>
      </c>
      <c r="I252" s="11">
        <f>IF(OR($A252=1,$B252="",$A252+I$3&gt;340),"",IF(INDEX($B$5:$B$344,$A252+I$3)="","",IF(AND(YEAR($B252)=$B$2,YEAR(INDEX($B$5:$B$344,$A252+I$3-1))=$B$2),INDEX($B$5:$B$344,$A252+I$3)-INDEX($B$5:$B$344,$A252-1)-1,"")))</f>
        <v/>
      </c>
      <c r="J252" s="11">
        <f>IF(OR($A252=1,$B252="",$A252+J$3&gt;340),"",IF(INDEX($B$5:$B$344,$A252+J$3)="","",IF(AND(YEAR($B252)=$B$2,YEAR(INDEX($B$5:$B$344,$A252+J$3-1))=$B$2),INDEX($B$5:$B$344,$A252+J$3)-INDEX($B$5:$B$344,$A252-1)-1,"")))</f>
        <v/>
      </c>
      <c r="K252" s="11">
        <f>IF(OR($A252=1,$B252="",$A252+K$3&gt;340),"",IF(INDEX($B$5:$B$344,$A252+K$3)="","",IF(AND(YEAR($B252)=$B$2,YEAR(INDEX($B$5:$B$344,$A252+K$3-1))=$B$2),INDEX($B$5:$B$344,$A252+K$3)-INDEX($B$5:$B$344,$A252-1)-1,"")))</f>
        <v/>
      </c>
      <c r="L252" s="11">
        <f>IF(OR($A252=1,$B252="",$A252+L$3&gt;340),"",IF(INDEX($B$5:$B$344,$A252+L$3)="","",IF(AND(YEAR($B252)=$B$2,YEAR(INDEX($B$5:$B$344,$A252+L$3-1))=$B$2),INDEX($B$5:$B$344,$A252+L$3)-INDEX($B$5:$B$344,$A252-1)-1,"")))</f>
        <v/>
      </c>
      <c r="M252" s="11">
        <f>IF(OR($A252=1,$B252="",$A252+M$3&gt;340),"",IF(INDEX($B$5:$B$344,$A252+M$3)="","",IF(AND(YEAR($B252)=$B$2,YEAR(INDEX($B$5:$B$344,$A252+M$3-1))=$B$2),INDEX($B$5:$B$344,$A252+M$3)-INDEX($B$5:$B$344,$A252-1)-1,"")))</f>
        <v/>
      </c>
    </row>
    <row r="253">
      <c r="A253" s="11" t="n">
        <v>249</v>
      </c>
      <c r="B253" s="10">
        <f>IFERROR(INDEX('2_暦'!$A$7:$A$433,MATCH(A253,'2_暦'!$K$7:$K$433,0)),"")</f>
        <v/>
      </c>
      <c r="C253" s="11">
        <f>IF(OR($A253=1,$B253=""),"",IF(OR(YEAR($B253-1)=$B$2,YEAR(INDEX($B$5:$B$344,$A253-1)+1)=$B$2),$B253-INDEX($B$5:$B$344,$A253-1)-1,""))</f>
        <v/>
      </c>
      <c r="D253" s="11">
        <f>IF(OR($A253=1,$B253="",$A253+D$3&gt;340),"",IF(INDEX($B$5:$B$344,$A253+D$3)="","",IF(AND(YEAR($B253)=$B$2,YEAR(INDEX($B$5:$B$344,$A253+D$3-1))=$B$2),INDEX($B$5:$B$344,$A253+D$3)-INDEX($B$5:$B$344,$A253-1)-1,"")))</f>
        <v/>
      </c>
      <c r="E253" s="11">
        <f>IF(OR($A253=1,$B253="",$A253+E$3&gt;340),"",IF(INDEX($B$5:$B$344,$A253+E$3)="","",IF(AND(YEAR($B253)=$B$2,YEAR(INDEX($B$5:$B$344,$A253+E$3-1))=$B$2),INDEX($B$5:$B$344,$A253+E$3)-INDEX($B$5:$B$344,$A253-1)-1,"")))</f>
        <v/>
      </c>
      <c r="F253" s="11">
        <f>IF(OR($A253=1,$B253="",$A253+F$3&gt;340),"",IF(INDEX($B$5:$B$344,$A253+F$3)="","",IF(AND(YEAR($B253)=$B$2,YEAR(INDEX($B$5:$B$344,$A253+F$3-1))=$B$2),INDEX($B$5:$B$344,$A253+F$3)-INDEX($B$5:$B$344,$A253-1)-1,"")))</f>
        <v/>
      </c>
      <c r="G253" s="11">
        <f>IF(OR($A253=1,$B253="",$A253+G$3&gt;340),"",IF(INDEX($B$5:$B$344,$A253+G$3)="","",IF(AND(YEAR($B253)=$B$2,YEAR(INDEX($B$5:$B$344,$A253+G$3-1))=$B$2),INDEX($B$5:$B$344,$A253+G$3)-INDEX($B$5:$B$344,$A253-1)-1,"")))</f>
        <v/>
      </c>
      <c r="H253" s="11">
        <f>IF(OR($A253=1,$B253="",$A253+H$3&gt;340),"",IF(INDEX($B$5:$B$344,$A253+H$3)="","",IF(AND(YEAR($B253)=$B$2,YEAR(INDEX($B$5:$B$344,$A253+H$3-1))=$B$2),INDEX($B$5:$B$344,$A253+H$3)-INDEX($B$5:$B$344,$A253-1)-1,"")))</f>
        <v/>
      </c>
      <c r="I253" s="11">
        <f>IF(OR($A253=1,$B253="",$A253+I$3&gt;340),"",IF(INDEX($B$5:$B$344,$A253+I$3)="","",IF(AND(YEAR($B253)=$B$2,YEAR(INDEX($B$5:$B$344,$A253+I$3-1))=$B$2),INDEX($B$5:$B$344,$A253+I$3)-INDEX($B$5:$B$344,$A253-1)-1,"")))</f>
        <v/>
      </c>
      <c r="J253" s="11">
        <f>IF(OR($A253=1,$B253="",$A253+J$3&gt;340),"",IF(INDEX($B$5:$B$344,$A253+J$3)="","",IF(AND(YEAR($B253)=$B$2,YEAR(INDEX($B$5:$B$344,$A253+J$3-1))=$B$2),INDEX($B$5:$B$344,$A253+J$3)-INDEX($B$5:$B$344,$A253-1)-1,"")))</f>
        <v/>
      </c>
      <c r="K253" s="11">
        <f>IF(OR($A253=1,$B253="",$A253+K$3&gt;340),"",IF(INDEX($B$5:$B$344,$A253+K$3)="","",IF(AND(YEAR($B253)=$B$2,YEAR(INDEX($B$5:$B$344,$A253+K$3-1))=$B$2),INDEX($B$5:$B$344,$A253+K$3)-INDEX($B$5:$B$344,$A253-1)-1,"")))</f>
        <v/>
      </c>
      <c r="L253" s="11">
        <f>IF(OR($A253=1,$B253="",$A253+L$3&gt;340),"",IF(INDEX($B$5:$B$344,$A253+L$3)="","",IF(AND(YEAR($B253)=$B$2,YEAR(INDEX($B$5:$B$344,$A253+L$3-1))=$B$2),INDEX($B$5:$B$344,$A253+L$3)-INDEX($B$5:$B$344,$A253-1)-1,"")))</f>
        <v/>
      </c>
      <c r="M253" s="11">
        <f>IF(OR($A253=1,$B253="",$A253+M$3&gt;340),"",IF(INDEX($B$5:$B$344,$A253+M$3)="","",IF(AND(YEAR($B253)=$B$2,YEAR(INDEX($B$5:$B$344,$A253+M$3-1))=$B$2),INDEX($B$5:$B$344,$A253+M$3)-INDEX($B$5:$B$344,$A253-1)-1,"")))</f>
        <v/>
      </c>
    </row>
    <row r="254">
      <c r="A254" s="11" t="n">
        <v>250</v>
      </c>
      <c r="B254" s="10">
        <f>IFERROR(INDEX('2_暦'!$A$7:$A$433,MATCH(A254,'2_暦'!$K$7:$K$433,0)),"")</f>
        <v/>
      </c>
      <c r="C254" s="11">
        <f>IF(OR($A254=1,$B254=""),"",IF(OR(YEAR($B254-1)=$B$2,YEAR(INDEX($B$5:$B$344,$A254-1)+1)=$B$2),$B254-INDEX($B$5:$B$344,$A254-1)-1,""))</f>
        <v/>
      </c>
      <c r="D254" s="11">
        <f>IF(OR($A254=1,$B254="",$A254+D$3&gt;340),"",IF(INDEX($B$5:$B$344,$A254+D$3)="","",IF(AND(YEAR($B254)=$B$2,YEAR(INDEX($B$5:$B$344,$A254+D$3-1))=$B$2),INDEX($B$5:$B$344,$A254+D$3)-INDEX($B$5:$B$344,$A254-1)-1,"")))</f>
        <v/>
      </c>
      <c r="E254" s="11">
        <f>IF(OR($A254=1,$B254="",$A254+E$3&gt;340),"",IF(INDEX($B$5:$B$344,$A254+E$3)="","",IF(AND(YEAR($B254)=$B$2,YEAR(INDEX($B$5:$B$344,$A254+E$3-1))=$B$2),INDEX($B$5:$B$344,$A254+E$3)-INDEX($B$5:$B$344,$A254-1)-1,"")))</f>
        <v/>
      </c>
      <c r="F254" s="11">
        <f>IF(OR($A254=1,$B254="",$A254+F$3&gt;340),"",IF(INDEX($B$5:$B$344,$A254+F$3)="","",IF(AND(YEAR($B254)=$B$2,YEAR(INDEX($B$5:$B$344,$A254+F$3-1))=$B$2),INDEX($B$5:$B$344,$A254+F$3)-INDEX($B$5:$B$344,$A254-1)-1,"")))</f>
        <v/>
      </c>
      <c r="G254" s="11">
        <f>IF(OR($A254=1,$B254="",$A254+G$3&gt;340),"",IF(INDEX($B$5:$B$344,$A254+G$3)="","",IF(AND(YEAR($B254)=$B$2,YEAR(INDEX($B$5:$B$344,$A254+G$3-1))=$B$2),INDEX($B$5:$B$344,$A254+G$3)-INDEX($B$5:$B$344,$A254-1)-1,"")))</f>
        <v/>
      </c>
      <c r="H254" s="11">
        <f>IF(OR($A254=1,$B254="",$A254+H$3&gt;340),"",IF(INDEX($B$5:$B$344,$A254+H$3)="","",IF(AND(YEAR($B254)=$B$2,YEAR(INDEX($B$5:$B$344,$A254+H$3-1))=$B$2),INDEX($B$5:$B$344,$A254+H$3)-INDEX($B$5:$B$344,$A254-1)-1,"")))</f>
        <v/>
      </c>
      <c r="I254" s="11">
        <f>IF(OR($A254=1,$B254="",$A254+I$3&gt;340),"",IF(INDEX($B$5:$B$344,$A254+I$3)="","",IF(AND(YEAR($B254)=$B$2,YEAR(INDEX($B$5:$B$344,$A254+I$3-1))=$B$2),INDEX($B$5:$B$344,$A254+I$3)-INDEX($B$5:$B$344,$A254-1)-1,"")))</f>
        <v/>
      </c>
      <c r="J254" s="11">
        <f>IF(OR($A254=1,$B254="",$A254+J$3&gt;340),"",IF(INDEX($B$5:$B$344,$A254+J$3)="","",IF(AND(YEAR($B254)=$B$2,YEAR(INDEX($B$5:$B$344,$A254+J$3-1))=$B$2),INDEX($B$5:$B$344,$A254+J$3)-INDEX($B$5:$B$344,$A254-1)-1,"")))</f>
        <v/>
      </c>
      <c r="K254" s="11">
        <f>IF(OR($A254=1,$B254="",$A254+K$3&gt;340),"",IF(INDEX($B$5:$B$344,$A254+K$3)="","",IF(AND(YEAR($B254)=$B$2,YEAR(INDEX($B$5:$B$344,$A254+K$3-1))=$B$2),INDEX($B$5:$B$344,$A254+K$3)-INDEX($B$5:$B$344,$A254-1)-1,"")))</f>
        <v/>
      </c>
      <c r="L254" s="11">
        <f>IF(OR($A254=1,$B254="",$A254+L$3&gt;340),"",IF(INDEX($B$5:$B$344,$A254+L$3)="","",IF(AND(YEAR($B254)=$B$2,YEAR(INDEX($B$5:$B$344,$A254+L$3-1))=$B$2),INDEX($B$5:$B$344,$A254+L$3)-INDEX($B$5:$B$344,$A254-1)-1,"")))</f>
        <v/>
      </c>
      <c r="M254" s="11">
        <f>IF(OR($A254=1,$B254="",$A254+M$3&gt;340),"",IF(INDEX($B$5:$B$344,$A254+M$3)="","",IF(AND(YEAR($B254)=$B$2,YEAR(INDEX($B$5:$B$344,$A254+M$3-1))=$B$2),INDEX($B$5:$B$344,$A254+M$3)-INDEX($B$5:$B$344,$A254-1)-1,"")))</f>
        <v/>
      </c>
    </row>
    <row r="255">
      <c r="A255" s="11" t="n">
        <v>251</v>
      </c>
      <c r="B255" s="10">
        <f>IFERROR(INDEX('2_暦'!$A$7:$A$433,MATCH(A255,'2_暦'!$K$7:$K$433,0)),"")</f>
        <v/>
      </c>
      <c r="C255" s="11">
        <f>IF(OR($A255=1,$B255=""),"",IF(OR(YEAR($B255-1)=$B$2,YEAR(INDEX($B$5:$B$344,$A255-1)+1)=$B$2),$B255-INDEX($B$5:$B$344,$A255-1)-1,""))</f>
        <v/>
      </c>
      <c r="D255" s="11">
        <f>IF(OR($A255=1,$B255="",$A255+D$3&gt;340),"",IF(INDEX($B$5:$B$344,$A255+D$3)="","",IF(AND(YEAR($B255)=$B$2,YEAR(INDEX($B$5:$B$344,$A255+D$3-1))=$B$2),INDEX($B$5:$B$344,$A255+D$3)-INDEX($B$5:$B$344,$A255-1)-1,"")))</f>
        <v/>
      </c>
      <c r="E255" s="11">
        <f>IF(OR($A255=1,$B255="",$A255+E$3&gt;340),"",IF(INDEX($B$5:$B$344,$A255+E$3)="","",IF(AND(YEAR($B255)=$B$2,YEAR(INDEX($B$5:$B$344,$A255+E$3-1))=$B$2),INDEX($B$5:$B$344,$A255+E$3)-INDEX($B$5:$B$344,$A255-1)-1,"")))</f>
        <v/>
      </c>
      <c r="F255" s="11">
        <f>IF(OR($A255=1,$B255="",$A255+F$3&gt;340),"",IF(INDEX($B$5:$B$344,$A255+F$3)="","",IF(AND(YEAR($B255)=$B$2,YEAR(INDEX($B$5:$B$344,$A255+F$3-1))=$B$2),INDEX($B$5:$B$344,$A255+F$3)-INDEX($B$5:$B$344,$A255-1)-1,"")))</f>
        <v/>
      </c>
      <c r="G255" s="11">
        <f>IF(OR($A255=1,$B255="",$A255+G$3&gt;340),"",IF(INDEX($B$5:$B$344,$A255+G$3)="","",IF(AND(YEAR($B255)=$B$2,YEAR(INDEX($B$5:$B$344,$A255+G$3-1))=$B$2),INDEX($B$5:$B$344,$A255+G$3)-INDEX($B$5:$B$344,$A255-1)-1,"")))</f>
        <v/>
      </c>
      <c r="H255" s="11">
        <f>IF(OR($A255=1,$B255="",$A255+H$3&gt;340),"",IF(INDEX($B$5:$B$344,$A255+H$3)="","",IF(AND(YEAR($B255)=$B$2,YEAR(INDEX($B$5:$B$344,$A255+H$3-1))=$B$2),INDEX($B$5:$B$344,$A255+H$3)-INDEX($B$5:$B$344,$A255-1)-1,"")))</f>
        <v/>
      </c>
      <c r="I255" s="11">
        <f>IF(OR($A255=1,$B255="",$A255+I$3&gt;340),"",IF(INDEX($B$5:$B$344,$A255+I$3)="","",IF(AND(YEAR($B255)=$B$2,YEAR(INDEX($B$5:$B$344,$A255+I$3-1))=$B$2),INDEX($B$5:$B$344,$A255+I$3)-INDEX($B$5:$B$344,$A255-1)-1,"")))</f>
        <v/>
      </c>
      <c r="J255" s="11">
        <f>IF(OR($A255=1,$B255="",$A255+J$3&gt;340),"",IF(INDEX($B$5:$B$344,$A255+J$3)="","",IF(AND(YEAR($B255)=$B$2,YEAR(INDEX($B$5:$B$344,$A255+J$3-1))=$B$2),INDEX($B$5:$B$344,$A255+J$3)-INDEX($B$5:$B$344,$A255-1)-1,"")))</f>
        <v/>
      </c>
      <c r="K255" s="11">
        <f>IF(OR($A255=1,$B255="",$A255+K$3&gt;340),"",IF(INDEX($B$5:$B$344,$A255+K$3)="","",IF(AND(YEAR($B255)=$B$2,YEAR(INDEX($B$5:$B$344,$A255+K$3-1))=$B$2),INDEX($B$5:$B$344,$A255+K$3)-INDEX($B$5:$B$344,$A255-1)-1,"")))</f>
        <v/>
      </c>
      <c r="L255" s="11">
        <f>IF(OR($A255=1,$B255="",$A255+L$3&gt;340),"",IF(INDEX($B$5:$B$344,$A255+L$3)="","",IF(AND(YEAR($B255)=$B$2,YEAR(INDEX($B$5:$B$344,$A255+L$3-1))=$B$2),INDEX($B$5:$B$344,$A255+L$3)-INDEX($B$5:$B$344,$A255-1)-1,"")))</f>
        <v/>
      </c>
      <c r="M255" s="11">
        <f>IF(OR($A255=1,$B255="",$A255+M$3&gt;340),"",IF(INDEX($B$5:$B$344,$A255+M$3)="","",IF(AND(YEAR($B255)=$B$2,YEAR(INDEX($B$5:$B$344,$A255+M$3-1))=$B$2),INDEX($B$5:$B$344,$A255+M$3)-INDEX($B$5:$B$344,$A255-1)-1,"")))</f>
        <v/>
      </c>
    </row>
    <row r="256">
      <c r="A256" s="11" t="n">
        <v>252</v>
      </c>
      <c r="B256" s="10">
        <f>IFERROR(INDEX('2_暦'!$A$7:$A$433,MATCH(A256,'2_暦'!$K$7:$K$433,0)),"")</f>
        <v/>
      </c>
      <c r="C256" s="11">
        <f>IF(OR($A256=1,$B256=""),"",IF(OR(YEAR($B256-1)=$B$2,YEAR(INDEX($B$5:$B$344,$A256-1)+1)=$B$2),$B256-INDEX($B$5:$B$344,$A256-1)-1,""))</f>
        <v/>
      </c>
      <c r="D256" s="11">
        <f>IF(OR($A256=1,$B256="",$A256+D$3&gt;340),"",IF(INDEX($B$5:$B$344,$A256+D$3)="","",IF(AND(YEAR($B256)=$B$2,YEAR(INDEX($B$5:$B$344,$A256+D$3-1))=$B$2),INDEX($B$5:$B$344,$A256+D$3)-INDEX($B$5:$B$344,$A256-1)-1,"")))</f>
        <v/>
      </c>
      <c r="E256" s="11">
        <f>IF(OR($A256=1,$B256="",$A256+E$3&gt;340),"",IF(INDEX($B$5:$B$344,$A256+E$3)="","",IF(AND(YEAR($B256)=$B$2,YEAR(INDEX($B$5:$B$344,$A256+E$3-1))=$B$2),INDEX($B$5:$B$344,$A256+E$3)-INDEX($B$5:$B$344,$A256-1)-1,"")))</f>
        <v/>
      </c>
      <c r="F256" s="11">
        <f>IF(OR($A256=1,$B256="",$A256+F$3&gt;340),"",IF(INDEX($B$5:$B$344,$A256+F$3)="","",IF(AND(YEAR($B256)=$B$2,YEAR(INDEX($B$5:$B$344,$A256+F$3-1))=$B$2),INDEX($B$5:$B$344,$A256+F$3)-INDEX($B$5:$B$344,$A256-1)-1,"")))</f>
        <v/>
      </c>
      <c r="G256" s="11">
        <f>IF(OR($A256=1,$B256="",$A256+G$3&gt;340),"",IF(INDEX($B$5:$B$344,$A256+G$3)="","",IF(AND(YEAR($B256)=$B$2,YEAR(INDEX($B$5:$B$344,$A256+G$3-1))=$B$2),INDEX($B$5:$B$344,$A256+G$3)-INDEX($B$5:$B$344,$A256-1)-1,"")))</f>
        <v/>
      </c>
      <c r="H256" s="11">
        <f>IF(OR($A256=1,$B256="",$A256+H$3&gt;340),"",IF(INDEX($B$5:$B$344,$A256+H$3)="","",IF(AND(YEAR($B256)=$B$2,YEAR(INDEX($B$5:$B$344,$A256+H$3-1))=$B$2),INDEX($B$5:$B$344,$A256+H$3)-INDEX($B$5:$B$344,$A256-1)-1,"")))</f>
        <v/>
      </c>
      <c r="I256" s="11">
        <f>IF(OR($A256=1,$B256="",$A256+I$3&gt;340),"",IF(INDEX($B$5:$B$344,$A256+I$3)="","",IF(AND(YEAR($B256)=$B$2,YEAR(INDEX($B$5:$B$344,$A256+I$3-1))=$B$2),INDEX($B$5:$B$344,$A256+I$3)-INDEX($B$5:$B$344,$A256-1)-1,"")))</f>
        <v/>
      </c>
      <c r="J256" s="11">
        <f>IF(OR($A256=1,$B256="",$A256+J$3&gt;340),"",IF(INDEX($B$5:$B$344,$A256+J$3)="","",IF(AND(YEAR($B256)=$B$2,YEAR(INDEX($B$5:$B$344,$A256+J$3-1))=$B$2),INDEX($B$5:$B$344,$A256+J$3)-INDEX($B$5:$B$344,$A256-1)-1,"")))</f>
        <v/>
      </c>
      <c r="K256" s="11">
        <f>IF(OR($A256=1,$B256="",$A256+K$3&gt;340),"",IF(INDEX($B$5:$B$344,$A256+K$3)="","",IF(AND(YEAR($B256)=$B$2,YEAR(INDEX($B$5:$B$344,$A256+K$3-1))=$B$2),INDEX($B$5:$B$344,$A256+K$3)-INDEX($B$5:$B$344,$A256-1)-1,"")))</f>
        <v/>
      </c>
      <c r="L256" s="11">
        <f>IF(OR($A256=1,$B256="",$A256+L$3&gt;340),"",IF(INDEX($B$5:$B$344,$A256+L$3)="","",IF(AND(YEAR($B256)=$B$2,YEAR(INDEX($B$5:$B$344,$A256+L$3-1))=$B$2),INDEX($B$5:$B$344,$A256+L$3)-INDEX($B$5:$B$344,$A256-1)-1,"")))</f>
        <v/>
      </c>
      <c r="M256" s="11">
        <f>IF(OR($A256=1,$B256="",$A256+M$3&gt;340),"",IF(INDEX($B$5:$B$344,$A256+M$3)="","",IF(AND(YEAR($B256)=$B$2,YEAR(INDEX($B$5:$B$344,$A256+M$3-1))=$B$2),INDEX($B$5:$B$344,$A256+M$3)-INDEX($B$5:$B$344,$A256-1)-1,"")))</f>
        <v/>
      </c>
    </row>
    <row r="257">
      <c r="A257" s="11" t="n">
        <v>253</v>
      </c>
      <c r="B257" s="10">
        <f>IFERROR(INDEX('2_暦'!$A$7:$A$433,MATCH(A257,'2_暦'!$K$7:$K$433,0)),"")</f>
        <v/>
      </c>
      <c r="C257" s="11">
        <f>IF(OR($A257=1,$B257=""),"",IF(OR(YEAR($B257-1)=$B$2,YEAR(INDEX($B$5:$B$344,$A257-1)+1)=$B$2),$B257-INDEX($B$5:$B$344,$A257-1)-1,""))</f>
        <v/>
      </c>
      <c r="D257" s="11">
        <f>IF(OR($A257=1,$B257="",$A257+D$3&gt;340),"",IF(INDEX($B$5:$B$344,$A257+D$3)="","",IF(AND(YEAR($B257)=$B$2,YEAR(INDEX($B$5:$B$344,$A257+D$3-1))=$B$2),INDEX($B$5:$B$344,$A257+D$3)-INDEX($B$5:$B$344,$A257-1)-1,"")))</f>
        <v/>
      </c>
      <c r="E257" s="11">
        <f>IF(OR($A257=1,$B257="",$A257+E$3&gt;340),"",IF(INDEX($B$5:$B$344,$A257+E$3)="","",IF(AND(YEAR($B257)=$B$2,YEAR(INDEX($B$5:$B$344,$A257+E$3-1))=$B$2),INDEX($B$5:$B$344,$A257+E$3)-INDEX($B$5:$B$344,$A257-1)-1,"")))</f>
        <v/>
      </c>
      <c r="F257" s="11">
        <f>IF(OR($A257=1,$B257="",$A257+F$3&gt;340),"",IF(INDEX($B$5:$B$344,$A257+F$3)="","",IF(AND(YEAR($B257)=$B$2,YEAR(INDEX($B$5:$B$344,$A257+F$3-1))=$B$2),INDEX($B$5:$B$344,$A257+F$3)-INDEX($B$5:$B$344,$A257-1)-1,"")))</f>
        <v/>
      </c>
      <c r="G257" s="11">
        <f>IF(OR($A257=1,$B257="",$A257+G$3&gt;340),"",IF(INDEX($B$5:$B$344,$A257+G$3)="","",IF(AND(YEAR($B257)=$B$2,YEAR(INDEX($B$5:$B$344,$A257+G$3-1))=$B$2),INDEX($B$5:$B$344,$A257+G$3)-INDEX($B$5:$B$344,$A257-1)-1,"")))</f>
        <v/>
      </c>
      <c r="H257" s="11">
        <f>IF(OR($A257=1,$B257="",$A257+H$3&gt;340),"",IF(INDEX($B$5:$B$344,$A257+H$3)="","",IF(AND(YEAR($B257)=$B$2,YEAR(INDEX($B$5:$B$344,$A257+H$3-1))=$B$2),INDEX($B$5:$B$344,$A257+H$3)-INDEX($B$5:$B$344,$A257-1)-1,"")))</f>
        <v/>
      </c>
      <c r="I257" s="11">
        <f>IF(OR($A257=1,$B257="",$A257+I$3&gt;340),"",IF(INDEX($B$5:$B$344,$A257+I$3)="","",IF(AND(YEAR($B257)=$B$2,YEAR(INDEX($B$5:$B$344,$A257+I$3-1))=$B$2),INDEX($B$5:$B$344,$A257+I$3)-INDEX($B$5:$B$344,$A257-1)-1,"")))</f>
        <v/>
      </c>
      <c r="J257" s="11">
        <f>IF(OR($A257=1,$B257="",$A257+J$3&gt;340),"",IF(INDEX($B$5:$B$344,$A257+J$3)="","",IF(AND(YEAR($B257)=$B$2,YEAR(INDEX($B$5:$B$344,$A257+J$3-1))=$B$2),INDEX($B$5:$B$344,$A257+J$3)-INDEX($B$5:$B$344,$A257-1)-1,"")))</f>
        <v/>
      </c>
      <c r="K257" s="11">
        <f>IF(OR($A257=1,$B257="",$A257+K$3&gt;340),"",IF(INDEX($B$5:$B$344,$A257+K$3)="","",IF(AND(YEAR($B257)=$B$2,YEAR(INDEX($B$5:$B$344,$A257+K$3-1))=$B$2),INDEX($B$5:$B$344,$A257+K$3)-INDEX($B$5:$B$344,$A257-1)-1,"")))</f>
        <v/>
      </c>
      <c r="L257" s="11">
        <f>IF(OR($A257=1,$B257="",$A257+L$3&gt;340),"",IF(INDEX($B$5:$B$344,$A257+L$3)="","",IF(AND(YEAR($B257)=$B$2,YEAR(INDEX($B$5:$B$344,$A257+L$3-1))=$B$2),INDEX($B$5:$B$344,$A257+L$3)-INDEX($B$5:$B$344,$A257-1)-1,"")))</f>
        <v/>
      </c>
      <c r="M257" s="11">
        <f>IF(OR($A257=1,$B257="",$A257+M$3&gt;340),"",IF(INDEX($B$5:$B$344,$A257+M$3)="","",IF(AND(YEAR($B257)=$B$2,YEAR(INDEX($B$5:$B$344,$A257+M$3-1))=$B$2),INDEX($B$5:$B$344,$A257+M$3)-INDEX($B$5:$B$344,$A257-1)-1,"")))</f>
        <v/>
      </c>
    </row>
    <row r="258">
      <c r="A258" s="11" t="n">
        <v>254</v>
      </c>
      <c r="B258" s="10">
        <f>IFERROR(INDEX('2_暦'!$A$7:$A$433,MATCH(A258,'2_暦'!$K$7:$K$433,0)),"")</f>
        <v/>
      </c>
      <c r="C258" s="11">
        <f>IF(OR($A258=1,$B258=""),"",IF(OR(YEAR($B258-1)=$B$2,YEAR(INDEX($B$5:$B$344,$A258-1)+1)=$B$2),$B258-INDEX($B$5:$B$344,$A258-1)-1,""))</f>
        <v/>
      </c>
      <c r="D258" s="11">
        <f>IF(OR($A258=1,$B258="",$A258+D$3&gt;340),"",IF(INDEX($B$5:$B$344,$A258+D$3)="","",IF(AND(YEAR($B258)=$B$2,YEAR(INDEX($B$5:$B$344,$A258+D$3-1))=$B$2),INDEX($B$5:$B$344,$A258+D$3)-INDEX($B$5:$B$344,$A258-1)-1,"")))</f>
        <v/>
      </c>
      <c r="E258" s="11">
        <f>IF(OR($A258=1,$B258="",$A258+E$3&gt;340),"",IF(INDEX($B$5:$B$344,$A258+E$3)="","",IF(AND(YEAR($B258)=$B$2,YEAR(INDEX($B$5:$B$344,$A258+E$3-1))=$B$2),INDEX($B$5:$B$344,$A258+E$3)-INDEX($B$5:$B$344,$A258-1)-1,"")))</f>
        <v/>
      </c>
      <c r="F258" s="11">
        <f>IF(OR($A258=1,$B258="",$A258+F$3&gt;340),"",IF(INDEX($B$5:$B$344,$A258+F$3)="","",IF(AND(YEAR($B258)=$B$2,YEAR(INDEX($B$5:$B$344,$A258+F$3-1))=$B$2),INDEX($B$5:$B$344,$A258+F$3)-INDEX($B$5:$B$344,$A258-1)-1,"")))</f>
        <v/>
      </c>
      <c r="G258" s="11">
        <f>IF(OR($A258=1,$B258="",$A258+G$3&gt;340),"",IF(INDEX($B$5:$B$344,$A258+G$3)="","",IF(AND(YEAR($B258)=$B$2,YEAR(INDEX($B$5:$B$344,$A258+G$3-1))=$B$2),INDEX($B$5:$B$344,$A258+G$3)-INDEX($B$5:$B$344,$A258-1)-1,"")))</f>
        <v/>
      </c>
      <c r="H258" s="11">
        <f>IF(OR($A258=1,$B258="",$A258+H$3&gt;340),"",IF(INDEX($B$5:$B$344,$A258+H$3)="","",IF(AND(YEAR($B258)=$B$2,YEAR(INDEX($B$5:$B$344,$A258+H$3-1))=$B$2),INDEX($B$5:$B$344,$A258+H$3)-INDEX($B$5:$B$344,$A258-1)-1,"")))</f>
        <v/>
      </c>
      <c r="I258" s="11">
        <f>IF(OR($A258=1,$B258="",$A258+I$3&gt;340),"",IF(INDEX($B$5:$B$344,$A258+I$3)="","",IF(AND(YEAR($B258)=$B$2,YEAR(INDEX($B$5:$B$344,$A258+I$3-1))=$B$2),INDEX($B$5:$B$344,$A258+I$3)-INDEX($B$5:$B$344,$A258-1)-1,"")))</f>
        <v/>
      </c>
      <c r="J258" s="11">
        <f>IF(OR($A258=1,$B258="",$A258+J$3&gt;340),"",IF(INDEX($B$5:$B$344,$A258+J$3)="","",IF(AND(YEAR($B258)=$B$2,YEAR(INDEX($B$5:$B$344,$A258+J$3-1))=$B$2),INDEX($B$5:$B$344,$A258+J$3)-INDEX($B$5:$B$344,$A258-1)-1,"")))</f>
        <v/>
      </c>
      <c r="K258" s="11">
        <f>IF(OR($A258=1,$B258="",$A258+K$3&gt;340),"",IF(INDEX($B$5:$B$344,$A258+K$3)="","",IF(AND(YEAR($B258)=$B$2,YEAR(INDEX($B$5:$B$344,$A258+K$3-1))=$B$2),INDEX($B$5:$B$344,$A258+K$3)-INDEX($B$5:$B$344,$A258-1)-1,"")))</f>
        <v/>
      </c>
      <c r="L258" s="11">
        <f>IF(OR($A258=1,$B258="",$A258+L$3&gt;340),"",IF(INDEX($B$5:$B$344,$A258+L$3)="","",IF(AND(YEAR($B258)=$B$2,YEAR(INDEX($B$5:$B$344,$A258+L$3-1))=$B$2),INDEX($B$5:$B$344,$A258+L$3)-INDEX($B$5:$B$344,$A258-1)-1,"")))</f>
        <v/>
      </c>
      <c r="M258" s="11">
        <f>IF(OR($A258=1,$B258="",$A258+M$3&gt;340),"",IF(INDEX($B$5:$B$344,$A258+M$3)="","",IF(AND(YEAR($B258)=$B$2,YEAR(INDEX($B$5:$B$344,$A258+M$3-1))=$B$2),INDEX($B$5:$B$344,$A258+M$3)-INDEX($B$5:$B$344,$A258-1)-1,"")))</f>
        <v/>
      </c>
    </row>
    <row r="259">
      <c r="A259" s="11" t="n">
        <v>255</v>
      </c>
      <c r="B259" s="10">
        <f>IFERROR(INDEX('2_暦'!$A$7:$A$433,MATCH(A259,'2_暦'!$K$7:$K$433,0)),"")</f>
        <v/>
      </c>
      <c r="C259" s="11">
        <f>IF(OR($A259=1,$B259=""),"",IF(OR(YEAR($B259-1)=$B$2,YEAR(INDEX($B$5:$B$344,$A259-1)+1)=$B$2),$B259-INDEX($B$5:$B$344,$A259-1)-1,""))</f>
        <v/>
      </c>
      <c r="D259" s="11">
        <f>IF(OR($A259=1,$B259="",$A259+D$3&gt;340),"",IF(INDEX($B$5:$B$344,$A259+D$3)="","",IF(AND(YEAR($B259)=$B$2,YEAR(INDEX($B$5:$B$344,$A259+D$3-1))=$B$2),INDEX($B$5:$B$344,$A259+D$3)-INDEX($B$5:$B$344,$A259-1)-1,"")))</f>
        <v/>
      </c>
      <c r="E259" s="11">
        <f>IF(OR($A259=1,$B259="",$A259+E$3&gt;340),"",IF(INDEX($B$5:$B$344,$A259+E$3)="","",IF(AND(YEAR($B259)=$B$2,YEAR(INDEX($B$5:$B$344,$A259+E$3-1))=$B$2),INDEX($B$5:$B$344,$A259+E$3)-INDEX($B$5:$B$344,$A259-1)-1,"")))</f>
        <v/>
      </c>
      <c r="F259" s="11">
        <f>IF(OR($A259=1,$B259="",$A259+F$3&gt;340),"",IF(INDEX($B$5:$B$344,$A259+F$3)="","",IF(AND(YEAR($B259)=$B$2,YEAR(INDEX($B$5:$B$344,$A259+F$3-1))=$B$2),INDEX($B$5:$B$344,$A259+F$3)-INDEX($B$5:$B$344,$A259-1)-1,"")))</f>
        <v/>
      </c>
      <c r="G259" s="11">
        <f>IF(OR($A259=1,$B259="",$A259+G$3&gt;340),"",IF(INDEX($B$5:$B$344,$A259+G$3)="","",IF(AND(YEAR($B259)=$B$2,YEAR(INDEX($B$5:$B$344,$A259+G$3-1))=$B$2),INDEX($B$5:$B$344,$A259+G$3)-INDEX($B$5:$B$344,$A259-1)-1,"")))</f>
        <v/>
      </c>
      <c r="H259" s="11">
        <f>IF(OR($A259=1,$B259="",$A259+H$3&gt;340),"",IF(INDEX($B$5:$B$344,$A259+H$3)="","",IF(AND(YEAR($B259)=$B$2,YEAR(INDEX($B$5:$B$344,$A259+H$3-1))=$B$2),INDEX($B$5:$B$344,$A259+H$3)-INDEX($B$5:$B$344,$A259-1)-1,"")))</f>
        <v/>
      </c>
      <c r="I259" s="11">
        <f>IF(OR($A259=1,$B259="",$A259+I$3&gt;340),"",IF(INDEX($B$5:$B$344,$A259+I$3)="","",IF(AND(YEAR($B259)=$B$2,YEAR(INDEX($B$5:$B$344,$A259+I$3-1))=$B$2),INDEX($B$5:$B$344,$A259+I$3)-INDEX($B$5:$B$344,$A259-1)-1,"")))</f>
        <v/>
      </c>
      <c r="J259" s="11">
        <f>IF(OR($A259=1,$B259="",$A259+J$3&gt;340),"",IF(INDEX($B$5:$B$344,$A259+J$3)="","",IF(AND(YEAR($B259)=$B$2,YEAR(INDEX($B$5:$B$344,$A259+J$3-1))=$B$2),INDEX($B$5:$B$344,$A259+J$3)-INDEX($B$5:$B$344,$A259-1)-1,"")))</f>
        <v/>
      </c>
      <c r="K259" s="11">
        <f>IF(OR($A259=1,$B259="",$A259+K$3&gt;340),"",IF(INDEX($B$5:$B$344,$A259+K$3)="","",IF(AND(YEAR($B259)=$B$2,YEAR(INDEX($B$5:$B$344,$A259+K$3-1))=$B$2),INDEX($B$5:$B$344,$A259+K$3)-INDEX($B$5:$B$344,$A259-1)-1,"")))</f>
        <v/>
      </c>
      <c r="L259" s="11">
        <f>IF(OR($A259=1,$B259="",$A259+L$3&gt;340),"",IF(INDEX($B$5:$B$344,$A259+L$3)="","",IF(AND(YEAR($B259)=$B$2,YEAR(INDEX($B$5:$B$344,$A259+L$3-1))=$B$2),INDEX($B$5:$B$344,$A259+L$3)-INDEX($B$5:$B$344,$A259-1)-1,"")))</f>
        <v/>
      </c>
      <c r="M259" s="11">
        <f>IF(OR($A259=1,$B259="",$A259+M$3&gt;340),"",IF(INDEX($B$5:$B$344,$A259+M$3)="","",IF(AND(YEAR($B259)=$B$2,YEAR(INDEX($B$5:$B$344,$A259+M$3-1))=$B$2),INDEX($B$5:$B$344,$A259+M$3)-INDEX($B$5:$B$344,$A259-1)-1,"")))</f>
        <v/>
      </c>
    </row>
    <row r="260">
      <c r="A260" s="11" t="n">
        <v>256</v>
      </c>
      <c r="B260" s="10">
        <f>IFERROR(INDEX('2_暦'!$A$7:$A$433,MATCH(A260,'2_暦'!$K$7:$K$433,0)),"")</f>
        <v/>
      </c>
      <c r="C260" s="11">
        <f>IF(OR($A260=1,$B260=""),"",IF(OR(YEAR($B260-1)=$B$2,YEAR(INDEX($B$5:$B$344,$A260-1)+1)=$B$2),$B260-INDEX($B$5:$B$344,$A260-1)-1,""))</f>
        <v/>
      </c>
      <c r="D260" s="11">
        <f>IF(OR($A260=1,$B260="",$A260+D$3&gt;340),"",IF(INDEX($B$5:$B$344,$A260+D$3)="","",IF(AND(YEAR($B260)=$B$2,YEAR(INDEX($B$5:$B$344,$A260+D$3-1))=$B$2),INDEX($B$5:$B$344,$A260+D$3)-INDEX($B$5:$B$344,$A260-1)-1,"")))</f>
        <v/>
      </c>
      <c r="E260" s="11">
        <f>IF(OR($A260=1,$B260="",$A260+E$3&gt;340),"",IF(INDEX($B$5:$B$344,$A260+E$3)="","",IF(AND(YEAR($B260)=$B$2,YEAR(INDEX($B$5:$B$344,$A260+E$3-1))=$B$2),INDEX($B$5:$B$344,$A260+E$3)-INDEX($B$5:$B$344,$A260-1)-1,"")))</f>
        <v/>
      </c>
      <c r="F260" s="11">
        <f>IF(OR($A260=1,$B260="",$A260+F$3&gt;340),"",IF(INDEX($B$5:$B$344,$A260+F$3)="","",IF(AND(YEAR($B260)=$B$2,YEAR(INDEX($B$5:$B$344,$A260+F$3-1))=$B$2),INDEX($B$5:$B$344,$A260+F$3)-INDEX($B$5:$B$344,$A260-1)-1,"")))</f>
        <v/>
      </c>
      <c r="G260" s="11">
        <f>IF(OR($A260=1,$B260="",$A260+G$3&gt;340),"",IF(INDEX($B$5:$B$344,$A260+G$3)="","",IF(AND(YEAR($B260)=$B$2,YEAR(INDEX($B$5:$B$344,$A260+G$3-1))=$B$2),INDEX($B$5:$B$344,$A260+G$3)-INDEX($B$5:$B$344,$A260-1)-1,"")))</f>
        <v/>
      </c>
      <c r="H260" s="11">
        <f>IF(OR($A260=1,$B260="",$A260+H$3&gt;340),"",IF(INDEX($B$5:$B$344,$A260+H$3)="","",IF(AND(YEAR($B260)=$B$2,YEAR(INDEX($B$5:$B$344,$A260+H$3-1))=$B$2),INDEX($B$5:$B$344,$A260+H$3)-INDEX($B$5:$B$344,$A260-1)-1,"")))</f>
        <v/>
      </c>
      <c r="I260" s="11">
        <f>IF(OR($A260=1,$B260="",$A260+I$3&gt;340),"",IF(INDEX($B$5:$B$344,$A260+I$3)="","",IF(AND(YEAR($B260)=$B$2,YEAR(INDEX($B$5:$B$344,$A260+I$3-1))=$B$2),INDEX($B$5:$B$344,$A260+I$3)-INDEX($B$5:$B$344,$A260-1)-1,"")))</f>
        <v/>
      </c>
      <c r="J260" s="11">
        <f>IF(OR($A260=1,$B260="",$A260+J$3&gt;340),"",IF(INDEX($B$5:$B$344,$A260+J$3)="","",IF(AND(YEAR($B260)=$B$2,YEAR(INDEX($B$5:$B$344,$A260+J$3-1))=$B$2),INDEX($B$5:$B$344,$A260+J$3)-INDEX($B$5:$B$344,$A260-1)-1,"")))</f>
        <v/>
      </c>
      <c r="K260" s="11">
        <f>IF(OR($A260=1,$B260="",$A260+K$3&gt;340),"",IF(INDEX($B$5:$B$344,$A260+K$3)="","",IF(AND(YEAR($B260)=$B$2,YEAR(INDEX($B$5:$B$344,$A260+K$3-1))=$B$2),INDEX($B$5:$B$344,$A260+K$3)-INDEX($B$5:$B$344,$A260-1)-1,"")))</f>
        <v/>
      </c>
      <c r="L260" s="11">
        <f>IF(OR($A260=1,$B260="",$A260+L$3&gt;340),"",IF(INDEX($B$5:$B$344,$A260+L$3)="","",IF(AND(YEAR($B260)=$B$2,YEAR(INDEX($B$5:$B$344,$A260+L$3-1))=$B$2),INDEX($B$5:$B$344,$A260+L$3)-INDEX($B$5:$B$344,$A260-1)-1,"")))</f>
        <v/>
      </c>
      <c r="M260" s="11">
        <f>IF(OR($A260=1,$B260="",$A260+M$3&gt;340),"",IF(INDEX($B$5:$B$344,$A260+M$3)="","",IF(AND(YEAR($B260)=$B$2,YEAR(INDEX($B$5:$B$344,$A260+M$3-1))=$B$2),INDEX($B$5:$B$344,$A260+M$3)-INDEX($B$5:$B$344,$A260-1)-1,"")))</f>
        <v/>
      </c>
    </row>
    <row r="261">
      <c r="A261" s="11" t="n">
        <v>257</v>
      </c>
      <c r="B261" s="10">
        <f>IFERROR(INDEX('2_暦'!$A$7:$A$433,MATCH(A261,'2_暦'!$K$7:$K$433,0)),"")</f>
        <v/>
      </c>
      <c r="C261" s="11">
        <f>IF(OR($A261=1,$B261=""),"",IF(OR(YEAR($B261-1)=$B$2,YEAR(INDEX($B$5:$B$344,$A261-1)+1)=$B$2),$B261-INDEX($B$5:$B$344,$A261-1)-1,""))</f>
        <v/>
      </c>
      <c r="D261" s="11">
        <f>IF(OR($A261=1,$B261="",$A261+D$3&gt;340),"",IF(INDEX($B$5:$B$344,$A261+D$3)="","",IF(AND(YEAR($B261)=$B$2,YEAR(INDEX($B$5:$B$344,$A261+D$3-1))=$B$2),INDEX($B$5:$B$344,$A261+D$3)-INDEX($B$5:$B$344,$A261-1)-1,"")))</f>
        <v/>
      </c>
      <c r="E261" s="11">
        <f>IF(OR($A261=1,$B261="",$A261+E$3&gt;340),"",IF(INDEX($B$5:$B$344,$A261+E$3)="","",IF(AND(YEAR($B261)=$B$2,YEAR(INDEX($B$5:$B$344,$A261+E$3-1))=$B$2),INDEX($B$5:$B$344,$A261+E$3)-INDEX($B$5:$B$344,$A261-1)-1,"")))</f>
        <v/>
      </c>
      <c r="F261" s="11">
        <f>IF(OR($A261=1,$B261="",$A261+F$3&gt;340),"",IF(INDEX($B$5:$B$344,$A261+F$3)="","",IF(AND(YEAR($B261)=$B$2,YEAR(INDEX($B$5:$B$344,$A261+F$3-1))=$B$2),INDEX($B$5:$B$344,$A261+F$3)-INDEX($B$5:$B$344,$A261-1)-1,"")))</f>
        <v/>
      </c>
      <c r="G261" s="11">
        <f>IF(OR($A261=1,$B261="",$A261+G$3&gt;340),"",IF(INDEX($B$5:$B$344,$A261+G$3)="","",IF(AND(YEAR($B261)=$B$2,YEAR(INDEX($B$5:$B$344,$A261+G$3-1))=$B$2),INDEX($B$5:$B$344,$A261+G$3)-INDEX($B$5:$B$344,$A261-1)-1,"")))</f>
        <v/>
      </c>
      <c r="H261" s="11">
        <f>IF(OR($A261=1,$B261="",$A261+H$3&gt;340),"",IF(INDEX($B$5:$B$344,$A261+H$3)="","",IF(AND(YEAR($B261)=$B$2,YEAR(INDEX($B$5:$B$344,$A261+H$3-1))=$B$2),INDEX($B$5:$B$344,$A261+H$3)-INDEX($B$5:$B$344,$A261-1)-1,"")))</f>
        <v/>
      </c>
      <c r="I261" s="11">
        <f>IF(OR($A261=1,$B261="",$A261+I$3&gt;340),"",IF(INDEX($B$5:$B$344,$A261+I$3)="","",IF(AND(YEAR($B261)=$B$2,YEAR(INDEX($B$5:$B$344,$A261+I$3-1))=$B$2),INDEX($B$5:$B$344,$A261+I$3)-INDEX($B$5:$B$344,$A261-1)-1,"")))</f>
        <v/>
      </c>
      <c r="J261" s="11">
        <f>IF(OR($A261=1,$B261="",$A261+J$3&gt;340),"",IF(INDEX($B$5:$B$344,$A261+J$3)="","",IF(AND(YEAR($B261)=$B$2,YEAR(INDEX($B$5:$B$344,$A261+J$3-1))=$B$2),INDEX($B$5:$B$344,$A261+J$3)-INDEX($B$5:$B$344,$A261-1)-1,"")))</f>
        <v/>
      </c>
      <c r="K261" s="11">
        <f>IF(OR($A261=1,$B261="",$A261+K$3&gt;340),"",IF(INDEX($B$5:$B$344,$A261+K$3)="","",IF(AND(YEAR($B261)=$B$2,YEAR(INDEX($B$5:$B$344,$A261+K$3-1))=$B$2),INDEX($B$5:$B$344,$A261+K$3)-INDEX($B$5:$B$344,$A261-1)-1,"")))</f>
        <v/>
      </c>
      <c r="L261" s="11">
        <f>IF(OR($A261=1,$B261="",$A261+L$3&gt;340),"",IF(INDEX($B$5:$B$344,$A261+L$3)="","",IF(AND(YEAR($B261)=$B$2,YEAR(INDEX($B$5:$B$344,$A261+L$3-1))=$B$2),INDEX($B$5:$B$344,$A261+L$3)-INDEX($B$5:$B$344,$A261-1)-1,"")))</f>
        <v/>
      </c>
      <c r="M261" s="11">
        <f>IF(OR($A261=1,$B261="",$A261+M$3&gt;340),"",IF(INDEX($B$5:$B$344,$A261+M$3)="","",IF(AND(YEAR($B261)=$B$2,YEAR(INDEX($B$5:$B$344,$A261+M$3-1))=$B$2),INDEX($B$5:$B$344,$A261+M$3)-INDEX($B$5:$B$344,$A261-1)-1,"")))</f>
        <v/>
      </c>
    </row>
    <row r="262">
      <c r="A262" s="11" t="n">
        <v>258</v>
      </c>
      <c r="B262" s="10">
        <f>IFERROR(INDEX('2_暦'!$A$7:$A$433,MATCH(A262,'2_暦'!$K$7:$K$433,0)),"")</f>
        <v/>
      </c>
      <c r="C262" s="11">
        <f>IF(OR($A262=1,$B262=""),"",IF(OR(YEAR($B262-1)=$B$2,YEAR(INDEX($B$5:$B$344,$A262-1)+1)=$B$2),$B262-INDEX($B$5:$B$344,$A262-1)-1,""))</f>
        <v/>
      </c>
      <c r="D262" s="11">
        <f>IF(OR($A262=1,$B262="",$A262+D$3&gt;340),"",IF(INDEX($B$5:$B$344,$A262+D$3)="","",IF(AND(YEAR($B262)=$B$2,YEAR(INDEX($B$5:$B$344,$A262+D$3-1))=$B$2),INDEX($B$5:$B$344,$A262+D$3)-INDEX($B$5:$B$344,$A262-1)-1,"")))</f>
        <v/>
      </c>
      <c r="E262" s="11">
        <f>IF(OR($A262=1,$B262="",$A262+E$3&gt;340),"",IF(INDEX($B$5:$B$344,$A262+E$3)="","",IF(AND(YEAR($B262)=$B$2,YEAR(INDEX($B$5:$B$344,$A262+E$3-1))=$B$2),INDEX($B$5:$B$344,$A262+E$3)-INDEX($B$5:$B$344,$A262-1)-1,"")))</f>
        <v/>
      </c>
      <c r="F262" s="11">
        <f>IF(OR($A262=1,$B262="",$A262+F$3&gt;340),"",IF(INDEX($B$5:$B$344,$A262+F$3)="","",IF(AND(YEAR($B262)=$B$2,YEAR(INDEX($B$5:$B$344,$A262+F$3-1))=$B$2),INDEX($B$5:$B$344,$A262+F$3)-INDEX($B$5:$B$344,$A262-1)-1,"")))</f>
        <v/>
      </c>
      <c r="G262" s="11">
        <f>IF(OR($A262=1,$B262="",$A262+G$3&gt;340),"",IF(INDEX($B$5:$B$344,$A262+G$3)="","",IF(AND(YEAR($B262)=$B$2,YEAR(INDEX($B$5:$B$344,$A262+G$3-1))=$B$2),INDEX($B$5:$B$344,$A262+G$3)-INDEX($B$5:$B$344,$A262-1)-1,"")))</f>
        <v/>
      </c>
      <c r="H262" s="11">
        <f>IF(OR($A262=1,$B262="",$A262+H$3&gt;340),"",IF(INDEX($B$5:$B$344,$A262+H$3)="","",IF(AND(YEAR($B262)=$B$2,YEAR(INDEX($B$5:$B$344,$A262+H$3-1))=$B$2),INDEX($B$5:$B$344,$A262+H$3)-INDEX($B$5:$B$344,$A262-1)-1,"")))</f>
        <v/>
      </c>
      <c r="I262" s="11">
        <f>IF(OR($A262=1,$B262="",$A262+I$3&gt;340),"",IF(INDEX($B$5:$B$344,$A262+I$3)="","",IF(AND(YEAR($B262)=$B$2,YEAR(INDEX($B$5:$B$344,$A262+I$3-1))=$B$2),INDEX($B$5:$B$344,$A262+I$3)-INDEX($B$5:$B$344,$A262-1)-1,"")))</f>
        <v/>
      </c>
      <c r="J262" s="11">
        <f>IF(OR($A262=1,$B262="",$A262+J$3&gt;340),"",IF(INDEX($B$5:$B$344,$A262+J$3)="","",IF(AND(YEAR($B262)=$B$2,YEAR(INDEX($B$5:$B$344,$A262+J$3-1))=$B$2),INDEX($B$5:$B$344,$A262+J$3)-INDEX($B$5:$B$344,$A262-1)-1,"")))</f>
        <v/>
      </c>
      <c r="K262" s="11">
        <f>IF(OR($A262=1,$B262="",$A262+K$3&gt;340),"",IF(INDEX($B$5:$B$344,$A262+K$3)="","",IF(AND(YEAR($B262)=$B$2,YEAR(INDEX($B$5:$B$344,$A262+K$3-1))=$B$2),INDEX($B$5:$B$344,$A262+K$3)-INDEX($B$5:$B$344,$A262-1)-1,"")))</f>
        <v/>
      </c>
      <c r="L262" s="11">
        <f>IF(OR($A262=1,$B262="",$A262+L$3&gt;340),"",IF(INDEX($B$5:$B$344,$A262+L$3)="","",IF(AND(YEAR($B262)=$B$2,YEAR(INDEX($B$5:$B$344,$A262+L$3-1))=$B$2),INDEX($B$5:$B$344,$A262+L$3)-INDEX($B$5:$B$344,$A262-1)-1,"")))</f>
        <v/>
      </c>
      <c r="M262" s="11">
        <f>IF(OR($A262=1,$B262="",$A262+M$3&gt;340),"",IF(INDEX($B$5:$B$344,$A262+M$3)="","",IF(AND(YEAR($B262)=$B$2,YEAR(INDEX($B$5:$B$344,$A262+M$3-1))=$B$2),INDEX($B$5:$B$344,$A262+M$3)-INDEX($B$5:$B$344,$A262-1)-1,"")))</f>
        <v/>
      </c>
    </row>
    <row r="263">
      <c r="A263" s="11" t="n">
        <v>259</v>
      </c>
      <c r="B263" s="10">
        <f>IFERROR(INDEX('2_暦'!$A$7:$A$433,MATCH(A263,'2_暦'!$K$7:$K$433,0)),"")</f>
        <v/>
      </c>
      <c r="C263" s="11">
        <f>IF(OR($A263=1,$B263=""),"",IF(OR(YEAR($B263-1)=$B$2,YEAR(INDEX($B$5:$B$344,$A263-1)+1)=$B$2),$B263-INDEX($B$5:$B$344,$A263-1)-1,""))</f>
        <v/>
      </c>
      <c r="D263" s="11">
        <f>IF(OR($A263=1,$B263="",$A263+D$3&gt;340),"",IF(INDEX($B$5:$B$344,$A263+D$3)="","",IF(AND(YEAR($B263)=$B$2,YEAR(INDEX($B$5:$B$344,$A263+D$3-1))=$B$2),INDEX($B$5:$B$344,$A263+D$3)-INDEX($B$5:$B$344,$A263-1)-1,"")))</f>
        <v/>
      </c>
      <c r="E263" s="11">
        <f>IF(OR($A263=1,$B263="",$A263+E$3&gt;340),"",IF(INDEX($B$5:$B$344,$A263+E$3)="","",IF(AND(YEAR($B263)=$B$2,YEAR(INDEX($B$5:$B$344,$A263+E$3-1))=$B$2),INDEX($B$5:$B$344,$A263+E$3)-INDEX($B$5:$B$344,$A263-1)-1,"")))</f>
        <v/>
      </c>
      <c r="F263" s="11">
        <f>IF(OR($A263=1,$B263="",$A263+F$3&gt;340),"",IF(INDEX($B$5:$B$344,$A263+F$3)="","",IF(AND(YEAR($B263)=$B$2,YEAR(INDEX($B$5:$B$344,$A263+F$3-1))=$B$2),INDEX($B$5:$B$344,$A263+F$3)-INDEX($B$5:$B$344,$A263-1)-1,"")))</f>
        <v/>
      </c>
      <c r="G263" s="11">
        <f>IF(OR($A263=1,$B263="",$A263+G$3&gt;340),"",IF(INDEX($B$5:$B$344,$A263+G$3)="","",IF(AND(YEAR($B263)=$B$2,YEAR(INDEX($B$5:$B$344,$A263+G$3-1))=$B$2),INDEX($B$5:$B$344,$A263+G$3)-INDEX($B$5:$B$344,$A263-1)-1,"")))</f>
        <v/>
      </c>
      <c r="H263" s="11">
        <f>IF(OR($A263=1,$B263="",$A263+H$3&gt;340),"",IF(INDEX($B$5:$B$344,$A263+H$3)="","",IF(AND(YEAR($B263)=$B$2,YEAR(INDEX($B$5:$B$344,$A263+H$3-1))=$B$2),INDEX($B$5:$B$344,$A263+H$3)-INDEX($B$5:$B$344,$A263-1)-1,"")))</f>
        <v/>
      </c>
      <c r="I263" s="11">
        <f>IF(OR($A263=1,$B263="",$A263+I$3&gt;340),"",IF(INDEX($B$5:$B$344,$A263+I$3)="","",IF(AND(YEAR($B263)=$B$2,YEAR(INDEX($B$5:$B$344,$A263+I$3-1))=$B$2),INDEX($B$5:$B$344,$A263+I$3)-INDEX($B$5:$B$344,$A263-1)-1,"")))</f>
        <v/>
      </c>
      <c r="J263" s="11">
        <f>IF(OR($A263=1,$B263="",$A263+J$3&gt;340),"",IF(INDEX($B$5:$B$344,$A263+J$3)="","",IF(AND(YEAR($B263)=$B$2,YEAR(INDEX($B$5:$B$344,$A263+J$3-1))=$B$2),INDEX($B$5:$B$344,$A263+J$3)-INDEX($B$5:$B$344,$A263-1)-1,"")))</f>
        <v/>
      </c>
      <c r="K263" s="11">
        <f>IF(OR($A263=1,$B263="",$A263+K$3&gt;340),"",IF(INDEX($B$5:$B$344,$A263+K$3)="","",IF(AND(YEAR($B263)=$B$2,YEAR(INDEX($B$5:$B$344,$A263+K$3-1))=$B$2),INDEX($B$5:$B$344,$A263+K$3)-INDEX($B$5:$B$344,$A263-1)-1,"")))</f>
        <v/>
      </c>
      <c r="L263" s="11">
        <f>IF(OR($A263=1,$B263="",$A263+L$3&gt;340),"",IF(INDEX($B$5:$B$344,$A263+L$3)="","",IF(AND(YEAR($B263)=$B$2,YEAR(INDEX($B$5:$B$344,$A263+L$3-1))=$B$2),INDEX($B$5:$B$344,$A263+L$3)-INDEX($B$5:$B$344,$A263-1)-1,"")))</f>
        <v/>
      </c>
      <c r="M263" s="11">
        <f>IF(OR($A263=1,$B263="",$A263+M$3&gt;340),"",IF(INDEX($B$5:$B$344,$A263+M$3)="","",IF(AND(YEAR($B263)=$B$2,YEAR(INDEX($B$5:$B$344,$A263+M$3-1))=$B$2),INDEX($B$5:$B$344,$A263+M$3)-INDEX($B$5:$B$344,$A263-1)-1,"")))</f>
        <v/>
      </c>
    </row>
    <row r="264">
      <c r="A264" s="11" t="n">
        <v>260</v>
      </c>
      <c r="B264" s="10">
        <f>IFERROR(INDEX('2_暦'!$A$7:$A$433,MATCH(A264,'2_暦'!$K$7:$K$433,0)),"")</f>
        <v/>
      </c>
      <c r="C264" s="11">
        <f>IF(OR($A264=1,$B264=""),"",IF(OR(YEAR($B264-1)=$B$2,YEAR(INDEX($B$5:$B$344,$A264-1)+1)=$B$2),$B264-INDEX($B$5:$B$344,$A264-1)-1,""))</f>
        <v/>
      </c>
      <c r="D264" s="11">
        <f>IF(OR($A264=1,$B264="",$A264+D$3&gt;340),"",IF(INDEX($B$5:$B$344,$A264+D$3)="","",IF(AND(YEAR($B264)=$B$2,YEAR(INDEX($B$5:$B$344,$A264+D$3-1))=$B$2),INDEX($B$5:$B$344,$A264+D$3)-INDEX($B$5:$B$344,$A264-1)-1,"")))</f>
        <v/>
      </c>
      <c r="E264" s="11">
        <f>IF(OR($A264=1,$B264="",$A264+E$3&gt;340),"",IF(INDEX($B$5:$B$344,$A264+E$3)="","",IF(AND(YEAR($B264)=$B$2,YEAR(INDEX($B$5:$B$344,$A264+E$3-1))=$B$2),INDEX($B$5:$B$344,$A264+E$3)-INDEX($B$5:$B$344,$A264-1)-1,"")))</f>
        <v/>
      </c>
      <c r="F264" s="11">
        <f>IF(OR($A264=1,$B264="",$A264+F$3&gt;340),"",IF(INDEX($B$5:$B$344,$A264+F$3)="","",IF(AND(YEAR($B264)=$B$2,YEAR(INDEX($B$5:$B$344,$A264+F$3-1))=$B$2),INDEX($B$5:$B$344,$A264+F$3)-INDEX($B$5:$B$344,$A264-1)-1,"")))</f>
        <v/>
      </c>
      <c r="G264" s="11">
        <f>IF(OR($A264=1,$B264="",$A264+G$3&gt;340),"",IF(INDEX($B$5:$B$344,$A264+G$3)="","",IF(AND(YEAR($B264)=$B$2,YEAR(INDEX($B$5:$B$344,$A264+G$3-1))=$B$2),INDEX($B$5:$B$344,$A264+G$3)-INDEX($B$5:$B$344,$A264-1)-1,"")))</f>
        <v/>
      </c>
      <c r="H264" s="11">
        <f>IF(OR($A264=1,$B264="",$A264+H$3&gt;340),"",IF(INDEX($B$5:$B$344,$A264+H$3)="","",IF(AND(YEAR($B264)=$B$2,YEAR(INDEX($B$5:$B$344,$A264+H$3-1))=$B$2),INDEX($B$5:$B$344,$A264+H$3)-INDEX($B$5:$B$344,$A264-1)-1,"")))</f>
        <v/>
      </c>
      <c r="I264" s="11">
        <f>IF(OR($A264=1,$B264="",$A264+I$3&gt;340),"",IF(INDEX($B$5:$B$344,$A264+I$3)="","",IF(AND(YEAR($B264)=$B$2,YEAR(INDEX($B$5:$B$344,$A264+I$3-1))=$B$2),INDEX($B$5:$B$344,$A264+I$3)-INDEX($B$5:$B$344,$A264-1)-1,"")))</f>
        <v/>
      </c>
      <c r="J264" s="11">
        <f>IF(OR($A264=1,$B264="",$A264+J$3&gt;340),"",IF(INDEX($B$5:$B$344,$A264+J$3)="","",IF(AND(YEAR($B264)=$B$2,YEAR(INDEX($B$5:$B$344,$A264+J$3-1))=$B$2),INDEX($B$5:$B$344,$A264+J$3)-INDEX($B$5:$B$344,$A264-1)-1,"")))</f>
        <v/>
      </c>
      <c r="K264" s="11">
        <f>IF(OR($A264=1,$B264="",$A264+K$3&gt;340),"",IF(INDEX($B$5:$B$344,$A264+K$3)="","",IF(AND(YEAR($B264)=$B$2,YEAR(INDEX($B$5:$B$344,$A264+K$3-1))=$B$2),INDEX($B$5:$B$344,$A264+K$3)-INDEX($B$5:$B$344,$A264-1)-1,"")))</f>
        <v/>
      </c>
      <c r="L264" s="11">
        <f>IF(OR($A264=1,$B264="",$A264+L$3&gt;340),"",IF(INDEX($B$5:$B$344,$A264+L$3)="","",IF(AND(YEAR($B264)=$B$2,YEAR(INDEX($B$5:$B$344,$A264+L$3-1))=$B$2),INDEX($B$5:$B$344,$A264+L$3)-INDEX($B$5:$B$344,$A264-1)-1,"")))</f>
        <v/>
      </c>
      <c r="M264" s="11">
        <f>IF(OR($A264=1,$B264="",$A264+M$3&gt;340),"",IF(INDEX($B$5:$B$344,$A264+M$3)="","",IF(AND(YEAR($B264)=$B$2,YEAR(INDEX($B$5:$B$344,$A264+M$3-1))=$B$2),INDEX($B$5:$B$344,$A264+M$3)-INDEX($B$5:$B$344,$A264-1)-1,"")))</f>
        <v/>
      </c>
    </row>
    <row r="265">
      <c r="A265" s="11" t="n">
        <v>261</v>
      </c>
      <c r="B265" s="10">
        <f>IFERROR(INDEX('2_暦'!$A$7:$A$433,MATCH(A265,'2_暦'!$K$7:$K$433,0)),"")</f>
        <v/>
      </c>
      <c r="C265" s="11">
        <f>IF(OR($A265=1,$B265=""),"",IF(OR(YEAR($B265-1)=$B$2,YEAR(INDEX($B$5:$B$344,$A265-1)+1)=$B$2),$B265-INDEX($B$5:$B$344,$A265-1)-1,""))</f>
        <v/>
      </c>
      <c r="D265" s="11">
        <f>IF(OR($A265=1,$B265="",$A265+D$3&gt;340),"",IF(INDEX($B$5:$B$344,$A265+D$3)="","",IF(AND(YEAR($B265)=$B$2,YEAR(INDEX($B$5:$B$344,$A265+D$3-1))=$B$2),INDEX($B$5:$B$344,$A265+D$3)-INDEX($B$5:$B$344,$A265-1)-1,"")))</f>
        <v/>
      </c>
      <c r="E265" s="11">
        <f>IF(OR($A265=1,$B265="",$A265+E$3&gt;340),"",IF(INDEX($B$5:$B$344,$A265+E$3)="","",IF(AND(YEAR($B265)=$B$2,YEAR(INDEX($B$5:$B$344,$A265+E$3-1))=$B$2),INDEX($B$5:$B$344,$A265+E$3)-INDEX($B$5:$B$344,$A265-1)-1,"")))</f>
        <v/>
      </c>
      <c r="F265" s="11">
        <f>IF(OR($A265=1,$B265="",$A265+F$3&gt;340),"",IF(INDEX($B$5:$B$344,$A265+F$3)="","",IF(AND(YEAR($B265)=$B$2,YEAR(INDEX($B$5:$B$344,$A265+F$3-1))=$B$2),INDEX($B$5:$B$344,$A265+F$3)-INDEX($B$5:$B$344,$A265-1)-1,"")))</f>
        <v/>
      </c>
      <c r="G265" s="11">
        <f>IF(OR($A265=1,$B265="",$A265+G$3&gt;340),"",IF(INDEX($B$5:$B$344,$A265+G$3)="","",IF(AND(YEAR($B265)=$B$2,YEAR(INDEX($B$5:$B$344,$A265+G$3-1))=$B$2),INDEX($B$5:$B$344,$A265+G$3)-INDEX($B$5:$B$344,$A265-1)-1,"")))</f>
        <v/>
      </c>
      <c r="H265" s="11">
        <f>IF(OR($A265=1,$B265="",$A265+H$3&gt;340),"",IF(INDEX($B$5:$B$344,$A265+H$3)="","",IF(AND(YEAR($B265)=$B$2,YEAR(INDEX($B$5:$B$344,$A265+H$3-1))=$B$2),INDEX($B$5:$B$344,$A265+H$3)-INDEX($B$5:$B$344,$A265-1)-1,"")))</f>
        <v/>
      </c>
      <c r="I265" s="11">
        <f>IF(OR($A265=1,$B265="",$A265+I$3&gt;340),"",IF(INDEX($B$5:$B$344,$A265+I$3)="","",IF(AND(YEAR($B265)=$B$2,YEAR(INDEX($B$5:$B$344,$A265+I$3-1))=$B$2),INDEX($B$5:$B$344,$A265+I$3)-INDEX($B$5:$B$344,$A265-1)-1,"")))</f>
        <v/>
      </c>
      <c r="J265" s="11">
        <f>IF(OR($A265=1,$B265="",$A265+J$3&gt;340),"",IF(INDEX($B$5:$B$344,$A265+J$3)="","",IF(AND(YEAR($B265)=$B$2,YEAR(INDEX($B$5:$B$344,$A265+J$3-1))=$B$2),INDEX($B$5:$B$344,$A265+J$3)-INDEX($B$5:$B$344,$A265-1)-1,"")))</f>
        <v/>
      </c>
      <c r="K265" s="11">
        <f>IF(OR($A265=1,$B265="",$A265+K$3&gt;340),"",IF(INDEX($B$5:$B$344,$A265+K$3)="","",IF(AND(YEAR($B265)=$B$2,YEAR(INDEX($B$5:$B$344,$A265+K$3-1))=$B$2),INDEX($B$5:$B$344,$A265+K$3)-INDEX($B$5:$B$344,$A265-1)-1,"")))</f>
        <v/>
      </c>
      <c r="L265" s="11">
        <f>IF(OR($A265=1,$B265="",$A265+L$3&gt;340),"",IF(INDEX($B$5:$B$344,$A265+L$3)="","",IF(AND(YEAR($B265)=$B$2,YEAR(INDEX($B$5:$B$344,$A265+L$3-1))=$B$2),INDEX($B$5:$B$344,$A265+L$3)-INDEX($B$5:$B$344,$A265-1)-1,"")))</f>
        <v/>
      </c>
      <c r="M265" s="11">
        <f>IF(OR($A265=1,$B265="",$A265+M$3&gt;340),"",IF(INDEX($B$5:$B$344,$A265+M$3)="","",IF(AND(YEAR($B265)=$B$2,YEAR(INDEX($B$5:$B$344,$A265+M$3-1))=$B$2),INDEX($B$5:$B$344,$A265+M$3)-INDEX($B$5:$B$344,$A265-1)-1,"")))</f>
        <v/>
      </c>
    </row>
    <row r="266">
      <c r="A266" s="11" t="n">
        <v>262</v>
      </c>
      <c r="B266" s="10">
        <f>IFERROR(INDEX('2_暦'!$A$7:$A$433,MATCH(A266,'2_暦'!$K$7:$K$433,0)),"")</f>
        <v/>
      </c>
      <c r="C266" s="11">
        <f>IF(OR($A266=1,$B266=""),"",IF(OR(YEAR($B266-1)=$B$2,YEAR(INDEX($B$5:$B$344,$A266-1)+1)=$B$2),$B266-INDEX($B$5:$B$344,$A266-1)-1,""))</f>
        <v/>
      </c>
      <c r="D266" s="11">
        <f>IF(OR($A266=1,$B266="",$A266+D$3&gt;340),"",IF(INDEX($B$5:$B$344,$A266+D$3)="","",IF(AND(YEAR($B266)=$B$2,YEAR(INDEX($B$5:$B$344,$A266+D$3-1))=$B$2),INDEX($B$5:$B$344,$A266+D$3)-INDEX($B$5:$B$344,$A266-1)-1,"")))</f>
        <v/>
      </c>
      <c r="E266" s="11">
        <f>IF(OR($A266=1,$B266="",$A266+E$3&gt;340),"",IF(INDEX($B$5:$B$344,$A266+E$3)="","",IF(AND(YEAR($B266)=$B$2,YEAR(INDEX($B$5:$B$344,$A266+E$3-1))=$B$2),INDEX($B$5:$B$344,$A266+E$3)-INDEX($B$5:$B$344,$A266-1)-1,"")))</f>
        <v/>
      </c>
      <c r="F266" s="11">
        <f>IF(OR($A266=1,$B266="",$A266+F$3&gt;340),"",IF(INDEX($B$5:$B$344,$A266+F$3)="","",IF(AND(YEAR($B266)=$B$2,YEAR(INDEX($B$5:$B$344,$A266+F$3-1))=$B$2),INDEX($B$5:$B$344,$A266+F$3)-INDEX($B$5:$B$344,$A266-1)-1,"")))</f>
        <v/>
      </c>
      <c r="G266" s="11">
        <f>IF(OR($A266=1,$B266="",$A266+G$3&gt;340),"",IF(INDEX($B$5:$B$344,$A266+G$3)="","",IF(AND(YEAR($B266)=$B$2,YEAR(INDEX($B$5:$B$344,$A266+G$3-1))=$B$2),INDEX($B$5:$B$344,$A266+G$3)-INDEX($B$5:$B$344,$A266-1)-1,"")))</f>
        <v/>
      </c>
      <c r="H266" s="11">
        <f>IF(OR($A266=1,$B266="",$A266+H$3&gt;340),"",IF(INDEX($B$5:$B$344,$A266+H$3)="","",IF(AND(YEAR($B266)=$B$2,YEAR(INDEX($B$5:$B$344,$A266+H$3-1))=$B$2),INDEX($B$5:$B$344,$A266+H$3)-INDEX($B$5:$B$344,$A266-1)-1,"")))</f>
        <v/>
      </c>
      <c r="I266" s="11">
        <f>IF(OR($A266=1,$B266="",$A266+I$3&gt;340),"",IF(INDEX($B$5:$B$344,$A266+I$3)="","",IF(AND(YEAR($B266)=$B$2,YEAR(INDEX($B$5:$B$344,$A266+I$3-1))=$B$2),INDEX($B$5:$B$344,$A266+I$3)-INDEX($B$5:$B$344,$A266-1)-1,"")))</f>
        <v/>
      </c>
      <c r="J266" s="11">
        <f>IF(OR($A266=1,$B266="",$A266+J$3&gt;340),"",IF(INDEX($B$5:$B$344,$A266+J$3)="","",IF(AND(YEAR($B266)=$B$2,YEAR(INDEX($B$5:$B$344,$A266+J$3-1))=$B$2),INDEX($B$5:$B$344,$A266+J$3)-INDEX($B$5:$B$344,$A266-1)-1,"")))</f>
        <v/>
      </c>
      <c r="K266" s="11">
        <f>IF(OR($A266=1,$B266="",$A266+K$3&gt;340),"",IF(INDEX($B$5:$B$344,$A266+K$3)="","",IF(AND(YEAR($B266)=$B$2,YEAR(INDEX($B$5:$B$344,$A266+K$3-1))=$B$2),INDEX($B$5:$B$344,$A266+K$3)-INDEX($B$5:$B$344,$A266-1)-1,"")))</f>
        <v/>
      </c>
      <c r="L266" s="11">
        <f>IF(OR($A266=1,$B266="",$A266+L$3&gt;340),"",IF(INDEX($B$5:$B$344,$A266+L$3)="","",IF(AND(YEAR($B266)=$B$2,YEAR(INDEX($B$5:$B$344,$A266+L$3-1))=$B$2),INDEX($B$5:$B$344,$A266+L$3)-INDEX($B$5:$B$344,$A266-1)-1,"")))</f>
        <v/>
      </c>
      <c r="M266" s="11">
        <f>IF(OR($A266=1,$B266="",$A266+M$3&gt;340),"",IF(INDEX($B$5:$B$344,$A266+M$3)="","",IF(AND(YEAR($B266)=$B$2,YEAR(INDEX($B$5:$B$344,$A266+M$3-1))=$B$2),INDEX($B$5:$B$344,$A266+M$3)-INDEX($B$5:$B$344,$A266-1)-1,"")))</f>
        <v/>
      </c>
    </row>
    <row r="267">
      <c r="A267" s="11" t="n">
        <v>263</v>
      </c>
      <c r="B267" s="10">
        <f>IFERROR(INDEX('2_暦'!$A$7:$A$433,MATCH(A267,'2_暦'!$K$7:$K$433,0)),"")</f>
        <v/>
      </c>
      <c r="C267" s="11">
        <f>IF(OR($A267=1,$B267=""),"",IF(OR(YEAR($B267-1)=$B$2,YEAR(INDEX($B$5:$B$344,$A267-1)+1)=$B$2),$B267-INDEX($B$5:$B$344,$A267-1)-1,""))</f>
        <v/>
      </c>
      <c r="D267" s="11">
        <f>IF(OR($A267=1,$B267="",$A267+D$3&gt;340),"",IF(INDEX($B$5:$B$344,$A267+D$3)="","",IF(AND(YEAR($B267)=$B$2,YEAR(INDEX($B$5:$B$344,$A267+D$3-1))=$B$2),INDEX($B$5:$B$344,$A267+D$3)-INDEX($B$5:$B$344,$A267-1)-1,"")))</f>
        <v/>
      </c>
      <c r="E267" s="11">
        <f>IF(OR($A267=1,$B267="",$A267+E$3&gt;340),"",IF(INDEX($B$5:$B$344,$A267+E$3)="","",IF(AND(YEAR($B267)=$B$2,YEAR(INDEX($B$5:$B$344,$A267+E$3-1))=$B$2),INDEX($B$5:$B$344,$A267+E$3)-INDEX($B$5:$B$344,$A267-1)-1,"")))</f>
        <v/>
      </c>
      <c r="F267" s="11">
        <f>IF(OR($A267=1,$B267="",$A267+F$3&gt;340),"",IF(INDEX($B$5:$B$344,$A267+F$3)="","",IF(AND(YEAR($B267)=$B$2,YEAR(INDEX($B$5:$B$344,$A267+F$3-1))=$B$2),INDEX($B$5:$B$344,$A267+F$3)-INDEX($B$5:$B$344,$A267-1)-1,"")))</f>
        <v/>
      </c>
      <c r="G267" s="11">
        <f>IF(OR($A267=1,$B267="",$A267+G$3&gt;340),"",IF(INDEX($B$5:$B$344,$A267+G$3)="","",IF(AND(YEAR($B267)=$B$2,YEAR(INDEX($B$5:$B$344,$A267+G$3-1))=$B$2),INDEX($B$5:$B$344,$A267+G$3)-INDEX($B$5:$B$344,$A267-1)-1,"")))</f>
        <v/>
      </c>
      <c r="H267" s="11">
        <f>IF(OR($A267=1,$B267="",$A267+H$3&gt;340),"",IF(INDEX($B$5:$B$344,$A267+H$3)="","",IF(AND(YEAR($B267)=$B$2,YEAR(INDEX($B$5:$B$344,$A267+H$3-1))=$B$2),INDEX($B$5:$B$344,$A267+H$3)-INDEX($B$5:$B$344,$A267-1)-1,"")))</f>
        <v/>
      </c>
      <c r="I267" s="11">
        <f>IF(OR($A267=1,$B267="",$A267+I$3&gt;340),"",IF(INDEX($B$5:$B$344,$A267+I$3)="","",IF(AND(YEAR($B267)=$B$2,YEAR(INDEX($B$5:$B$344,$A267+I$3-1))=$B$2),INDEX($B$5:$B$344,$A267+I$3)-INDEX($B$5:$B$344,$A267-1)-1,"")))</f>
        <v/>
      </c>
      <c r="J267" s="11">
        <f>IF(OR($A267=1,$B267="",$A267+J$3&gt;340),"",IF(INDEX($B$5:$B$344,$A267+J$3)="","",IF(AND(YEAR($B267)=$B$2,YEAR(INDEX($B$5:$B$344,$A267+J$3-1))=$B$2),INDEX($B$5:$B$344,$A267+J$3)-INDEX($B$5:$B$344,$A267-1)-1,"")))</f>
        <v/>
      </c>
      <c r="K267" s="11">
        <f>IF(OR($A267=1,$B267="",$A267+K$3&gt;340),"",IF(INDEX($B$5:$B$344,$A267+K$3)="","",IF(AND(YEAR($B267)=$B$2,YEAR(INDEX($B$5:$B$344,$A267+K$3-1))=$B$2),INDEX($B$5:$B$344,$A267+K$3)-INDEX($B$5:$B$344,$A267-1)-1,"")))</f>
        <v/>
      </c>
      <c r="L267" s="11">
        <f>IF(OR($A267=1,$B267="",$A267+L$3&gt;340),"",IF(INDEX($B$5:$B$344,$A267+L$3)="","",IF(AND(YEAR($B267)=$B$2,YEAR(INDEX($B$5:$B$344,$A267+L$3-1))=$B$2),INDEX($B$5:$B$344,$A267+L$3)-INDEX($B$5:$B$344,$A267-1)-1,"")))</f>
        <v/>
      </c>
      <c r="M267" s="11">
        <f>IF(OR($A267=1,$B267="",$A267+M$3&gt;340),"",IF(INDEX($B$5:$B$344,$A267+M$3)="","",IF(AND(YEAR($B267)=$B$2,YEAR(INDEX($B$5:$B$344,$A267+M$3-1))=$B$2),INDEX($B$5:$B$344,$A267+M$3)-INDEX($B$5:$B$344,$A267-1)-1,"")))</f>
        <v/>
      </c>
    </row>
    <row r="268">
      <c r="A268" s="11" t="n">
        <v>264</v>
      </c>
      <c r="B268" s="10">
        <f>IFERROR(INDEX('2_暦'!$A$7:$A$433,MATCH(A268,'2_暦'!$K$7:$K$433,0)),"")</f>
        <v/>
      </c>
      <c r="C268" s="11">
        <f>IF(OR($A268=1,$B268=""),"",IF(OR(YEAR($B268-1)=$B$2,YEAR(INDEX($B$5:$B$344,$A268-1)+1)=$B$2),$B268-INDEX($B$5:$B$344,$A268-1)-1,""))</f>
        <v/>
      </c>
      <c r="D268" s="11">
        <f>IF(OR($A268=1,$B268="",$A268+D$3&gt;340),"",IF(INDEX($B$5:$B$344,$A268+D$3)="","",IF(AND(YEAR($B268)=$B$2,YEAR(INDEX($B$5:$B$344,$A268+D$3-1))=$B$2),INDEX($B$5:$B$344,$A268+D$3)-INDEX($B$5:$B$344,$A268-1)-1,"")))</f>
        <v/>
      </c>
      <c r="E268" s="11">
        <f>IF(OR($A268=1,$B268="",$A268+E$3&gt;340),"",IF(INDEX($B$5:$B$344,$A268+E$3)="","",IF(AND(YEAR($B268)=$B$2,YEAR(INDEX($B$5:$B$344,$A268+E$3-1))=$B$2),INDEX($B$5:$B$344,$A268+E$3)-INDEX($B$5:$B$344,$A268-1)-1,"")))</f>
        <v/>
      </c>
      <c r="F268" s="11">
        <f>IF(OR($A268=1,$B268="",$A268+F$3&gt;340),"",IF(INDEX($B$5:$B$344,$A268+F$3)="","",IF(AND(YEAR($B268)=$B$2,YEAR(INDEX($B$5:$B$344,$A268+F$3-1))=$B$2),INDEX($B$5:$B$344,$A268+F$3)-INDEX($B$5:$B$344,$A268-1)-1,"")))</f>
        <v/>
      </c>
      <c r="G268" s="11">
        <f>IF(OR($A268=1,$B268="",$A268+G$3&gt;340),"",IF(INDEX($B$5:$B$344,$A268+G$3)="","",IF(AND(YEAR($B268)=$B$2,YEAR(INDEX($B$5:$B$344,$A268+G$3-1))=$B$2),INDEX($B$5:$B$344,$A268+G$3)-INDEX($B$5:$B$344,$A268-1)-1,"")))</f>
        <v/>
      </c>
      <c r="H268" s="11">
        <f>IF(OR($A268=1,$B268="",$A268+H$3&gt;340),"",IF(INDEX($B$5:$B$344,$A268+H$3)="","",IF(AND(YEAR($B268)=$B$2,YEAR(INDEX($B$5:$B$344,$A268+H$3-1))=$B$2),INDEX($B$5:$B$344,$A268+H$3)-INDEX($B$5:$B$344,$A268-1)-1,"")))</f>
        <v/>
      </c>
      <c r="I268" s="11">
        <f>IF(OR($A268=1,$B268="",$A268+I$3&gt;340),"",IF(INDEX($B$5:$B$344,$A268+I$3)="","",IF(AND(YEAR($B268)=$B$2,YEAR(INDEX($B$5:$B$344,$A268+I$3-1))=$B$2),INDEX($B$5:$B$344,$A268+I$3)-INDEX($B$5:$B$344,$A268-1)-1,"")))</f>
        <v/>
      </c>
      <c r="J268" s="11">
        <f>IF(OR($A268=1,$B268="",$A268+J$3&gt;340),"",IF(INDEX($B$5:$B$344,$A268+J$3)="","",IF(AND(YEAR($B268)=$B$2,YEAR(INDEX($B$5:$B$344,$A268+J$3-1))=$B$2),INDEX($B$5:$B$344,$A268+J$3)-INDEX($B$5:$B$344,$A268-1)-1,"")))</f>
        <v/>
      </c>
      <c r="K268" s="11">
        <f>IF(OR($A268=1,$B268="",$A268+K$3&gt;340),"",IF(INDEX($B$5:$B$344,$A268+K$3)="","",IF(AND(YEAR($B268)=$B$2,YEAR(INDEX($B$5:$B$344,$A268+K$3-1))=$B$2),INDEX($B$5:$B$344,$A268+K$3)-INDEX($B$5:$B$344,$A268-1)-1,"")))</f>
        <v/>
      </c>
      <c r="L268" s="11">
        <f>IF(OR($A268=1,$B268="",$A268+L$3&gt;340),"",IF(INDEX($B$5:$B$344,$A268+L$3)="","",IF(AND(YEAR($B268)=$B$2,YEAR(INDEX($B$5:$B$344,$A268+L$3-1))=$B$2),INDEX($B$5:$B$344,$A268+L$3)-INDEX($B$5:$B$344,$A268-1)-1,"")))</f>
        <v/>
      </c>
      <c r="M268" s="11">
        <f>IF(OR($A268=1,$B268="",$A268+M$3&gt;340),"",IF(INDEX($B$5:$B$344,$A268+M$3)="","",IF(AND(YEAR($B268)=$B$2,YEAR(INDEX($B$5:$B$344,$A268+M$3-1))=$B$2),INDEX($B$5:$B$344,$A268+M$3)-INDEX($B$5:$B$344,$A268-1)-1,"")))</f>
        <v/>
      </c>
    </row>
    <row r="269">
      <c r="A269" s="11" t="n">
        <v>265</v>
      </c>
      <c r="B269" s="10">
        <f>IFERROR(INDEX('2_暦'!$A$7:$A$433,MATCH(A269,'2_暦'!$K$7:$K$433,0)),"")</f>
        <v/>
      </c>
      <c r="C269" s="11">
        <f>IF(OR($A269=1,$B269=""),"",IF(OR(YEAR($B269-1)=$B$2,YEAR(INDEX($B$5:$B$344,$A269-1)+1)=$B$2),$B269-INDEX($B$5:$B$344,$A269-1)-1,""))</f>
        <v/>
      </c>
      <c r="D269" s="11">
        <f>IF(OR($A269=1,$B269="",$A269+D$3&gt;340),"",IF(INDEX($B$5:$B$344,$A269+D$3)="","",IF(AND(YEAR($B269)=$B$2,YEAR(INDEX($B$5:$B$344,$A269+D$3-1))=$B$2),INDEX($B$5:$B$344,$A269+D$3)-INDEX($B$5:$B$344,$A269-1)-1,"")))</f>
        <v/>
      </c>
      <c r="E269" s="11">
        <f>IF(OR($A269=1,$B269="",$A269+E$3&gt;340),"",IF(INDEX($B$5:$B$344,$A269+E$3)="","",IF(AND(YEAR($B269)=$B$2,YEAR(INDEX($B$5:$B$344,$A269+E$3-1))=$B$2),INDEX($B$5:$B$344,$A269+E$3)-INDEX($B$5:$B$344,$A269-1)-1,"")))</f>
        <v/>
      </c>
      <c r="F269" s="11">
        <f>IF(OR($A269=1,$B269="",$A269+F$3&gt;340),"",IF(INDEX($B$5:$B$344,$A269+F$3)="","",IF(AND(YEAR($B269)=$B$2,YEAR(INDEX($B$5:$B$344,$A269+F$3-1))=$B$2),INDEX($B$5:$B$344,$A269+F$3)-INDEX($B$5:$B$344,$A269-1)-1,"")))</f>
        <v/>
      </c>
      <c r="G269" s="11">
        <f>IF(OR($A269=1,$B269="",$A269+G$3&gt;340),"",IF(INDEX($B$5:$B$344,$A269+G$3)="","",IF(AND(YEAR($B269)=$B$2,YEAR(INDEX($B$5:$B$344,$A269+G$3-1))=$B$2),INDEX($B$5:$B$344,$A269+G$3)-INDEX($B$5:$B$344,$A269-1)-1,"")))</f>
        <v/>
      </c>
      <c r="H269" s="11">
        <f>IF(OR($A269=1,$B269="",$A269+H$3&gt;340),"",IF(INDEX($B$5:$B$344,$A269+H$3)="","",IF(AND(YEAR($B269)=$B$2,YEAR(INDEX($B$5:$B$344,$A269+H$3-1))=$B$2),INDEX($B$5:$B$344,$A269+H$3)-INDEX($B$5:$B$344,$A269-1)-1,"")))</f>
        <v/>
      </c>
      <c r="I269" s="11">
        <f>IF(OR($A269=1,$B269="",$A269+I$3&gt;340),"",IF(INDEX($B$5:$B$344,$A269+I$3)="","",IF(AND(YEAR($B269)=$B$2,YEAR(INDEX($B$5:$B$344,$A269+I$3-1))=$B$2),INDEX($B$5:$B$344,$A269+I$3)-INDEX($B$5:$B$344,$A269-1)-1,"")))</f>
        <v/>
      </c>
      <c r="J269" s="11">
        <f>IF(OR($A269=1,$B269="",$A269+J$3&gt;340),"",IF(INDEX($B$5:$B$344,$A269+J$3)="","",IF(AND(YEAR($B269)=$B$2,YEAR(INDEX($B$5:$B$344,$A269+J$3-1))=$B$2),INDEX($B$5:$B$344,$A269+J$3)-INDEX($B$5:$B$344,$A269-1)-1,"")))</f>
        <v/>
      </c>
      <c r="K269" s="11">
        <f>IF(OR($A269=1,$B269="",$A269+K$3&gt;340),"",IF(INDEX($B$5:$B$344,$A269+K$3)="","",IF(AND(YEAR($B269)=$B$2,YEAR(INDEX($B$5:$B$344,$A269+K$3-1))=$B$2),INDEX($B$5:$B$344,$A269+K$3)-INDEX($B$5:$B$344,$A269-1)-1,"")))</f>
        <v/>
      </c>
      <c r="L269" s="11">
        <f>IF(OR($A269=1,$B269="",$A269+L$3&gt;340),"",IF(INDEX($B$5:$B$344,$A269+L$3)="","",IF(AND(YEAR($B269)=$B$2,YEAR(INDEX($B$5:$B$344,$A269+L$3-1))=$B$2),INDEX($B$5:$B$344,$A269+L$3)-INDEX($B$5:$B$344,$A269-1)-1,"")))</f>
        <v/>
      </c>
      <c r="M269" s="11">
        <f>IF(OR($A269=1,$B269="",$A269+M$3&gt;340),"",IF(INDEX($B$5:$B$344,$A269+M$3)="","",IF(AND(YEAR($B269)=$B$2,YEAR(INDEX($B$5:$B$344,$A269+M$3-1))=$B$2),INDEX($B$5:$B$344,$A269+M$3)-INDEX($B$5:$B$344,$A269-1)-1,"")))</f>
        <v/>
      </c>
    </row>
    <row r="270">
      <c r="A270" s="11" t="n">
        <v>266</v>
      </c>
      <c r="B270" s="10">
        <f>IFERROR(INDEX('2_暦'!$A$7:$A$433,MATCH(A270,'2_暦'!$K$7:$K$433,0)),"")</f>
        <v/>
      </c>
      <c r="C270" s="11">
        <f>IF(OR($A270=1,$B270=""),"",IF(OR(YEAR($B270-1)=$B$2,YEAR(INDEX($B$5:$B$344,$A270-1)+1)=$B$2),$B270-INDEX($B$5:$B$344,$A270-1)-1,""))</f>
        <v/>
      </c>
      <c r="D270" s="11">
        <f>IF(OR($A270=1,$B270="",$A270+D$3&gt;340),"",IF(INDEX($B$5:$B$344,$A270+D$3)="","",IF(AND(YEAR($B270)=$B$2,YEAR(INDEX($B$5:$B$344,$A270+D$3-1))=$B$2),INDEX($B$5:$B$344,$A270+D$3)-INDEX($B$5:$B$344,$A270-1)-1,"")))</f>
        <v/>
      </c>
      <c r="E270" s="11">
        <f>IF(OR($A270=1,$B270="",$A270+E$3&gt;340),"",IF(INDEX($B$5:$B$344,$A270+E$3)="","",IF(AND(YEAR($B270)=$B$2,YEAR(INDEX($B$5:$B$344,$A270+E$3-1))=$B$2),INDEX($B$5:$B$344,$A270+E$3)-INDEX($B$5:$B$344,$A270-1)-1,"")))</f>
        <v/>
      </c>
      <c r="F270" s="11">
        <f>IF(OR($A270=1,$B270="",$A270+F$3&gt;340),"",IF(INDEX($B$5:$B$344,$A270+F$3)="","",IF(AND(YEAR($B270)=$B$2,YEAR(INDEX($B$5:$B$344,$A270+F$3-1))=$B$2),INDEX($B$5:$B$344,$A270+F$3)-INDEX($B$5:$B$344,$A270-1)-1,"")))</f>
        <v/>
      </c>
      <c r="G270" s="11">
        <f>IF(OR($A270=1,$B270="",$A270+G$3&gt;340),"",IF(INDEX($B$5:$B$344,$A270+G$3)="","",IF(AND(YEAR($B270)=$B$2,YEAR(INDEX($B$5:$B$344,$A270+G$3-1))=$B$2),INDEX($B$5:$B$344,$A270+G$3)-INDEX($B$5:$B$344,$A270-1)-1,"")))</f>
        <v/>
      </c>
      <c r="H270" s="11">
        <f>IF(OR($A270=1,$B270="",$A270+H$3&gt;340),"",IF(INDEX($B$5:$B$344,$A270+H$3)="","",IF(AND(YEAR($B270)=$B$2,YEAR(INDEX($B$5:$B$344,$A270+H$3-1))=$B$2),INDEX($B$5:$B$344,$A270+H$3)-INDEX($B$5:$B$344,$A270-1)-1,"")))</f>
        <v/>
      </c>
      <c r="I270" s="11">
        <f>IF(OR($A270=1,$B270="",$A270+I$3&gt;340),"",IF(INDEX($B$5:$B$344,$A270+I$3)="","",IF(AND(YEAR($B270)=$B$2,YEAR(INDEX($B$5:$B$344,$A270+I$3-1))=$B$2),INDEX($B$5:$B$344,$A270+I$3)-INDEX($B$5:$B$344,$A270-1)-1,"")))</f>
        <v/>
      </c>
      <c r="J270" s="11">
        <f>IF(OR($A270=1,$B270="",$A270+J$3&gt;340),"",IF(INDEX($B$5:$B$344,$A270+J$3)="","",IF(AND(YEAR($B270)=$B$2,YEAR(INDEX($B$5:$B$344,$A270+J$3-1))=$B$2),INDEX($B$5:$B$344,$A270+J$3)-INDEX($B$5:$B$344,$A270-1)-1,"")))</f>
        <v/>
      </c>
      <c r="K270" s="11">
        <f>IF(OR($A270=1,$B270="",$A270+K$3&gt;340),"",IF(INDEX($B$5:$B$344,$A270+K$3)="","",IF(AND(YEAR($B270)=$B$2,YEAR(INDEX($B$5:$B$344,$A270+K$3-1))=$B$2),INDEX($B$5:$B$344,$A270+K$3)-INDEX($B$5:$B$344,$A270-1)-1,"")))</f>
        <v/>
      </c>
      <c r="L270" s="11">
        <f>IF(OR($A270=1,$B270="",$A270+L$3&gt;340),"",IF(INDEX($B$5:$B$344,$A270+L$3)="","",IF(AND(YEAR($B270)=$B$2,YEAR(INDEX($B$5:$B$344,$A270+L$3-1))=$B$2),INDEX($B$5:$B$344,$A270+L$3)-INDEX($B$5:$B$344,$A270-1)-1,"")))</f>
        <v/>
      </c>
      <c r="M270" s="11">
        <f>IF(OR($A270=1,$B270="",$A270+M$3&gt;340),"",IF(INDEX($B$5:$B$344,$A270+M$3)="","",IF(AND(YEAR($B270)=$B$2,YEAR(INDEX($B$5:$B$344,$A270+M$3-1))=$B$2),INDEX($B$5:$B$344,$A270+M$3)-INDEX($B$5:$B$344,$A270-1)-1,"")))</f>
        <v/>
      </c>
    </row>
    <row r="271">
      <c r="A271" s="11" t="n">
        <v>267</v>
      </c>
      <c r="B271" s="10">
        <f>IFERROR(INDEX('2_暦'!$A$7:$A$433,MATCH(A271,'2_暦'!$K$7:$K$433,0)),"")</f>
        <v/>
      </c>
      <c r="C271" s="11">
        <f>IF(OR($A271=1,$B271=""),"",IF(OR(YEAR($B271-1)=$B$2,YEAR(INDEX($B$5:$B$344,$A271-1)+1)=$B$2),$B271-INDEX($B$5:$B$344,$A271-1)-1,""))</f>
        <v/>
      </c>
      <c r="D271" s="11">
        <f>IF(OR($A271=1,$B271="",$A271+D$3&gt;340),"",IF(INDEX($B$5:$B$344,$A271+D$3)="","",IF(AND(YEAR($B271)=$B$2,YEAR(INDEX($B$5:$B$344,$A271+D$3-1))=$B$2),INDEX($B$5:$B$344,$A271+D$3)-INDEX($B$5:$B$344,$A271-1)-1,"")))</f>
        <v/>
      </c>
      <c r="E271" s="11">
        <f>IF(OR($A271=1,$B271="",$A271+E$3&gt;340),"",IF(INDEX($B$5:$B$344,$A271+E$3)="","",IF(AND(YEAR($B271)=$B$2,YEAR(INDEX($B$5:$B$344,$A271+E$3-1))=$B$2),INDEX($B$5:$B$344,$A271+E$3)-INDEX($B$5:$B$344,$A271-1)-1,"")))</f>
        <v/>
      </c>
      <c r="F271" s="11">
        <f>IF(OR($A271=1,$B271="",$A271+F$3&gt;340),"",IF(INDEX($B$5:$B$344,$A271+F$3)="","",IF(AND(YEAR($B271)=$B$2,YEAR(INDEX($B$5:$B$344,$A271+F$3-1))=$B$2),INDEX($B$5:$B$344,$A271+F$3)-INDEX($B$5:$B$344,$A271-1)-1,"")))</f>
        <v/>
      </c>
      <c r="G271" s="11">
        <f>IF(OR($A271=1,$B271="",$A271+G$3&gt;340),"",IF(INDEX($B$5:$B$344,$A271+G$3)="","",IF(AND(YEAR($B271)=$B$2,YEAR(INDEX($B$5:$B$344,$A271+G$3-1))=$B$2),INDEX($B$5:$B$344,$A271+G$3)-INDEX($B$5:$B$344,$A271-1)-1,"")))</f>
        <v/>
      </c>
      <c r="H271" s="11">
        <f>IF(OR($A271=1,$B271="",$A271+H$3&gt;340),"",IF(INDEX($B$5:$B$344,$A271+H$3)="","",IF(AND(YEAR($B271)=$B$2,YEAR(INDEX($B$5:$B$344,$A271+H$3-1))=$B$2),INDEX($B$5:$B$344,$A271+H$3)-INDEX($B$5:$B$344,$A271-1)-1,"")))</f>
        <v/>
      </c>
      <c r="I271" s="11">
        <f>IF(OR($A271=1,$B271="",$A271+I$3&gt;340),"",IF(INDEX($B$5:$B$344,$A271+I$3)="","",IF(AND(YEAR($B271)=$B$2,YEAR(INDEX($B$5:$B$344,$A271+I$3-1))=$B$2),INDEX($B$5:$B$344,$A271+I$3)-INDEX($B$5:$B$344,$A271-1)-1,"")))</f>
        <v/>
      </c>
      <c r="J271" s="11">
        <f>IF(OR($A271=1,$B271="",$A271+J$3&gt;340),"",IF(INDEX($B$5:$B$344,$A271+J$3)="","",IF(AND(YEAR($B271)=$B$2,YEAR(INDEX($B$5:$B$344,$A271+J$3-1))=$B$2),INDEX($B$5:$B$344,$A271+J$3)-INDEX($B$5:$B$344,$A271-1)-1,"")))</f>
        <v/>
      </c>
      <c r="K271" s="11">
        <f>IF(OR($A271=1,$B271="",$A271+K$3&gt;340),"",IF(INDEX($B$5:$B$344,$A271+K$3)="","",IF(AND(YEAR($B271)=$B$2,YEAR(INDEX($B$5:$B$344,$A271+K$3-1))=$B$2),INDEX($B$5:$B$344,$A271+K$3)-INDEX($B$5:$B$344,$A271-1)-1,"")))</f>
        <v/>
      </c>
      <c r="L271" s="11">
        <f>IF(OR($A271=1,$B271="",$A271+L$3&gt;340),"",IF(INDEX($B$5:$B$344,$A271+L$3)="","",IF(AND(YEAR($B271)=$B$2,YEAR(INDEX($B$5:$B$344,$A271+L$3-1))=$B$2),INDEX($B$5:$B$344,$A271+L$3)-INDEX($B$5:$B$344,$A271-1)-1,"")))</f>
        <v/>
      </c>
      <c r="M271" s="11">
        <f>IF(OR($A271=1,$B271="",$A271+M$3&gt;340),"",IF(INDEX($B$5:$B$344,$A271+M$3)="","",IF(AND(YEAR($B271)=$B$2,YEAR(INDEX($B$5:$B$344,$A271+M$3-1))=$B$2),INDEX($B$5:$B$344,$A271+M$3)-INDEX($B$5:$B$344,$A271-1)-1,"")))</f>
        <v/>
      </c>
    </row>
    <row r="272">
      <c r="A272" s="11" t="n">
        <v>268</v>
      </c>
      <c r="B272" s="10">
        <f>IFERROR(INDEX('2_暦'!$A$7:$A$433,MATCH(A272,'2_暦'!$K$7:$K$433,0)),"")</f>
        <v/>
      </c>
      <c r="C272" s="11">
        <f>IF(OR($A272=1,$B272=""),"",IF(OR(YEAR($B272-1)=$B$2,YEAR(INDEX($B$5:$B$344,$A272-1)+1)=$B$2),$B272-INDEX($B$5:$B$344,$A272-1)-1,""))</f>
        <v/>
      </c>
      <c r="D272" s="11">
        <f>IF(OR($A272=1,$B272="",$A272+D$3&gt;340),"",IF(INDEX($B$5:$B$344,$A272+D$3)="","",IF(AND(YEAR($B272)=$B$2,YEAR(INDEX($B$5:$B$344,$A272+D$3-1))=$B$2),INDEX($B$5:$B$344,$A272+D$3)-INDEX($B$5:$B$344,$A272-1)-1,"")))</f>
        <v/>
      </c>
      <c r="E272" s="11">
        <f>IF(OR($A272=1,$B272="",$A272+E$3&gt;340),"",IF(INDEX($B$5:$B$344,$A272+E$3)="","",IF(AND(YEAR($B272)=$B$2,YEAR(INDEX($B$5:$B$344,$A272+E$3-1))=$B$2),INDEX($B$5:$B$344,$A272+E$3)-INDEX($B$5:$B$344,$A272-1)-1,"")))</f>
        <v/>
      </c>
      <c r="F272" s="11">
        <f>IF(OR($A272=1,$B272="",$A272+F$3&gt;340),"",IF(INDEX($B$5:$B$344,$A272+F$3)="","",IF(AND(YEAR($B272)=$B$2,YEAR(INDEX($B$5:$B$344,$A272+F$3-1))=$B$2),INDEX($B$5:$B$344,$A272+F$3)-INDEX($B$5:$B$344,$A272-1)-1,"")))</f>
        <v/>
      </c>
      <c r="G272" s="11">
        <f>IF(OR($A272=1,$B272="",$A272+G$3&gt;340),"",IF(INDEX($B$5:$B$344,$A272+G$3)="","",IF(AND(YEAR($B272)=$B$2,YEAR(INDEX($B$5:$B$344,$A272+G$3-1))=$B$2),INDEX($B$5:$B$344,$A272+G$3)-INDEX($B$5:$B$344,$A272-1)-1,"")))</f>
        <v/>
      </c>
      <c r="H272" s="11">
        <f>IF(OR($A272=1,$B272="",$A272+H$3&gt;340),"",IF(INDEX($B$5:$B$344,$A272+H$3)="","",IF(AND(YEAR($B272)=$B$2,YEAR(INDEX($B$5:$B$344,$A272+H$3-1))=$B$2),INDEX($B$5:$B$344,$A272+H$3)-INDEX($B$5:$B$344,$A272-1)-1,"")))</f>
        <v/>
      </c>
      <c r="I272" s="11">
        <f>IF(OR($A272=1,$B272="",$A272+I$3&gt;340),"",IF(INDEX($B$5:$B$344,$A272+I$3)="","",IF(AND(YEAR($B272)=$B$2,YEAR(INDEX($B$5:$B$344,$A272+I$3-1))=$B$2),INDEX($B$5:$B$344,$A272+I$3)-INDEX($B$5:$B$344,$A272-1)-1,"")))</f>
        <v/>
      </c>
      <c r="J272" s="11">
        <f>IF(OR($A272=1,$B272="",$A272+J$3&gt;340),"",IF(INDEX($B$5:$B$344,$A272+J$3)="","",IF(AND(YEAR($B272)=$B$2,YEAR(INDEX($B$5:$B$344,$A272+J$3-1))=$B$2),INDEX($B$5:$B$344,$A272+J$3)-INDEX($B$5:$B$344,$A272-1)-1,"")))</f>
        <v/>
      </c>
      <c r="K272" s="11">
        <f>IF(OR($A272=1,$B272="",$A272+K$3&gt;340),"",IF(INDEX($B$5:$B$344,$A272+K$3)="","",IF(AND(YEAR($B272)=$B$2,YEAR(INDEX($B$5:$B$344,$A272+K$3-1))=$B$2),INDEX($B$5:$B$344,$A272+K$3)-INDEX($B$5:$B$344,$A272-1)-1,"")))</f>
        <v/>
      </c>
      <c r="L272" s="11">
        <f>IF(OR($A272=1,$B272="",$A272+L$3&gt;340),"",IF(INDEX($B$5:$B$344,$A272+L$3)="","",IF(AND(YEAR($B272)=$B$2,YEAR(INDEX($B$5:$B$344,$A272+L$3-1))=$B$2),INDEX($B$5:$B$344,$A272+L$3)-INDEX($B$5:$B$344,$A272-1)-1,"")))</f>
        <v/>
      </c>
      <c r="M272" s="11">
        <f>IF(OR($A272=1,$B272="",$A272+M$3&gt;340),"",IF(INDEX($B$5:$B$344,$A272+M$3)="","",IF(AND(YEAR($B272)=$B$2,YEAR(INDEX($B$5:$B$344,$A272+M$3-1))=$B$2),INDEX($B$5:$B$344,$A272+M$3)-INDEX($B$5:$B$344,$A272-1)-1,"")))</f>
        <v/>
      </c>
    </row>
    <row r="273">
      <c r="A273" s="11" t="n">
        <v>269</v>
      </c>
      <c r="B273" s="10">
        <f>IFERROR(INDEX('2_暦'!$A$7:$A$433,MATCH(A273,'2_暦'!$K$7:$K$433,0)),"")</f>
        <v/>
      </c>
      <c r="C273" s="11">
        <f>IF(OR($A273=1,$B273=""),"",IF(OR(YEAR($B273-1)=$B$2,YEAR(INDEX($B$5:$B$344,$A273-1)+1)=$B$2),$B273-INDEX($B$5:$B$344,$A273-1)-1,""))</f>
        <v/>
      </c>
      <c r="D273" s="11">
        <f>IF(OR($A273=1,$B273="",$A273+D$3&gt;340),"",IF(INDEX($B$5:$B$344,$A273+D$3)="","",IF(AND(YEAR($B273)=$B$2,YEAR(INDEX($B$5:$B$344,$A273+D$3-1))=$B$2),INDEX($B$5:$B$344,$A273+D$3)-INDEX($B$5:$B$344,$A273-1)-1,"")))</f>
        <v/>
      </c>
      <c r="E273" s="11">
        <f>IF(OR($A273=1,$B273="",$A273+E$3&gt;340),"",IF(INDEX($B$5:$B$344,$A273+E$3)="","",IF(AND(YEAR($B273)=$B$2,YEAR(INDEX($B$5:$B$344,$A273+E$3-1))=$B$2),INDEX($B$5:$B$344,$A273+E$3)-INDEX($B$5:$B$344,$A273-1)-1,"")))</f>
        <v/>
      </c>
      <c r="F273" s="11">
        <f>IF(OR($A273=1,$B273="",$A273+F$3&gt;340),"",IF(INDEX($B$5:$B$344,$A273+F$3)="","",IF(AND(YEAR($B273)=$B$2,YEAR(INDEX($B$5:$B$344,$A273+F$3-1))=$B$2),INDEX($B$5:$B$344,$A273+F$3)-INDEX($B$5:$B$344,$A273-1)-1,"")))</f>
        <v/>
      </c>
      <c r="G273" s="11">
        <f>IF(OR($A273=1,$B273="",$A273+G$3&gt;340),"",IF(INDEX($B$5:$B$344,$A273+G$3)="","",IF(AND(YEAR($B273)=$B$2,YEAR(INDEX($B$5:$B$344,$A273+G$3-1))=$B$2),INDEX($B$5:$B$344,$A273+G$3)-INDEX($B$5:$B$344,$A273-1)-1,"")))</f>
        <v/>
      </c>
      <c r="H273" s="11">
        <f>IF(OR($A273=1,$B273="",$A273+H$3&gt;340),"",IF(INDEX($B$5:$B$344,$A273+H$3)="","",IF(AND(YEAR($B273)=$B$2,YEAR(INDEX($B$5:$B$344,$A273+H$3-1))=$B$2),INDEX($B$5:$B$344,$A273+H$3)-INDEX($B$5:$B$344,$A273-1)-1,"")))</f>
        <v/>
      </c>
      <c r="I273" s="11">
        <f>IF(OR($A273=1,$B273="",$A273+I$3&gt;340),"",IF(INDEX($B$5:$B$344,$A273+I$3)="","",IF(AND(YEAR($B273)=$B$2,YEAR(INDEX($B$5:$B$344,$A273+I$3-1))=$B$2),INDEX($B$5:$B$344,$A273+I$3)-INDEX($B$5:$B$344,$A273-1)-1,"")))</f>
        <v/>
      </c>
      <c r="J273" s="11">
        <f>IF(OR($A273=1,$B273="",$A273+J$3&gt;340),"",IF(INDEX($B$5:$B$344,$A273+J$3)="","",IF(AND(YEAR($B273)=$B$2,YEAR(INDEX($B$5:$B$344,$A273+J$3-1))=$B$2),INDEX($B$5:$B$344,$A273+J$3)-INDEX($B$5:$B$344,$A273-1)-1,"")))</f>
        <v/>
      </c>
      <c r="K273" s="11">
        <f>IF(OR($A273=1,$B273="",$A273+K$3&gt;340),"",IF(INDEX($B$5:$B$344,$A273+K$3)="","",IF(AND(YEAR($B273)=$B$2,YEAR(INDEX($B$5:$B$344,$A273+K$3-1))=$B$2),INDEX($B$5:$B$344,$A273+K$3)-INDEX($B$5:$B$344,$A273-1)-1,"")))</f>
        <v/>
      </c>
      <c r="L273" s="11">
        <f>IF(OR($A273=1,$B273="",$A273+L$3&gt;340),"",IF(INDEX($B$5:$B$344,$A273+L$3)="","",IF(AND(YEAR($B273)=$B$2,YEAR(INDEX($B$5:$B$344,$A273+L$3-1))=$B$2),INDEX($B$5:$B$344,$A273+L$3)-INDEX($B$5:$B$344,$A273-1)-1,"")))</f>
        <v/>
      </c>
      <c r="M273" s="11">
        <f>IF(OR($A273=1,$B273="",$A273+M$3&gt;340),"",IF(INDEX($B$5:$B$344,$A273+M$3)="","",IF(AND(YEAR($B273)=$B$2,YEAR(INDEX($B$5:$B$344,$A273+M$3-1))=$B$2),INDEX($B$5:$B$344,$A273+M$3)-INDEX($B$5:$B$344,$A273-1)-1,"")))</f>
        <v/>
      </c>
    </row>
    <row r="274">
      <c r="A274" s="11" t="n">
        <v>270</v>
      </c>
      <c r="B274" s="10">
        <f>IFERROR(INDEX('2_暦'!$A$7:$A$433,MATCH(A274,'2_暦'!$K$7:$K$433,0)),"")</f>
        <v/>
      </c>
      <c r="C274" s="11">
        <f>IF(OR($A274=1,$B274=""),"",IF(OR(YEAR($B274-1)=$B$2,YEAR(INDEX($B$5:$B$344,$A274-1)+1)=$B$2),$B274-INDEX($B$5:$B$344,$A274-1)-1,""))</f>
        <v/>
      </c>
      <c r="D274" s="11">
        <f>IF(OR($A274=1,$B274="",$A274+D$3&gt;340),"",IF(INDEX($B$5:$B$344,$A274+D$3)="","",IF(AND(YEAR($B274)=$B$2,YEAR(INDEX($B$5:$B$344,$A274+D$3-1))=$B$2),INDEX($B$5:$B$344,$A274+D$3)-INDEX($B$5:$B$344,$A274-1)-1,"")))</f>
        <v/>
      </c>
      <c r="E274" s="11">
        <f>IF(OR($A274=1,$B274="",$A274+E$3&gt;340),"",IF(INDEX($B$5:$B$344,$A274+E$3)="","",IF(AND(YEAR($B274)=$B$2,YEAR(INDEX($B$5:$B$344,$A274+E$3-1))=$B$2),INDEX($B$5:$B$344,$A274+E$3)-INDEX($B$5:$B$344,$A274-1)-1,"")))</f>
        <v/>
      </c>
      <c r="F274" s="11">
        <f>IF(OR($A274=1,$B274="",$A274+F$3&gt;340),"",IF(INDEX($B$5:$B$344,$A274+F$3)="","",IF(AND(YEAR($B274)=$B$2,YEAR(INDEX($B$5:$B$344,$A274+F$3-1))=$B$2),INDEX($B$5:$B$344,$A274+F$3)-INDEX($B$5:$B$344,$A274-1)-1,"")))</f>
        <v/>
      </c>
      <c r="G274" s="11">
        <f>IF(OR($A274=1,$B274="",$A274+G$3&gt;340),"",IF(INDEX($B$5:$B$344,$A274+G$3)="","",IF(AND(YEAR($B274)=$B$2,YEAR(INDEX($B$5:$B$344,$A274+G$3-1))=$B$2),INDEX($B$5:$B$344,$A274+G$3)-INDEX($B$5:$B$344,$A274-1)-1,"")))</f>
        <v/>
      </c>
      <c r="H274" s="11">
        <f>IF(OR($A274=1,$B274="",$A274+H$3&gt;340),"",IF(INDEX($B$5:$B$344,$A274+H$3)="","",IF(AND(YEAR($B274)=$B$2,YEAR(INDEX($B$5:$B$344,$A274+H$3-1))=$B$2),INDEX($B$5:$B$344,$A274+H$3)-INDEX($B$5:$B$344,$A274-1)-1,"")))</f>
        <v/>
      </c>
      <c r="I274" s="11">
        <f>IF(OR($A274=1,$B274="",$A274+I$3&gt;340),"",IF(INDEX($B$5:$B$344,$A274+I$3)="","",IF(AND(YEAR($B274)=$B$2,YEAR(INDEX($B$5:$B$344,$A274+I$3-1))=$B$2),INDEX($B$5:$B$344,$A274+I$3)-INDEX($B$5:$B$344,$A274-1)-1,"")))</f>
        <v/>
      </c>
      <c r="J274" s="11">
        <f>IF(OR($A274=1,$B274="",$A274+J$3&gt;340),"",IF(INDEX($B$5:$B$344,$A274+J$3)="","",IF(AND(YEAR($B274)=$B$2,YEAR(INDEX($B$5:$B$344,$A274+J$3-1))=$B$2),INDEX($B$5:$B$344,$A274+J$3)-INDEX($B$5:$B$344,$A274-1)-1,"")))</f>
        <v/>
      </c>
      <c r="K274" s="11">
        <f>IF(OR($A274=1,$B274="",$A274+K$3&gt;340),"",IF(INDEX($B$5:$B$344,$A274+K$3)="","",IF(AND(YEAR($B274)=$B$2,YEAR(INDEX($B$5:$B$344,$A274+K$3-1))=$B$2),INDEX($B$5:$B$344,$A274+K$3)-INDEX($B$5:$B$344,$A274-1)-1,"")))</f>
        <v/>
      </c>
      <c r="L274" s="11">
        <f>IF(OR($A274=1,$B274="",$A274+L$3&gt;340),"",IF(INDEX($B$5:$B$344,$A274+L$3)="","",IF(AND(YEAR($B274)=$B$2,YEAR(INDEX($B$5:$B$344,$A274+L$3-1))=$B$2),INDEX($B$5:$B$344,$A274+L$3)-INDEX($B$5:$B$344,$A274-1)-1,"")))</f>
        <v/>
      </c>
      <c r="M274" s="11">
        <f>IF(OR($A274=1,$B274="",$A274+M$3&gt;340),"",IF(INDEX($B$5:$B$344,$A274+M$3)="","",IF(AND(YEAR($B274)=$B$2,YEAR(INDEX($B$5:$B$344,$A274+M$3-1))=$B$2),INDEX($B$5:$B$344,$A274+M$3)-INDEX($B$5:$B$344,$A274-1)-1,"")))</f>
        <v/>
      </c>
    </row>
    <row r="275">
      <c r="A275" s="11" t="n">
        <v>271</v>
      </c>
      <c r="B275" s="10">
        <f>IFERROR(INDEX('2_暦'!$A$7:$A$433,MATCH(A275,'2_暦'!$K$7:$K$433,0)),"")</f>
        <v/>
      </c>
      <c r="C275" s="11">
        <f>IF(OR($A275=1,$B275=""),"",IF(OR(YEAR($B275-1)=$B$2,YEAR(INDEX($B$5:$B$344,$A275-1)+1)=$B$2),$B275-INDEX($B$5:$B$344,$A275-1)-1,""))</f>
        <v/>
      </c>
      <c r="D275" s="11">
        <f>IF(OR($A275=1,$B275="",$A275+D$3&gt;340),"",IF(INDEX($B$5:$B$344,$A275+D$3)="","",IF(AND(YEAR($B275)=$B$2,YEAR(INDEX($B$5:$B$344,$A275+D$3-1))=$B$2),INDEX($B$5:$B$344,$A275+D$3)-INDEX($B$5:$B$344,$A275-1)-1,"")))</f>
        <v/>
      </c>
      <c r="E275" s="11">
        <f>IF(OR($A275=1,$B275="",$A275+E$3&gt;340),"",IF(INDEX($B$5:$B$344,$A275+E$3)="","",IF(AND(YEAR($B275)=$B$2,YEAR(INDEX($B$5:$B$344,$A275+E$3-1))=$B$2),INDEX($B$5:$B$344,$A275+E$3)-INDEX($B$5:$B$344,$A275-1)-1,"")))</f>
        <v/>
      </c>
      <c r="F275" s="11">
        <f>IF(OR($A275=1,$B275="",$A275+F$3&gt;340),"",IF(INDEX($B$5:$B$344,$A275+F$3)="","",IF(AND(YEAR($B275)=$B$2,YEAR(INDEX($B$5:$B$344,$A275+F$3-1))=$B$2),INDEX($B$5:$B$344,$A275+F$3)-INDEX($B$5:$B$344,$A275-1)-1,"")))</f>
        <v/>
      </c>
      <c r="G275" s="11">
        <f>IF(OR($A275=1,$B275="",$A275+G$3&gt;340),"",IF(INDEX($B$5:$B$344,$A275+G$3)="","",IF(AND(YEAR($B275)=$B$2,YEAR(INDEX($B$5:$B$344,$A275+G$3-1))=$B$2),INDEX($B$5:$B$344,$A275+G$3)-INDEX($B$5:$B$344,$A275-1)-1,"")))</f>
        <v/>
      </c>
      <c r="H275" s="11">
        <f>IF(OR($A275=1,$B275="",$A275+H$3&gt;340),"",IF(INDEX($B$5:$B$344,$A275+H$3)="","",IF(AND(YEAR($B275)=$B$2,YEAR(INDEX($B$5:$B$344,$A275+H$3-1))=$B$2),INDEX($B$5:$B$344,$A275+H$3)-INDEX($B$5:$B$344,$A275-1)-1,"")))</f>
        <v/>
      </c>
      <c r="I275" s="11">
        <f>IF(OR($A275=1,$B275="",$A275+I$3&gt;340),"",IF(INDEX($B$5:$B$344,$A275+I$3)="","",IF(AND(YEAR($B275)=$B$2,YEAR(INDEX($B$5:$B$344,$A275+I$3-1))=$B$2),INDEX($B$5:$B$344,$A275+I$3)-INDEX($B$5:$B$344,$A275-1)-1,"")))</f>
        <v/>
      </c>
      <c r="J275" s="11">
        <f>IF(OR($A275=1,$B275="",$A275+J$3&gt;340),"",IF(INDEX($B$5:$B$344,$A275+J$3)="","",IF(AND(YEAR($B275)=$B$2,YEAR(INDEX($B$5:$B$344,$A275+J$3-1))=$B$2),INDEX($B$5:$B$344,$A275+J$3)-INDEX($B$5:$B$344,$A275-1)-1,"")))</f>
        <v/>
      </c>
      <c r="K275" s="11">
        <f>IF(OR($A275=1,$B275="",$A275+K$3&gt;340),"",IF(INDEX($B$5:$B$344,$A275+K$3)="","",IF(AND(YEAR($B275)=$B$2,YEAR(INDEX($B$5:$B$344,$A275+K$3-1))=$B$2),INDEX($B$5:$B$344,$A275+K$3)-INDEX($B$5:$B$344,$A275-1)-1,"")))</f>
        <v/>
      </c>
      <c r="L275" s="11">
        <f>IF(OR($A275=1,$B275="",$A275+L$3&gt;340),"",IF(INDEX($B$5:$B$344,$A275+L$3)="","",IF(AND(YEAR($B275)=$B$2,YEAR(INDEX($B$5:$B$344,$A275+L$3-1))=$B$2),INDEX($B$5:$B$344,$A275+L$3)-INDEX($B$5:$B$344,$A275-1)-1,"")))</f>
        <v/>
      </c>
      <c r="M275" s="11">
        <f>IF(OR($A275=1,$B275="",$A275+M$3&gt;340),"",IF(INDEX($B$5:$B$344,$A275+M$3)="","",IF(AND(YEAR($B275)=$B$2,YEAR(INDEX($B$5:$B$344,$A275+M$3-1))=$B$2),INDEX($B$5:$B$344,$A275+M$3)-INDEX($B$5:$B$344,$A275-1)-1,"")))</f>
        <v/>
      </c>
    </row>
    <row r="276">
      <c r="A276" s="11" t="n">
        <v>272</v>
      </c>
      <c r="B276" s="10">
        <f>IFERROR(INDEX('2_暦'!$A$7:$A$433,MATCH(A276,'2_暦'!$K$7:$K$433,0)),"")</f>
        <v/>
      </c>
      <c r="C276" s="11">
        <f>IF(OR($A276=1,$B276=""),"",IF(OR(YEAR($B276-1)=$B$2,YEAR(INDEX($B$5:$B$344,$A276-1)+1)=$B$2),$B276-INDEX($B$5:$B$344,$A276-1)-1,""))</f>
        <v/>
      </c>
      <c r="D276" s="11">
        <f>IF(OR($A276=1,$B276="",$A276+D$3&gt;340),"",IF(INDEX($B$5:$B$344,$A276+D$3)="","",IF(AND(YEAR($B276)=$B$2,YEAR(INDEX($B$5:$B$344,$A276+D$3-1))=$B$2),INDEX($B$5:$B$344,$A276+D$3)-INDEX($B$5:$B$344,$A276-1)-1,"")))</f>
        <v/>
      </c>
      <c r="E276" s="11">
        <f>IF(OR($A276=1,$B276="",$A276+E$3&gt;340),"",IF(INDEX($B$5:$B$344,$A276+E$3)="","",IF(AND(YEAR($B276)=$B$2,YEAR(INDEX($B$5:$B$344,$A276+E$3-1))=$B$2),INDEX($B$5:$B$344,$A276+E$3)-INDEX($B$5:$B$344,$A276-1)-1,"")))</f>
        <v/>
      </c>
      <c r="F276" s="11">
        <f>IF(OR($A276=1,$B276="",$A276+F$3&gt;340),"",IF(INDEX($B$5:$B$344,$A276+F$3)="","",IF(AND(YEAR($B276)=$B$2,YEAR(INDEX($B$5:$B$344,$A276+F$3-1))=$B$2),INDEX($B$5:$B$344,$A276+F$3)-INDEX($B$5:$B$344,$A276-1)-1,"")))</f>
        <v/>
      </c>
      <c r="G276" s="11">
        <f>IF(OR($A276=1,$B276="",$A276+G$3&gt;340),"",IF(INDEX($B$5:$B$344,$A276+G$3)="","",IF(AND(YEAR($B276)=$B$2,YEAR(INDEX($B$5:$B$344,$A276+G$3-1))=$B$2),INDEX($B$5:$B$344,$A276+G$3)-INDEX($B$5:$B$344,$A276-1)-1,"")))</f>
        <v/>
      </c>
      <c r="H276" s="11">
        <f>IF(OR($A276=1,$B276="",$A276+H$3&gt;340),"",IF(INDEX($B$5:$B$344,$A276+H$3)="","",IF(AND(YEAR($B276)=$B$2,YEAR(INDEX($B$5:$B$344,$A276+H$3-1))=$B$2),INDEX($B$5:$B$344,$A276+H$3)-INDEX($B$5:$B$344,$A276-1)-1,"")))</f>
        <v/>
      </c>
      <c r="I276" s="11">
        <f>IF(OR($A276=1,$B276="",$A276+I$3&gt;340),"",IF(INDEX($B$5:$B$344,$A276+I$3)="","",IF(AND(YEAR($B276)=$B$2,YEAR(INDEX($B$5:$B$344,$A276+I$3-1))=$B$2),INDEX($B$5:$B$344,$A276+I$3)-INDEX($B$5:$B$344,$A276-1)-1,"")))</f>
        <v/>
      </c>
      <c r="J276" s="11">
        <f>IF(OR($A276=1,$B276="",$A276+J$3&gt;340),"",IF(INDEX($B$5:$B$344,$A276+J$3)="","",IF(AND(YEAR($B276)=$B$2,YEAR(INDEX($B$5:$B$344,$A276+J$3-1))=$B$2),INDEX($B$5:$B$344,$A276+J$3)-INDEX($B$5:$B$344,$A276-1)-1,"")))</f>
        <v/>
      </c>
      <c r="K276" s="11">
        <f>IF(OR($A276=1,$B276="",$A276+K$3&gt;340),"",IF(INDEX($B$5:$B$344,$A276+K$3)="","",IF(AND(YEAR($B276)=$B$2,YEAR(INDEX($B$5:$B$344,$A276+K$3-1))=$B$2),INDEX($B$5:$B$344,$A276+K$3)-INDEX($B$5:$B$344,$A276-1)-1,"")))</f>
        <v/>
      </c>
      <c r="L276" s="11">
        <f>IF(OR($A276=1,$B276="",$A276+L$3&gt;340),"",IF(INDEX($B$5:$B$344,$A276+L$3)="","",IF(AND(YEAR($B276)=$B$2,YEAR(INDEX($B$5:$B$344,$A276+L$3-1))=$B$2),INDEX($B$5:$B$344,$A276+L$3)-INDEX($B$5:$B$344,$A276-1)-1,"")))</f>
        <v/>
      </c>
      <c r="M276" s="11">
        <f>IF(OR($A276=1,$B276="",$A276+M$3&gt;340),"",IF(INDEX($B$5:$B$344,$A276+M$3)="","",IF(AND(YEAR($B276)=$B$2,YEAR(INDEX($B$5:$B$344,$A276+M$3-1))=$B$2),INDEX($B$5:$B$344,$A276+M$3)-INDEX($B$5:$B$344,$A276-1)-1,"")))</f>
        <v/>
      </c>
    </row>
    <row r="277">
      <c r="A277" s="11" t="n">
        <v>273</v>
      </c>
      <c r="B277" s="10">
        <f>IFERROR(INDEX('2_暦'!$A$7:$A$433,MATCH(A277,'2_暦'!$K$7:$K$433,0)),"")</f>
        <v/>
      </c>
      <c r="C277" s="11">
        <f>IF(OR($A277=1,$B277=""),"",IF(OR(YEAR($B277-1)=$B$2,YEAR(INDEX($B$5:$B$344,$A277-1)+1)=$B$2),$B277-INDEX($B$5:$B$344,$A277-1)-1,""))</f>
        <v/>
      </c>
      <c r="D277" s="11">
        <f>IF(OR($A277=1,$B277="",$A277+D$3&gt;340),"",IF(INDEX($B$5:$B$344,$A277+D$3)="","",IF(AND(YEAR($B277)=$B$2,YEAR(INDEX($B$5:$B$344,$A277+D$3-1))=$B$2),INDEX($B$5:$B$344,$A277+D$3)-INDEX($B$5:$B$344,$A277-1)-1,"")))</f>
        <v/>
      </c>
      <c r="E277" s="11">
        <f>IF(OR($A277=1,$B277="",$A277+E$3&gt;340),"",IF(INDEX($B$5:$B$344,$A277+E$3)="","",IF(AND(YEAR($B277)=$B$2,YEAR(INDEX($B$5:$B$344,$A277+E$3-1))=$B$2),INDEX($B$5:$B$344,$A277+E$3)-INDEX($B$5:$B$344,$A277-1)-1,"")))</f>
        <v/>
      </c>
      <c r="F277" s="11">
        <f>IF(OR($A277=1,$B277="",$A277+F$3&gt;340),"",IF(INDEX($B$5:$B$344,$A277+F$3)="","",IF(AND(YEAR($B277)=$B$2,YEAR(INDEX($B$5:$B$344,$A277+F$3-1))=$B$2),INDEX($B$5:$B$344,$A277+F$3)-INDEX($B$5:$B$344,$A277-1)-1,"")))</f>
        <v/>
      </c>
      <c r="G277" s="11">
        <f>IF(OR($A277=1,$B277="",$A277+G$3&gt;340),"",IF(INDEX($B$5:$B$344,$A277+G$3)="","",IF(AND(YEAR($B277)=$B$2,YEAR(INDEX($B$5:$B$344,$A277+G$3-1))=$B$2),INDEX($B$5:$B$344,$A277+G$3)-INDEX($B$5:$B$344,$A277-1)-1,"")))</f>
        <v/>
      </c>
      <c r="H277" s="11">
        <f>IF(OR($A277=1,$B277="",$A277+H$3&gt;340),"",IF(INDEX($B$5:$B$344,$A277+H$3)="","",IF(AND(YEAR($B277)=$B$2,YEAR(INDEX($B$5:$B$344,$A277+H$3-1))=$B$2),INDEX($B$5:$B$344,$A277+H$3)-INDEX($B$5:$B$344,$A277-1)-1,"")))</f>
        <v/>
      </c>
      <c r="I277" s="11">
        <f>IF(OR($A277=1,$B277="",$A277+I$3&gt;340),"",IF(INDEX($B$5:$B$344,$A277+I$3)="","",IF(AND(YEAR($B277)=$B$2,YEAR(INDEX($B$5:$B$344,$A277+I$3-1))=$B$2),INDEX($B$5:$B$344,$A277+I$3)-INDEX($B$5:$B$344,$A277-1)-1,"")))</f>
        <v/>
      </c>
      <c r="J277" s="11">
        <f>IF(OR($A277=1,$B277="",$A277+J$3&gt;340),"",IF(INDEX($B$5:$B$344,$A277+J$3)="","",IF(AND(YEAR($B277)=$B$2,YEAR(INDEX($B$5:$B$344,$A277+J$3-1))=$B$2),INDEX($B$5:$B$344,$A277+J$3)-INDEX($B$5:$B$344,$A277-1)-1,"")))</f>
        <v/>
      </c>
      <c r="K277" s="11">
        <f>IF(OR($A277=1,$B277="",$A277+K$3&gt;340),"",IF(INDEX($B$5:$B$344,$A277+K$3)="","",IF(AND(YEAR($B277)=$B$2,YEAR(INDEX($B$5:$B$344,$A277+K$3-1))=$B$2),INDEX($B$5:$B$344,$A277+K$3)-INDEX($B$5:$B$344,$A277-1)-1,"")))</f>
        <v/>
      </c>
      <c r="L277" s="11">
        <f>IF(OR($A277=1,$B277="",$A277+L$3&gt;340),"",IF(INDEX($B$5:$B$344,$A277+L$3)="","",IF(AND(YEAR($B277)=$B$2,YEAR(INDEX($B$5:$B$344,$A277+L$3-1))=$B$2),INDEX($B$5:$B$344,$A277+L$3)-INDEX($B$5:$B$344,$A277-1)-1,"")))</f>
        <v/>
      </c>
      <c r="M277" s="11">
        <f>IF(OR($A277=1,$B277="",$A277+M$3&gt;340),"",IF(INDEX($B$5:$B$344,$A277+M$3)="","",IF(AND(YEAR($B277)=$B$2,YEAR(INDEX($B$5:$B$344,$A277+M$3-1))=$B$2),INDEX($B$5:$B$344,$A277+M$3)-INDEX($B$5:$B$344,$A277-1)-1,"")))</f>
        <v/>
      </c>
    </row>
    <row r="278">
      <c r="A278" s="11" t="n">
        <v>274</v>
      </c>
      <c r="B278" s="10">
        <f>IFERROR(INDEX('2_暦'!$A$7:$A$433,MATCH(A278,'2_暦'!$K$7:$K$433,0)),"")</f>
        <v/>
      </c>
      <c r="C278" s="11">
        <f>IF(OR($A278=1,$B278=""),"",IF(OR(YEAR($B278-1)=$B$2,YEAR(INDEX($B$5:$B$344,$A278-1)+1)=$B$2),$B278-INDEX($B$5:$B$344,$A278-1)-1,""))</f>
        <v/>
      </c>
      <c r="D278" s="11">
        <f>IF(OR($A278=1,$B278="",$A278+D$3&gt;340),"",IF(INDEX($B$5:$B$344,$A278+D$3)="","",IF(AND(YEAR($B278)=$B$2,YEAR(INDEX($B$5:$B$344,$A278+D$3-1))=$B$2),INDEX($B$5:$B$344,$A278+D$3)-INDEX($B$5:$B$344,$A278-1)-1,"")))</f>
        <v/>
      </c>
      <c r="E278" s="11">
        <f>IF(OR($A278=1,$B278="",$A278+E$3&gt;340),"",IF(INDEX($B$5:$B$344,$A278+E$3)="","",IF(AND(YEAR($B278)=$B$2,YEAR(INDEX($B$5:$B$344,$A278+E$3-1))=$B$2),INDEX($B$5:$B$344,$A278+E$3)-INDEX($B$5:$B$344,$A278-1)-1,"")))</f>
        <v/>
      </c>
      <c r="F278" s="11">
        <f>IF(OR($A278=1,$B278="",$A278+F$3&gt;340),"",IF(INDEX($B$5:$B$344,$A278+F$3)="","",IF(AND(YEAR($B278)=$B$2,YEAR(INDEX($B$5:$B$344,$A278+F$3-1))=$B$2),INDEX($B$5:$B$344,$A278+F$3)-INDEX($B$5:$B$344,$A278-1)-1,"")))</f>
        <v/>
      </c>
      <c r="G278" s="11">
        <f>IF(OR($A278=1,$B278="",$A278+G$3&gt;340),"",IF(INDEX($B$5:$B$344,$A278+G$3)="","",IF(AND(YEAR($B278)=$B$2,YEAR(INDEX($B$5:$B$344,$A278+G$3-1))=$B$2),INDEX($B$5:$B$344,$A278+G$3)-INDEX($B$5:$B$344,$A278-1)-1,"")))</f>
        <v/>
      </c>
      <c r="H278" s="11">
        <f>IF(OR($A278=1,$B278="",$A278+H$3&gt;340),"",IF(INDEX($B$5:$B$344,$A278+H$3)="","",IF(AND(YEAR($B278)=$B$2,YEAR(INDEX($B$5:$B$344,$A278+H$3-1))=$B$2),INDEX($B$5:$B$344,$A278+H$3)-INDEX($B$5:$B$344,$A278-1)-1,"")))</f>
        <v/>
      </c>
      <c r="I278" s="11">
        <f>IF(OR($A278=1,$B278="",$A278+I$3&gt;340),"",IF(INDEX($B$5:$B$344,$A278+I$3)="","",IF(AND(YEAR($B278)=$B$2,YEAR(INDEX($B$5:$B$344,$A278+I$3-1))=$B$2),INDEX($B$5:$B$344,$A278+I$3)-INDEX($B$5:$B$344,$A278-1)-1,"")))</f>
        <v/>
      </c>
      <c r="J278" s="11">
        <f>IF(OR($A278=1,$B278="",$A278+J$3&gt;340),"",IF(INDEX($B$5:$B$344,$A278+J$3)="","",IF(AND(YEAR($B278)=$B$2,YEAR(INDEX($B$5:$B$344,$A278+J$3-1))=$B$2),INDEX($B$5:$B$344,$A278+J$3)-INDEX($B$5:$B$344,$A278-1)-1,"")))</f>
        <v/>
      </c>
      <c r="K278" s="11">
        <f>IF(OR($A278=1,$B278="",$A278+K$3&gt;340),"",IF(INDEX($B$5:$B$344,$A278+K$3)="","",IF(AND(YEAR($B278)=$B$2,YEAR(INDEX($B$5:$B$344,$A278+K$3-1))=$B$2),INDEX($B$5:$B$344,$A278+K$3)-INDEX($B$5:$B$344,$A278-1)-1,"")))</f>
        <v/>
      </c>
      <c r="L278" s="11">
        <f>IF(OR($A278=1,$B278="",$A278+L$3&gt;340),"",IF(INDEX($B$5:$B$344,$A278+L$3)="","",IF(AND(YEAR($B278)=$B$2,YEAR(INDEX($B$5:$B$344,$A278+L$3-1))=$B$2),INDEX($B$5:$B$344,$A278+L$3)-INDEX($B$5:$B$344,$A278-1)-1,"")))</f>
        <v/>
      </c>
      <c r="M278" s="11">
        <f>IF(OR($A278=1,$B278="",$A278+M$3&gt;340),"",IF(INDEX($B$5:$B$344,$A278+M$3)="","",IF(AND(YEAR($B278)=$B$2,YEAR(INDEX($B$5:$B$344,$A278+M$3-1))=$B$2),INDEX($B$5:$B$344,$A278+M$3)-INDEX($B$5:$B$344,$A278-1)-1,"")))</f>
        <v/>
      </c>
    </row>
    <row r="279">
      <c r="A279" s="11" t="n">
        <v>275</v>
      </c>
      <c r="B279" s="10">
        <f>IFERROR(INDEX('2_暦'!$A$7:$A$433,MATCH(A279,'2_暦'!$K$7:$K$433,0)),"")</f>
        <v/>
      </c>
      <c r="C279" s="11">
        <f>IF(OR($A279=1,$B279=""),"",IF(OR(YEAR($B279-1)=$B$2,YEAR(INDEX($B$5:$B$344,$A279-1)+1)=$B$2),$B279-INDEX($B$5:$B$344,$A279-1)-1,""))</f>
        <v/>
      </c>
      <c r="D279" s="11">
        <f>IF(OR($A279=1,$B279="",$A279+D$3&gt;340),"",IF(INDEX($B$5:$B$344,$A279+D$3)="","",IF(AND(YEAR($B279)=$B$2,YEAR(INDEX($B$5:$B$344,$A279+D$3-1))=$B$2),INDEX($B$5:$B$344,$A279+D$3)-INDEX($B$5:$B$344,$A279-1)-1,"")))</f>
        <v/>
      </c>
      <c r="E279" s="11">
        <f>IF(OR($A279=1,$B279="",$A279+E$3&gt;340),"",IF(INDEX($B$5:$B$344,$A279+E$3)="","",IF(AND(YEAR($B279)=$B$2,YEAR(INDEX($B$5:$B$344,$A279+E$3-1))=$B$2),INDEX($B$5:$B$344,$A279+E$3)-INDEX($B$5:$B$344,$A279-1)-1,"")))</f>
        <v/>
      </c>
      <c r="F279" s="11">
        <f>IF(OR($A279=1,$B279="",$A279+F$3&gt;340),"",IF(INDEX($B$5:$B$344,$A279+F$3)="","",IF(AND(YEAR($B279)=$B$2,YEAR(INDEX($B$5:$B$344,$A279+F$3-1))=$B$2),INDEX($B$5:$B$344,$A279+F$3)-INDEX($B$5:$B$344,$A279-1)-1,"")))</f>
        <v/>
      </c>
      <c r="G279" s="11">
        <f>IF(OR($A279=1,$B279="",$A279+G$3&gt;340),"",IF(INDEX($B$5:$B$344,$A279+G$3)="","",IF(AND(YEAR($B279)=$B$2,YEAR(INDEX($B$5:$B$344,$A279+G$3-1))=$B$2),INDEX($B$5:$B$344,$A279+G$3)-INDEX($B$5:$B$344,$A279-1)-1,"")))</f>
        <v/>
      </c>
      <c r="H279" s="11">
        <f>IF(OR($A279=1,$B279="",$A279+H$3&gt;340),"",IF(INDEX($B$5:$B$344,$A279+H$3)="","",IF(AND(YEAR($B279)=$B$2,YEAR(INDEX($B$5:$B$344,$A279+H$3-1))=$B$2),INDEX($B$5:$B$344,$A279+H$3)-INDEX($B$5:$B$344,$A279-1)-1,"")))</f>
        <v/>
      </c>
      <c r="I279" s="11">
        <f>IF(OR($A279=1,$B279="",$A279+I$3&gt;340),"",IF(INDEX($B$5:$B$344,$A279+I$3)="","",IF(AND(YEAR($B279)=$B$2,YEAR(INDEX($B$5:$B$344,$A279+I$3-1))=$B$2),INDEX($B$5:$B$344,$A279+I$3)-INDEX($B$5:$B$344,$A279-1)-1,"")))</f>
        <v/>
      </c>
      <c r="J279" s="11">
        <f>IF(OR($A279=1,$B279="",$A279+J$3&gt;340),"",IF(INDEX($B$5:$B$344,$A279+J$3)="","",IF(AND(YEAR($B279)=$B$2,YEAR(INDEX($B$5:$B$344,$A279+J$3-1))=$B$2),INDEX($B$5:$B$344,$A279+J$3)-INDEX($B$5:$B$344,$A279-1)-1,"")))</f>
        <v/>
      </c>
      <c r="K279" s="11">
        <f>IF(OR($A279=1,$B279="",$A279+K$3&gt;340),"",IF(INDEX($B$5:$B$344,$A279+K$3)="","",IF(AND(YEAR($B279)=$B$2,YEAR(INDEX($B$5:$B$344,$A279+K$3-1))=$B$2),INDEX($B$5:$B$344,$A279+K$3)-INDEX($B$5:$B$344,$A279-1)-1,"")))</f>
        <v/>
      </c>
      <c r="L279" s="11">
        <f>IF(OR($A279=1,$B279="",$A279+L$3&gt;340),"",IF(INDEX($B$5:$B$344,$A279+L$3)="","",IF(AND(YEAR($B279)=$B$2,YEAR(INDEX($B$5:$B$344,$A279+L$3-1))=$B$2),INDEX($B$5:$B$344,$A279+L$3)-INDEX($B$5:$B$344,$A279-1)-1,"")))</f>
        <v/>
      </c>
      <c r="M279" s="11">
        <f>IF(OR($A279=1,$B279="",$A279+M$3&gt;340),"",IF(INDEX($B$5:$B$344,$A279+M$3)="","",IF(AND(YEAR($B279)=$B$2,YEAR(INDEX($B$5:$B$344,$A279+M$3-1))=$B$2),INDEX($B$5:$B$344,$A279+M$3)-INDEX($B$5:$B$344,$A279-1)-1,"")))</f>
        <v/>
      </c>
    </row>
    <row r="280">
      <c r="A280" s="11" t="n">
        <v>276</v>
      </c>
      <c r="B280" s="10">
        <f>IFERROR(INDEX('2_暦'!$A$7:$A$433,MATCH(A280,'2_暦'!$K$7:$K$433,0)),"")</f>
        <v/>
      </c>
      <c r="C280" s="11">
        <f>IF(OR($A280=1,$B280=""),"",IF(OR(YEAR($B280-1)=$B$2,YEAR(INDEX($B$5:$B$344,$A280-1)+1)=$B$2),$B280-INDEX($B$5:$B$344,$A280-1)-1,""))</f>
        <v/>
      </c>
      <c r="D280" s="11">
        <f>IF(OR($A280=1,$B280="",$A280+D$3&gt;340),"",IF(INDEX($B$5:$B$344,$A280+D$3)="","",IF(AND(YEAR($B280)=$B$2,YEAR(INDEX($B$5:$B$344,$A280+D$3-1))=$B$2),INDEX($B$5:$B$344,$A280+D$3)-INDEX($B$5:$B$344,$A280-1)-1,"")))</f>
        <v/>
      </c>
      <c r="E280" s="11">
        <f>IF(OR($A280=1,$B280="",$A280+E$3&gt;340),"",IF(INDEX($B$5:$B$344,$A280+E$3)="","",IF(AND(YEAR($B280)=$B$2,YEAR(INDEX($B$5:$B$344,$A280+E$3-1))=$B$2),INDEX($B$5:$B$344,$A280+E$3)-INDEX($B$5:$B$344,$A280-1)-1,"")))</f>
        <v/>
      </c>
      <c r="F280" s="11">
        <f>IF(OR($A280=1,$B280="",$A280+F$3&gt;340),"",IF(INDEX($B$5:$B$344,$A280+F$3)="","",IF(AND(YEAR($B280)=$B$2,YEAR(INDEX($B$5:$B$344,$A280+F$3-1))=$B$2),INDEX($B$5:$B$344,$A280+F$3)-INDEX($B$5:$B$344,$A280-1)-1,"")))</f>
        <v/>
      </c>
      <c r="G280" s="11">
        <f>IF(OR($A280=1,$B280="",$A280+G$3&gt;340),"",IF(INDEX($B$5:$B$344,$A280+G$3)="","",IF(AND(YEAR($B280)=$B$2,YEAR(INDEX($B$5:$B$344,$A280+G$3-1))=$B$2),INDEX($B$5:$B$344,$A280+G$3)-INDEX($B$5:$B$344,$A280-1)-1,"")))</f>
        <v/>
      </c>
      <c r="H280" s="11">
        <f>IF(OR($A280=1,$B280="",$A280+H$3&gt;340),"",IF(INDEX($B$5:$B$344,$A280+H$3)="","",IF(AND(YEAR($B280)=$B$2,YEAR(INDEX($B$5:$B$344,$A280+H$3-1))=$B$2),INDEX($B$5:$B$344,$A280+H$3)-INDEX($B$5:$B$344,$A280-1)-1,"")))</f>
        <v/>
      </c>
      <c r="I280" s="11">
        <f>IF(OR($A280=1,$B280="",$A280+I$3&gt;340),"",IF(INDEX($B$5:$B$344,$A280+I$3)="","",IF(AND(YEAR($B280)=$B$2,YEAR(INDEX($B$5:$B$344,$A280+I$3-1))=$B$2),INDEX($B$5:$B$344,$A280+I$3)-INDEX($B$5:$B$344,$A280-1)-1,"")))</f>
        <v/>
      </c>
      <c r="J280" s="11">
        <f>IF(OR($A280=1,$B280="",$A280+J$3&gt;340),"",IF(INDEX($B$5:$B$344,$A280+J$3)="","",IF(AND(YEAR($B280)=$B$2,YEAR(INDEX($B$5:$B$344,$A280+J$3-1))=$B$2),INDEX($B$5:$B$344,$A280+J$3)-INDEX($B$5:$B$344,$A280-1)-1,"")))</f>
        <v/>
      </c>
      <c r="K280" s="11">
        <f>IF(OR($A280=1,$B280="",$A280+K$3&gt;340),"",IF(INDEX($B$5:$B$344,$A280+K$3)="","",IF(AND(YEAR($B280)=$B$2,YEAR(INDEX($B$5:$B$344,$A280+K$3-1))=$B$2),INDEX($B$5:$B$344,$A280+K$3)-INDEX($B$5:$B$344,$A280-1)-1,"")))</f>
        <v/>
      </c>
      <c r="L280" s="11">
        <f>IF(OR($A280=1,$B280="",$A280+L$3&gt;340),"",IF(INDEX($B$5:$B$344,$A280+L$3)="","",IF(AND(YEAR($B280)=$B$2,YEAR(INDEX($B$5:$B$344,$A280+L$3-1))=$B$2),INDEX($B$5:$B$344,$A280+L$3)-INDEX($B$5:$B$344,$A280-1)-1,"")))</f>
        <v/>
      </c>
      <c r="M280" s="11">
        <f>IF(OR($A280=1,$B280="",$A280+M$3&gt;340),"",IF(INDEX($B$5:$B$344,$A280+M$3)="","",IF(AND(YEAR($B280)=$B$2,YEAR(INDEX($B$5:$B$344,$A280+M$3-1))=$B$2),INDEX($B$5:$B$344,$A280+M$3)-INDEX($B$5:$B$344,$A280-1)-1,"")))</f>
        <v/>
      </c>
    </row>
    <row r="281">
      <c r="A281" s="11" t="n">
        <v>277</v>
      </c>
      <c r="B281" s="10">
        <f>IFERROR(INDEX('2_暦'!$A$7:$A$433,MATCH(A281,'2_暦'!$K$7:$K$433,0)),"")</f>
        <v/>
      </c>
      <c r="C281" s="11">
        <f>IF(OR($A281=1,$B281=""),"",IF(OR(YEAR($B281-1)=$B$2,YEAR(INDEX($B$5:$B$344,$A281-1)+1)=$B$2),$B281-INDEX($B$5:$B$344,$A281-1)-1,""))</f>
        <v/>
      </c>
      <c r="D281" s="11">
        <f>IF(OR($A281=1,$B281="",$A281+D$3&gt;340),"",IF(INDEX($B$5:$B$344,$A281+D$3)="","",IF(AND(YEAR($B281)=$B$2,YEAR(INDEX($B$5:$B$344,$A281+D$3-1))=$B$2),INDEX($B$5:$B$344,$A281+D$3)-INDEX($B$5:$B$344,$A281-1)-1,"")))</f>
        <v/>
      </c>
      <c r="E281" s="11">
        <f>IF(OR($A281=1,$B281="",$A281+E$3&gt;340),"",IF(INDEX($B$5:$B$344,$A281+E$3)="","",IF(AND(YEAR($B281)=$B$2,YEAR(INDEX($B$5:$B$344,$A281+E$3-1))=$B$2),INDEX($B$5:$B$344,$A281+E$3)-INDEX($B$5:$B$344,$A281-1)-1,"")))</f>
        <v/>
      </c>
      <c r="F281" s="11">
        <f>IF(OR($A281=1,$B281="",$A281+F$3&gt;340),"",IF(INDEX($B$5:$B$344,$A281+F$3)="","",IF(AND(YEAR($B281)=$B$2,YEAR(INDEX($B$5:$B$344,$A281+F$3-1))=$B$2),INDEX($B$5:$B$344,$A281+F$3)-INDEX($B$5:$B$344,$A281-1)-1,"")))</f>
        <v/>
      </c>
      <c r="G281" s="11">
        <f>IF(OR($A281=1,$B281="",$A281+G$3&gt;340),"",IF(INDEX($B$5:$B$344,$A281+G$3)="","",IF(AND(YEAR($B281)=$B$2,YEAR(INDEX($B$5:$B$344,$A281+G$3-1))=$B$2),INDEX($B$5:$B$344,$A281+G$3)-INDEX($B$5:$B$344,$A281-1)-1,"")))</f>
        <v/>
      </c>
      <c r="H281" s="11">
        <f>IF(OR($A281=1,$B281="",$A281+H$3&gt;340),"",IF(INDEX($B$5:$B$344,$A281+H$3)="","",IF(AND(YEAR($B281)=$B$2,YEAR(INDEX($B$5:$B$344,$A281+H$3-1))=$B$2),INDEX($B$5:$B$344,$A281+H$3)-INDEX($B$5:$B$344,$A281-1)-1,"")))</f>
        <v/>
      </c>
      <c r="I281" s="11">
        <f>IF(OR($A281=1,$B281="",$A281+I$3&gt;340),"",IF(INDEX($B$5:$B$344,$A281+I$3)="","",IF(AND(YEAR($B281)=$B$2,YEAR(INDEX($B$5:$B$344,$A281+I$3-1))=$B$2),INDEX($B$5:$B$344,$A281+I$3)-INDEX($B$5:$B$344,$A281-1)-1,"")))</f>
        <v/>
      </c>
      <c r="J281" s="11">
        <f>IF(OR($A281=1,$B281="",$A281+J$3&gt;340),"",IF(INDEX($B$5:$B$344,$A281+J$3)="","",IF(AND(YEAR($B281)=$B$2,YEAR(INDEX($B$5:$B$344,$A281+J$3-1))=$B$2),INDEX($B$5:$B$344,$A281+J$3)-INDEX($B$5:$B$344,$A281-1)-1,"")))</f>
        <v/>
      </c>
      <c r="K281" s="11">
        <f>IF(OR($A281=1,$B281="",$A281+K$3&gt;340),"",IF(INDEX($B$5:$B$344,$A281+K$3)="","",IF(AND(YEAR($B281)=$B$2,YEAR(INDEX($B$5:$B$344,$A281+K$3-1))=$B$2),INDEX($B$5:$B$344,$A281+K$3)-INDEX($B$5:$B$344,$A281-1)-1,"")))</f>
        <v/>
      </c>
      <c r="L281" s="11">
        <f>IF(OR($A281=1,$B281="",$A281+L$3&gt;340),"",IF(INDEX($B$5:$B$344,$A281+L$3)="","",IF(AND(YEAR($B281)=$B$2,YEAR(INDEX($B$5:$B$344,$A281+L$3-1))=$B$2),INDEX($B$5:$B$344,$A281+L$3)-INDEX($B$5:$B$344,$A281-1)-1,"")))</f>
        <v/>
      </c>
      <c r="M281" s="11">
        <f>IF(OR($A281=1,$B281="",$A281+M$3&gt;340),"",IF(INDEX($B$5:$B$344,$A281+M$3)="","",IF(AND(YEAR($B281)=$B$2,YEAR(INDEX($B$5:$B$344,$A281+M$3-1))=$B$2),INDEX($B$5:$B$344,$A281+M$3)-INDEX($B$5:$B$344,$A281-1)-1,"")))</f>
        <v/>
      </c>
    </row>
    <row r="282">
      <c r="A282" s="11" t="n">
        <v>278</v>
      </c>
      <c r="B282" s="10">
        <f>IFERROR(INDEX('2_暦'!$A$7:$A$433,MATCH(A282,'2_暦'!$K$7:$K$433,0)),"")</f>
        <v/>
      </c>
      <c r="C282" s="11">
        <f>IF(OR($A282=1,$B282=""),"",IF(OR(YEAR($B282-1)=$B$2,YEAR(INDEX($B$5:$B$344,$A282-1)+1)=$B$2),$B282-INDEX($B$5:$B$344,$A282-1)-1,""))</f>
        <v/>
      </c>
      <c r="D282" s="11">
        <f>IF(OR($A282=1,$B282="",$A282+D$3&gt;340),"",IF(INDEX($B$5:$B$344,$A282+D$3)="","",IF(AND(YEAR($B282)=$B$2,YEAR(INDEX($B$5:$B$344,$A282+D$3-1))=$B$2),INDEX($B$5:$B$344,$A282+D$3)-INDEX($B$5:$B$344,$A282-1)-1,"")))</f>
        <v/>
      </c>
      <c r="E282" s="11">
        <f>IF(OR($A282=1,$B282="",$A282+E$3&gt;340),"",IF(INDEX($B$5:$B$344,$A282+E$3)="","",IF(AND(YEAR($B282)=$B$2,YEAR(INDEX($B$5:$B$344,$A282+E$3-1))=$B$2),INDEX($B$5:$B$344,$A282+E$3)-INDEX($B$5:$B$344,$A282-1)-1,"")))</f>
        <v/>
      </c>
      <c r="F282" s="11">
        <f>IF(OR($A282=1,$B282="",$A282+F$3&gt;340),"",IF(INDEX($B$5:$B$344,$A282+F$3)="","",IF(AND(YEAR($B282)=$B$2,YEAR(INDEX($B$5:$B$344,$A282+F$3-1))=$B$2),INDEX($B$5:$B$344,$A282+F$3)-INDEX($B$5:$B$344,$A282-1)-1,"")))</f>
        <v/>
      </c>
      <c r="G282" s="11">
        <f>IF(OR($A282=1,$B282="",$A282+G$3&gt;340),"",IF(INDEX($B$5:$B$344,$A282+G$3)="","",IF(AND(YEAR($B282)=$B$2,YEAR(INDEX($B$5:$B$344,$A282+G$3-1))=$B$2),INDEX($B$5:$B$344,$A282+G$3)-INDEX($B$5:$B$344,$A282-1)-1,"")))</f>
        <v/>
      </c>
      <c r="H282" s="11">
        <f>IF(OR($A282=1,$B282="",$A282+H$3&gt;340),"",IF(INDEX($B$5:$B$344,$A282+H$3)="","",IF(AND(YEAR($B282)=$B$2,YEAR(INDEX($B$5:$B$344,$A282+H$3-1))=$B$2),INDEX($B$5:$B$344,$A282+H$3)-INDEX($B$5:$B$344,$A282-1)-1,"")))</f>
        <v/>
      </c>
      <c r="I282" s="11">
        <f>IF(OR($A282=1,$B282="",$A282+I$3&gt;340),"",IF(INDEX($B$5:$B$344,$A282+I$3)="","",IF(AND(YEAR($B282)=$B$2,YEAR(INDEX($B$5:$B$344,$A282+I$3-1))=$B$2),INDEX($B$5:$B$344,$A282+I$3)-INDEX($B$5:$B$344,$A282-1)-1,"")))</f>
        <v/>
      </c>
      <c r="J282" s="11">
        <f>IF(OR($A282=1,$B282="",$A282+J$3&gt;340),"",IF(INDEX($B$5:$B$344,$A282+J$3)="","",IF(AND(YEAR($B282)=$B$2,YEAR(INDEX($B$5:$B$344,$A282+J$3-1))=$B$2),INDEX($B$5:$B$344,$A282+J$3)-INDEX($B$5:$B$344,$A282-1)-1,"")))</f>
        <v/>
      </c>
      <c r="K282" s="11">
        <f>IF(OR($A282=1,$B282="",$A282+K$3&gt;340),"",IF(INDEX($B$5:$B$344,$A282+K$3)="","",IF(AND(YEAR($B282)=$B$2,YEAR(INDEX($B$5:$B$344,$A282+K$3-1))=$B$2),INDEX($B$5:$B$344,$A282+K$3)-INDEX($B$5:$B$344,$A282-1)-1,"")))</f>
        <v/>
      </c>
      <c r="L282" s="11">
        <f>IF(OR($A282=1,$B282="",$A282+L$3&gt;340),"",IF(INDEX($B$5:$B$344,$A282+L$3)="","",IF(AND(YEAR($B282)=$B$2,YEAR(INDEX($B$5:$B$344,$A282+L$3-1))=$B$2),INDEX($B$5:$B$344,$A282+L$3)-INDEX($B$5:$B$344,$A282-1)-1,"")))</f>
        <v/>
      </c>
      <c r="M282" s="11">
        <f>IF(OR($A282=1,$B282="",$A282+M$3&gt;340),"",IF(INDEX($B$5:$B$344,$A282+M$3)="","",IF(AND(YEAR($B282)=$B$2,YEAR(INDEX($B$5:$B$344,$A282+M$3-1))=$B$2),INDEX($B$5:$B$344,$A282+M$3)-INDEX($B$5:$B$344,$A282-1)-1,"")))</f>
        <v/>
      </c>
    </row>
    <row r="283">
      <c r="A283" s="11" t="n">
        <v>279</v>
      </c>
      <c r="B283" s="10">
        <f>IFERROR(INDEX('2_暦'!$A$7:$A$433,MATCH(A283,'2_暦'!$K$7:$K$433,0)),"")</f>
        <v/>
      </c>
      <c r="C283" s="11">
        <f>IF(OR($A283=1,$B283=""),"",IF(OR(YEAR($B283-1)=$B$2,YEAR(INDEX($B$5:$B$344,$A283-1)+1)=$B$2),$B283-INDEX($B$5:$B$344,$A283-1)-1,""))</f>
        <v/>
      </c>
      <c r="D283" s="11">
        <f>IF(OR($A283=1,$B283="",$A283+D$3&gt;340),"",IF(INDEX($B$5:$B$344,$A283+D$3)="","",IF(AND(YEAR($B283)=$B$2,YEAR(INDEX($B$5:$B$344,$A283+D$3-1))=$B$2),INDEX($B$5:$B$344,$A283+D$3)-INDEX($B$5:$B$344,$A283-1)-1,"")))</f>
        <v/>
      </c>
      <c r="E283" s="11">
        <f>IF(OR($A283=1,$B283="",$A283+E$3&gt;340),"",IF(INDEX($B$5:$B$344,$A283+E$3)="","",IF(AND(YEAR($B283)=$B$2,YEAR(INDEX($B$5:$B$344,$A283+E$3-1))=$B$2),INDEX($B$5:$B$344,$A283+E$3)-INDEX($B$5:$B$344,$A283-1)-1,"")))</f>
        <v/>
      </c>
      <c r="F283" s="11">
        <f>IF(OR($A283=1,$B283="",$A283+F$3&gt;340),"",IF(INDEX($B$5:$B$344,$A283+F$3)="","",IF(AND(YEAR($B283)=$B$2,YEAR(INDEX($B$5:$B$344,$A283+F$3-1))=$B$2),INDEX($B$5:$B$344,$A283+F$3)-INDEX($B$5:$B$344,$A283-1)-1,"")))</f>
        <v/>
      </c>
      <c r="G283" s="11">
        <f>IF(OR($A283=1,$B283="",$A283+G$3&gt;340),"",IF(INDEX($B$5:$B$344,$A283+G$3)="","",IF(AND(YEAR($B283)=$B$2,YEAR(INDEX($B$5:$B$344,$A283+G$3-1))=$B$2),INDEX($B$5:$B$344,$A283+G$3)-INDEX($B$5:$B$344,$A283-1)-1,"")))</f>
        <v/>
      </c>
      <c r="H283" s="11">
        <f>IF(OR($A283=1,$B283="",$A283+H$3&gt;340),"",IF(INDEX($B$5:$B$344,$A283+H$3)="","",IF(AND(YEAR($B283)=$B$2,YEAR(INDEX($B$5:$B$344,$A283+H$3-1))=$B$2),INDEX($B$5:$B$344,$A283+H$3)-INDEX($B$5:$B$344,$A283-1)-1,"")))</f>
        <v/>
      </c>
      <c r="I283" s="11">
        <f>IF(OR($A283=1,$B283="",$A283+I$3&gt;340),"",IF(INDEX($B$5:$B$344,$A283+I$3)="","",IF(AND(YEAR($B283)=$B$2,YEAR(INDEX($B$5:$B$344,$A283+I$3-1))=$B$2),INDEX($B$5:$B$344,$A283+I$3)-INDEX($B$5:$B$344,$A283-1)-1,"")))</f>
        <v/>
      </c>
      <c r="J283" s="11">
        <f>IF(OR($A283=1,$B283="",$A283+J$3&gt;340),"",IF(INDEX($B$5:$B$344,$A283+J$3)="","",IF(AND(YEAR($B283)=$B$2,YEAR(INDEX($B$5:$B$344,$A283+J$3-1))=$B$2),INDEX($B$5:$B$344,$A283+J$3)-INDEX($B$5:$B$344,$A283-1)-1,"")))</f>
        <v/>
      </c>
      <c r="K283" s="11">
        <f>IF(OR($A283=1,$B283="",$A283+K$3&gt;340),"",IF(INDEX($B$5:$B$344,$A283+K$3)="","",IF(AND(YEAR($B283)=$B$2,YEAR(INDEX($B$5:$B$344,$A283+K$3-1))=$B$2),INDEX($B$5:$B$344,$A283+K$3)-INDEX($B$5:$B$344,$A283-1)-1,"")))</f>
        <v/>
      </c>
      <c r="L283" s="11">
        <f>IF(OR($A283=1,$B283="",$A283+L$3&gt;340),"",IF(INDEX($B$5:$B$344,$A283+L$3)="","",IF(AND(YEAR($B283)=$B$2,YEAR(INDEX($B$5:$B$344,$A283+L$3-1))=$B$2),INDEX($B$5:$B$344,$A283+L$3)-INDEX($B$5:$B$344,$A283-1)-1,"")))</f>
        <v/>
      </c>
      <c r="M283" s="11">
        <f>IF(OR($A283=1,$B283="",$A283+M$3&gt;340),"",IF(INDEX($B$5:$B$344,$A283+M$3)="","",IF(AND(YEAR($B283)=$B$2,YEAR(INDEX($B$5:$B$344,$A283+M$3-1))=$B$2),INDEX($B$5:$B$344,$A283+M$3)-INDEX($B$5:$B$344,$A283-1)-1,"")))</f>
        <v/>
      </c>
    </row>
    <row r="284">
      <c r="A284" s="11" t="n">
        <v>280</v>
      </c>
      <c r="B284" s="10">
        <f>IFERROR(INDEX('2_暦'!$A$7:$A$433,MATCH(A284,'2_暦'!$K$7:$K$433,0)),"")</f>
        <v/>
      </c>
      <c r="C284" s="11">
        <f>IF(OR($A284=1,$B284=""),"",IF(OR(YEAR($B284-1)=$B$2,YEAR(INDEX($B$5:$B$344,$A284-1)+1)=$B$2),$B284-INDEX($B$5:$B$344,$A284-1)-1,""))</f>
        <v/>
      </c>
      <c r="D284" s="11">
        <f>IF(OR($A284=1,$B284="",$A284+D$3&gt;340),"",IF(INDEX($B$5:$B$344,$A284+D$3)="","",IF(AND(YEAR($B284)=$B$2,YEAR(INDEX($B$5:$B$344,$A284+D$3-1))=$B$2),INDEX($B$5:$B$344,$A284+D$3)-INDEX($B$5:$B$344,$A284-1)-1,"")))</f>
        <v/>
      </c>
      <c r="E284" s="11">
        <f>IF(OR($A284=1,$B284="",$A284+E$3&gt;340),"",IF(INDEX($B$5:$B$344,$A284+E$3)="","",IF(AND(YEAR($B284)=$B$2,YEAR(INDEX($B$5:$B$344,$A284+E$3-1))=$B$2),INDEX($B$5:$B$344,$A284+E$3)-INDEX($B$5:$B$344,$A284-1)-1,"")))</f>
        <v/>
      </c>
      <c r="F284" s="11">
        <f>IF(OR($A284=1,$B284="",$A284+F$3&gt;340),"",IF(INDEX($B$5:$B$344,$A284+F$3)="","",IF(AND(YEAR($B284)=$B$2,YEAR(INDEX($B$5:$B$344,$A284+F$3-1))=$B$2),INDEX($B$5:$B$344,$A284+F$3)-INDEX($B$5:$B$344,$A284-1)-1,"")))</f>
        <v/>
      </c>
      <c r="G284" s="11">
        <f>IF(OR($A284=1,$B284="",$A284+G$3&gt;340),"",IF(INDEX($B$5:$B$344,$A284+G$3)="","",IF(AND(YEAR($B284)=$B$2,YEAR(INDEX($B$5:$B$344,$A284+G$3-1))=$B$2),INDEX($B$5:$B$344,$A284+G$3)-INDEX($B$5:$B$344,$A284-1)-1,"")))</f>
        <v/>
      </c>
      <c r="H284" s="11">
        <f>IF(OR($A284=1,$B284="",$A284+H$3&gt;340),"",IF(INDEX($B$5:$B$344,$A284+H$3)="","",IF(AND(YEAR($B284)=$B$2,YEAR(INDEX($B$5:$B$344,$A284+H$3-1))=$B$2),INDEX($B$5:$B$344,$A284+H$3)-INDEX($B$5:$B$344,$A284-1)-1,"")))</f>
        <v/>
      </c>
      <c r="I284" s="11">
        <f>IF(OR($A284=1,$B284="",$A284+I$3&gt;340),"",IF(INDEX($B$5:$B$344,$A284+I$3)="","",IF(AND(YEAR($B284)=$B$2,YEAR(INDEX($B$5:$B$344,$A284+I$3-1))=$B$2),INDEX($B$5:$B$344,$A284+I$3)-INDEX($B$5:$B$344,$A284-1)-1,"")))</f>
        <v/>
      </c>
      <c r="J284" s="11">
        <f>IF(OR($A284=1,$B284="",$A284+J$3&gt;340),"",IF(INDEX($B$5:$B$344,$A284+J$3)="","",IF(AND(YEAR($B284)=$B$2,YEAR(INDEX($B$5:$B$344,$A284+J$3-1))=$B$2),INDEX($B$5:$B$344,$A284+J$3)-INDEX($B$5:$B$344,$A284-1)-1,"")))</f>
        <v/>
      </c>
      <c r="K284" s="11">
        <f>IF(OR($A284=1,$B284="",$A284+K$3&gt;340),"",IF(INDEX($B$5:$B$344,$A284+K$3)="","",IF(AND(YEAR($B284)=$B$2,YEAR(INDEX($B$5:$B$344,$A284+K$3-1))=$B$2),INDEX($B$5:$B$344,$A284+K$3)-INDEX($B$5:$B$344,$A284-1)-1,"")))</f>
        <v/>
      </c>
      <c r="L284" s="11">
        <f>IF(OR($A284=1,$B284="",$A284+L$3&gt;340),"",IF(INDEX($B$5:$B$344,$A284+L$3)="","",IF(AND(YEAR($B284)=$B$2,YEAR(INDEX($B$5:$B$344,$A284+L$3-1))=$B$2),INDEX($B$5:$B$344,$A284+L$3)-INDEX($B$5:$B$344,$A284-1)-1,"")))</f>
        <v/>
      </c>
      <c r="M284" s="11">
        <f>IF(OR($A284=1,$B284="",$A284+M$3&gt;340),"",IF(INDEX($B$5:$B$344,$A284+M$3)="","",IF(AND(YEAR($B284)=$B$2,YEAR(INDEX($B$5:$B$344,$A284+M$3-1))=$B$2),INDEX($B$5:$B$344,$A284+M$3)-INDEX($B$5:$B$344,$A284-1)-1,"")))</f>
        <v/>
      </c>
    </row>
    <row r="285">
      <c r="A285" s="11" t="n">
        <v>281</v>
      </c>
      <c r="B285" s="10">
        <f>IFERROR(INDEX('2_暦'!$A$7:$A$433,MATCH(A285,'2_暦'!$K$7:$K$433,0)),"")</f>
        <v/>
      </c>
      <c r="C285" s="11">
        <f>IF(OR($A285=1,$B285=""),"",IF(OR(YEAR($B285-1)=$B$2,YEAR(INDEX($B$5:$B$344,$A285-1)+1)=$B$2),$B285-INDEX($B$5:$B$344,$A285-1)-1,""))</f>
        <v/>
      </c>
      <c r="D285" s="11">
        <f>IF(OR($A285=1,$B285="",$A285+D$3&gt;340),"",IF(INDEX($B$5:$B$344,$A285+D$3)="","",IF(AND(YEAR($B285)=$B$2,YEAR(INDEX($B$5:$B$344,$A285+D$3-1))=$B$2),INDEX($B$5:$B$344,$A285+D$3)-INDEX($B$5:$B$344,$A285-1)-1,"")))</f>
        <v/>
      </c>
      <c r="E285" s="11">
        <f>IF(OR($A285=1,$B285="",$A285+E$3&gt;340),"",IF(INDEX($B$5:$B$344,$A285+E$3)="","",IF(AND(YEAR($B285)=$B$2,YEAR(INDEX($B$5:$B$344,$A285+E$3-1))=$B$2),INDEX($B$5:$B$344,$A285+E$3)-INDEX($B$5:$B$344,$A285-1)-1,"")))</f>
        <v/>
      </c>
      <c r="F285" s="11">
        <f>IF(OR($A285=1,$B285="",$A285+F$3&gt;340),"",IF(INDEX($B$5:$B$344,$A285+F$3)="","",IF(AND(YEAR($B285)=$B$2,YEAR(INDEX($B$5:$B$344,$A285+F$3-1))=$B$2),INDEX($B$5:$B$344,$A285+F$3)-INDEX($B$5:$B$344,$A285-1)-1,"")))</f>
        <v/>
      </c>
      <c r="G285" s="11">
        <f>IF(OR($A285=1,$B285="",$A285+G$3&gt;340),"",IF(INDEX($B$5:$B$344,$A285+G$3)="","",IF(AND(YEAR($B285)=$B$2,YEAR(INDEX($B$5:$B$344,$A285+G$3-1))=$B$2),INDEX($B$5:$B$344,$A285+G$3)-INDEX($B$5:$B$344,$A285-1)-1,"")))</f>
        <v/>
      </c>
      <c r="H285" s="11">
        <f>IF(OR($A285=1,$B285="",$A285+H$3&gt;340),"",IF(INDEX($B$5:$B$344,$A285+H$3)="","",IF(AND(YEAR($B285)=$B$2,YEAR(INDEX($B$5:$B$344,$A285+H$3-1))=$B$2),INDEX($B$5:$B$344,$A285+H$3)-INDEX($B$5:$B$344,$A285-1)-1,"")))</f>
        <v/>
      </c>
      <c r="I285" s="11">
        <f>IF(OR($A285=1,$B285="",$A285+I$3&gt;340),"",IF(INDEX($B$5:$B$344,$A285+I$3)="","",IF(AND(YEAR($B285)=$B$2,YEAR(INDEX($B$5:$B$344,$A285+I$3-1))=$B$2),INDEX($B$5:$B$344,$A285+I$3)-INDEX($B$5:$B$344,$A285-1)-1,"")))</f>
        <v/>
      </c>
      <c r="J285" s="11">
        <f>IF(OR($A285=1,$B285="",$A285+J$3&gt;340),"",IF(INDEX($B$5:$B$344,$A285+J$3)="","",IF(AND(YEAR($B285)=$B$2,YEAR(INDEX($B$5:$B$344,$A285+J$3-1))=$B$2),INDEX($B$5:$B$344,$A285+J$3)-INDEX($B$5:$B$344,$A285-1)-1,"")))</f>
        <v/>
      </c>
      <c r="K285" s="11">
        <f>IF(OR($A285=1,$B285="",$A285+K$3&gt;340),"",IF(INDEX($B$5:$B$344,$A285+K$3)="","",IF(AND(YEAR($B285)=$B$2,YEAR(INDEX($B$5:$B$344,$A285+K$3-1))=$B$2),INDEX($B$5:$B$344,$A285+K$3)-INDEX($B$5:$B$344,$A285-1)-1,"")))</f>
        <v/>
      </c>
      <c r="L285" s="11">
        <f>IF(OR($A285=1,$B285="",$A285+L$3&gt;340),"",IF(INDEX($B$5:$B$344,$A285+L$3)="","",IF(AND(YEAR($B285)=$B$2,YEAR(INDEX($B$5:$B$344,$A285+L$3-1))=$B$2),INDEX($B$5:$B$344,$A285+L$3)-INDEX($B$5:$B$344,$A285-1)-1,"")))</f>
        <v/>
      </c>
      <c r="M285" s="11">
        <f>IF(OR($A285=1,$B285="",$A285+M$3&gt;340),"",IF(INDEX($B$5:$B$344,$A285+M$3)="","",IF(AND(YEAR($B285)=$B$2,YEAR(INDEX($B$5:$B$344,$A285+M$3-1))=$B$2),INDEX($B$5:$B$344,$A285+M$3)-INDEX($B$5:$B$344,$A285-1)-1,"")))</f>
        <v/>
      </c>
    </row>
    <row r="286">
      <c r="A286" s="11" t="n">
        <v>282</v>
      </c>
      <c r="B286" s="10">
        <f>IFERROR(INDEX('2_暦'!$A$7:$A$433,MATCH(A286,'2_暦'!$K$7:$K$433,0)),"")</f>
        <v/>
      </c>
      <c r="C286" s="11">
        <f>IF(OR($A286=1,$B286=""),"",IF(OR(YEAR($B286-1)=$B$2,YEAR(INDEX($B$5:$B$344,$A286-1)+1)=$B$2),$B286-INDEX($B$5:$B$344,$A286-1)-1,""))</f>
        <v/>
      </c>
      <c r="D286" s="11">
        <f>IF(OR($A286=1,$B286="",$A286+D$3&gt;340),"",IF(INDEX($B$5:$B$344,$A286+D$3)="","",IF(AND(YEAR($B286)=$B$2,YEAR(INDEX($B$5:$B$344,$A286+D$3-1))=$B$2),INDEX($B$5:$B$344,$A286+D$3)-INDEX($B$5:$B$344,$A286-1)-1,"")))</f>
        <v/>
      </c>
      <c r="E286" s="11">
        <f>IF(OR($A286=1,$B286="",$A286+E$3&gt;340),"",IF(INDEX($B$5:$B$344,$A286+E$3)="","",IF(AND(YEAR($B286)=$B$2,YEAR(INDEX($B$5:$B$344,$A286+E$3-1))=$B$2),INDEX($B$5:$B$344,$A286+E$3)-INDEX($B$5:$B$344,$A286-1)-1,"")))</f>
        <v/>
      </c>
      <c r="F286" s="11">
        <f>IF(OR($A286=1,$B286="",$A286+F$3&gt;340),"",IF(INDEX($B$5:$B$344,$A286+F$3)="","",IF(AND(YEAR($B286)=$B$2,YEAR(INDEX($B$5:$B$344,$A286+F$3-1))=$B$2),INDEX($B$5:$B$344,$A286+F$3)-INDEX($B$5:$B$344,$A286-1)-1,"")))</f>
        <v/>
      </c>
      <c r="G286" s="11">
        <f>IF(OR($A286=1,$B286="",$A286+G$3&gt;340),"",IF(INDEX($B$5:$B$344,$A286+G$3)="","",IF(AND(YEAR($B286)=$B$2,YEAR(INDEX($B$5:$B$344,$A286+G$3-1))=$B$2),INDEX($B$5:$B$344,$A286+G$3)-INDEX($B$5:$B$344,$A286-1)-1,"")))</f>
        <v/>
      </c>
      <c r="H286" s="11">
        <f>IF(OR($A286=1,$B286="",$A286+H$3&gt;340),"",IF(INDEX($B$5:$B$344,$A286+H$3)="","",IF(AND(YEAR($B286)=$B$2,YEAR(INDEX($B$5:$B$344,$A286+H$3-1))=$B$2),INDEX($B$5:$B$344,$A286+H$3)-INDEX($B$5:$B$344,$A286-1)-1,"")))</f>
        <v/>
      </c>
      <c r="I286" s="11">
        <f>IF(OR($A286=1,$B286="",$A286+I$3&gt;340),"",IF(INDEX($B$5:$B$344,$A286+I$3)="","",IF(AND(YEAR($B286)=$B$2,YEAR(INDEX($B$5:$B$344,$A286+I$3-1))=$B$2),INDEX($B$5:$B$344,$A286+I$3)-INDEX($B$5:$B$344,$A286-1)-1,"")))</f>
        <v/>
      </c>
      <c r="J286" s="11">
        <f>IF(OR($A286=1,$B286="",$A286+J$3&gt;340),"",IF(INDEX($B$5:$B$344,$A286+J$3)="","",IF(AND(YEAR($B286)=$B$2,YEAR(INDEX($B$5:$B$344,$A286+J$3-1))=$B$2),INDEX($B$5:$B$344,$A286+J$3)-INDEX($B$5:$B$344,$A286-1)-1,"")))</f>
        <v/>
      </c>
      <c r="K286" s="11">
        <f>IF(OR($A286=1,$B286="",$A286+K$3&gt;340),"",IF(INDEX($B$5:$B$344,$A286+K$3)="","",IF(AND(YEAR($B286)=$B$2,YEAR(INDEX($B$5:$B$344,$A286+K$3-1))=$B$2),INDEX($B$5:$B$344,$A286+K$3)-INDEX($B$5:$B$344,$A286-1)-1,"")))</f>
        <v/>
      </c>
      <c r="L286" s="11">
        <f>IF(OR($A286=1,$B286="",$A286+L$3&gt;340),"",IF(INDEX($B$5:$B$344,$A286+L$3)="","",IF(AND(YEAR($B286)=$B$2,YEAR(INDEX($B$5:$B$344,$A286+L$3-1))=$B$2),INDEX($B$5:$B$344,$A286+L$3)-INDEX($B$5:$B$344,$A286-1)-1,"")))</f>
        <v/>
      </c>
      <c r="M286" s="11">
        <f>IF(OR($A286=1,$B286="",$A286+M$3&gt;340),"",IF(INDEX($B$5:$B$344,$A286+M$3)="","",IF(AND(YEAR($B286)=$B$2,YEAR(INDEX($B$5:$B$344,$A286+M$3-1))=$B$2),INDEX($B$5:$B$344,$A286+M$3)-INDEX($B$5:$B$344,$A286-1)-1,"")))</f>
        <v/>
      </c>
    </row>
    <row r="287">
      <c r="A287" s="11" t="n">
        <v>283</v>
      </c>
      <c r="B287" s="10">
        <f>IFERROR(INDEX('2_暦'!$A$7:$A$433,MATCH(A287,'2_暦'!$K$7:$K$433,0)),"")</f>
        <v/>
      </c>
      <c r="C287" s="11">
        <f>IF(OR($A287=1,$B287=""),"",IF(OR(YEAR($B287-1)=$B$2,YEAR(INDEX($B$5:$B$344,$A287-1)+1)=$B$2),$B287-INDEX($B$5:$B$344,$A287-1)-1,""))</f>
        <v/>
      </c>
      <c r="D287" s="11">
        <f>IF(OR($A287=1,$B287="",$A287+D$3&gt;340),"",IF(INDEX($B$5:$B$344,$A287+D$3)="","",IF(AND(YEAR($B287)=$B$2,YEAR(INDEX($B$5:$B$344,$A287+D$3-1))=$B$2),INDEX($B$5:$B$344,$A287+D$3)-INDEX($B$5:$B$344,$A287-1)-1,"")))</f>
        <v/>
      </c>
      <c r="E287" s="11">
        <f>IF(OR($A287=1,$B287="",$A287+E$3&gt;340),"",IF(INDEX($B$5:$B$344,$A287+E$3)="","",IF(AND(YEAR($B287)=$B$2,YEAR(INDEX($B$5:$B$344,$A287+E$3-1))=$B$2),INDEX($B$5:$B$344,$A287+E$3)-INDEX($B$5:$B$344,$A287-1)-1,"")))</f>
        <v/>
      </c>
      <c r="F287" s="11">
        <f>IF(OR($A287=1,$B287="",$A287+F$3&gt;340),"",IF(INDEX($B$5:$B$344,$A287+F$3)="","",IF(AND(YEAR($B287)=$B$2,YEAR(INDEX($B$5:$B$344,$A287+F$3-1))=$B$2),INDEX($B$5:$B$344,$A287+F$3)-INDEX($B$5:$B$344,$A287-1)-1,"")))</f>
        <v/>
      </c>
      <c r="G287" s="11">
        <f>IF(OR($A287=1,$B287="",$A287+G$3&gt;340),"",IF(INDEX($B$5:$B$344,$A287+G$3)="","",IF(AND(YEAR($B287)=$B$2,YEAR(INDEX($B$5:$B$344,$A287+G$3-1))=$B$2),INDEX($B$5:$B$344,$A287+G$3)-INDEX($B$5:$B$344,$A287-1)-1,"")))</f>
        <v/>
      </c>
      <c r="H287" s="11">
        <f>IF(OR($A287=1,$B287="",$A287+H$3&gt;340),"",IF(INDEX($B$5:$B$344,$A287+H$3)="","",IF(AND(YEAR($B287)=$B$2,YEAR(INDEX($B$5:$B$344,$A287+H$3-1))=$B$2),INDEX($B$5:$B$344,$A287+H$3)-INDEX($B$5:$B$344,$A287-1)-1,"")))</f>
        <v/>
      </c>
      <c r="I287" s="11">
        <f>IF(OR($A287=1,$B287="",$A287+I$3&gt;340),"",IF(INDEX($B$5:$B$344,$A287+I$3)="","",IF(AND(YEAR($B287)=$B$2,YEAR(INDEX($B$5:$B$344,$A287+I$3-1))=$B$2),INDEX($B$5:$B$344,$A287+I$3)-INDEX($B$5:$B$344,$A287-1)-1,"")))</f>
        <v/>
      </c>
      <c r="J287" s="11">
        <f>IF(OR($A287=1,$B287="",$A287+J$3&gt;340),"",IF(INDEX($B$5:$B$344,$A287+J$3)="","",IF(AND(YEAR($B287)=$B$2,YEAR(INDEX($B$5:$B$344,$A287+J$3-1))=$B$2),INDEX($B$5:$B$344,$A287+J$3)-INDEX($B$5:$B$344,$A287-1)-1,"")))</f>
        <v/>
      </c>
      <c r="K287" s="11">
        <f>IF(OR($A287=1,$B287="",$A287+K$3&gt;340),"",IF(INDEX($B$5:$B$344,$A287+K$3)="","",IF(AND(YEAR($B287)=$B$2,YEAR(INDEX($B$5:$B$344,$A287+K$3-1))=$B$2),INDEX($B$5:$B$344,$A287+K$3)-INDEX($B$5:$B$344,$A287-1)-1,"")))</f>
        <v/>
      </c>
      <c r="L287" s="11">
        <f>IF(OR($A287=1,$B287="",$A287+L$3&gt;340),"",IF(INDEX($B$5:$B$344,$A287+L$3)="","",IF(AND(YEAR($B287)=$B$2,YEAR(INDEX($B$5:$B$344,$A287+L$3-1))=$B$2),INDEX($B$5:$B$344,$A287+L$3)-INDEX($B$5:$B$344,$A287-1)-1,"")))</f>
        <v/>
      </c>
      <c r="M287" s="11">
        <f>IF(OR($A287=1,$B287="",$A287+M$3&gt;340),"",IF(INDEX($B$5:$B$344,$A287+M$3)="","",IF(AND(YEAR($B287)=$B$2,YEAR(INDEX($B$5:$B$344,$A287+M$3-1))=$B$2),INDEX($B$5:$B$344,$A287+M$3)-INDEX($B$5:$B$344,$A287-1)-1,"")))</f>
        <v/>
      </c>
    </row>
    <row r="288">
      <c r="A288" s="11" t="n">
        <v>284</v>
      </c>
      <c r="B288" s="10">
        <f>IFERROR(INDEX('2_暦'!$A$7:$A$433,MATCH(A288,'2_暦'!$K$7:$K$433,0)),"")</f>
        <v/>
      </c>
      <c r="C288" s="11">
        <f>IF(OR($A288=1,$B288=""),"",IF(OR(YEAR($B288-1)=$B$2,YEAR(INDEX($B$5:$B$344,$A288-1)+1)=$B$2),$B288-INDEX($B$5:$B$344,$A288-1)-1,""))</f>
        <v/>
      </c>
      <c r="D288" s="11">
        <f>IF(OR($A288=1,$B288="",$A288+D$3&gt;340),"",IF(INDEX($B$5:$B$344,$A288+D$3)="","",IF(AND(YEAR($B288)=$B$2,YEAR(INDEX($B$5:$B$344,$A288+D$3-1))=$B$2),INDEX($B$5:$B$344,$A288+D$3)-INDEX($B$5:$B$344,$A288-1)-1,"")))</f>
        <v/>
      </c>
      <c r="E288" s="11">
        <f>IF(OR($A288=1,$B288="",$A288+E$3&gt;340),"",IF(INDEX($B$5:$B$344,$A288+E$3)="","",IF(AND(YEAR($B288)=$B$2,YEAR(INDEX($B$5:$B$344,$A288+E$3-1))=$B$2),INDEX($B$5:$B$344,$A288+E$3)-INDEX($B$5:$B$344,$A288-1)-1,"")))</f>
        <v/>
      </c>
      <c r="F288" s="11">
        <f>IF(OR($A288=1,$B288="",$A288+F$3&gt;340),"",IF(INDEX($B$5:$B$344,$A288+F$3)="","",IF(AND(YEAR($B288)=$B$2,YEAR(INDEX($B$5:$B$344,$A288+F$3-1))=$B$2),INDEX($B$5:$B$344,$A288+F$3)-INDEX($B$5:$B$344,$A288-1)-1,"")))</f>
        <v/>
      </c>
      <c r="G288" s="11">
        <f>IF(OR($A288=1,$B288="",$A288+G$3&gt;340),"",IF(INDEX($B$5:$B$344,$A288+G$3)="","",IF(AND(YEAR($B288)=$B$2,YEAR(INDEX($B$5:$B$344,$A288+G$3-1))=$B$2),INDEX($B$5:$B$344,$A288+G$3)-INDEX($B$5:$B$344,$A288-1)-1,"")))</f>
        <v/>
      </c>
      <c r="H288" s="11">
        <f>IF(OR($A288=1,$B288="",$A288+H$3&gt;340),"",IF(INDEX($B$5:$B$344,$A288+H$3)="","",IF(AND(YEAR($B288)=$B$2,YEAR(INDEX($B$5:$B$344,$A288+H$3-1))=$B$2),INDEX($B$5:$B$344,$A288+H$3)-INDEX($B$5:$B$344,$A288-1)-1,"")))</f>
        <v/>
      </c>
      <c r="I288" s="11">
        <f>IF(OR($A288=1,$B288="",$A288+I$3&gt;340),"",IF(INDEX($B$5:$B$344,$A288+I$3)="","",IF(AND(YEAR($B288)=$B$2,YEAR(INDEX($B$5:$B$344,$A288+I$3-1))=$B$2),INDEX($B$5:$B$344,$A288+I$3)-INDEX($B$5:$B$344,$A288-1)-1,"")))</f>
        <v/>
      </c>
      <c r="J288" s="11">
        <f>IF(OR($A288=1,$B288="",$A288+J$3&gt;340),"",IF(INDEX($B$5:$B$344,$A288+J$3)="","",IF(AND(YEAR($B288)=$B$2,YEAR(INDEX($B$5:$B$344,$A288+J$3-1))=$B$2),INDEX($B$5:$B$344,$A288+J$3)-INDEX($B$5:$B$344,$A288-1)-1,"")))</f>
        <v/>
      </c>
      <c r="K288" s="11">
        <f>IF(OR($A288=1,$B288="",$A288+K$3&gt;340),"",IF(INDEX($B$5:$B$344,$A288+K$3)="","",IF(AND(YEAR($B288)=$B$2,YEAR(INDEX($B$5:$B$344,$A288+K$3-1))=$B$2),INDEX($B$5:$B$344,$A288+K$3)-INDEX($B$5:$B$344,$A288-1)-1,"")))</f>
        <v/>
      </c>
      <c r="L288" s="11">
        <f>IF(OR($A288=1,$B288="",$A288+L$3&gt;340),"",IF(INDEX($B$5:$B$344,$A288+L$3)="","",IF(AND(YEAR($B288)=$B$2,YEAR(INDEX($B$5:$B$344,$A288+L$3-1))=$B$2),INDEX($B$5:$B$344,$A288+L$3)-INDEX($B$5:$B$344,$A288-1)-1,"")))</f>
        <v/>
      </c>
      <c r="M288" s="11">
        <f>IF(OR($A288=1,$B288="",$A288+M$3&gt;340),"",IF(INDEX($B$5:$B$344,$A288+M$3)="","",IF(AND(YEAR($B288)=$B$2,YEAR(INDEX($B$5:$B$344,$A288+M$3-1))=$B$2),INDEX($B$5:$B$344,$A288+M$3)-INDEX($B$5:$B$344,$A288-1)-1,"")))</f>
        <v/>
      </c>
    </row>
    <row r="289">
      <c r="A289" s="11" t="n">
        <v>285</v>
      </c>
      <c r="B289" s="10">
        <f>IFERROR(INDEX('2_暦'!$A$7:$A$433,MATCH(A289,'2_暦'!$K$7:$K$433,0)),"")</f>
        <v/>
      </c>
      <c r="C289" s="11">
        <f>IF(OR($A289=1,$B289=""),"",IF(OR(YEAR($B289-1)=$B$2,YEAR(INDEX($B$5:$B$344,$A289-1)+1)=$B$2),$B289-INDEX($B$5:$B$344,$A289-1)-1,""))</f>
        <v/>
      </c>
      <c r="D289" s="11">
        <f>IF(OR($A289=1,$B289="",$A289+D$3&gt;340),"",IF(INDEX($B$5:$B$344,$A289+D$3)="","",IF(AND(YEAR($B289)=$B$2,YEAR(INDEX($B$5:$B$344,$A289+D$3-1))=$B$2),INDEX($B$5:$B$344,$A289+D$3)-INDEX($B$5:$B$344,$A289-1)-1,"")))</f>
        <v/>
      </c>
      <c r="E289" s="11">
        <f>IF(OR($A289=1,$B289="",$A289+E$3&gt;340),"",IF(INDEX($B$5:$B$344,$A289+E$3)="","",IF(AND(YEAR($B289)=$B$2,YEAR(INDEX($B$5:$B$344,$A289+E$3-1))=$B$2),INDEX($B$5:$B$344,$A289+E$3)-INDEX($B$5:$B$344,$A289-1)-1,"")))</f>
        <v/>
      </c>
      <c r="F289" s="11">
        <f>IF(OR($A289=1,$B289="",$A289+F$3&gt;340),"",IF(INDEX($B$5:$B$344,$A289+F$3)="","",IF(AND(YEAR($B289)=$B$2,YEAR(INDEX($B$5:$B$344,$A289+F$3-1))=$B$2),INDEX($B$5:$B$344,$A289+F$3)-INDEX($B$5:$B$344,$A289-1)-1,"")))</f>
        <v/>
      </c>
      <c r="G289" s="11">
        <f>IF(OR($A289=1,$B289="",$A289+G$3&gt;340),"",IF(INDEX($B$5:$B$344,$A289+G$3)="","",IF(AND(YEAR($B289)=$B$2,YEAR(INDEX($B$5:$B$344,$A289+G$3-1))=$B$2),INDEX($B$5:$B$344,$A289+G$3)-INDEX($B$5:$B$344,$A289-1)-1,"")))</f>
        <v/>
      </c>
      <c r="H289" s="11">
        <f>IF(OR($A289=1,$B289="",$A289+H$3&gt;340),"",IF(INDEX($B$5:$B$344,$A289+H$3)="","",IF(AND(YEAR($B289)=$B$2,YEAR(INDEX($B$5:$B$344,$A289+H$3-1))=$B$2),INDEX($B$5:$B$344,$A289+H$3)-INDEX($B$5:$B$344,$A289-1)-1,"")))</f>
        <v/>
      </c>
      <c r="I289" s="11">
        <f>IF(OR($A289=1,$B289="",$A289+I$3&gt;340),"",IF(INDEX($B$5:$B$344,$A289+I$3)="","",IF(AND(YEAR($B289)=$B$2,YEAR(INDEX($B$5:$B$344,$A289+I$3-1))=$B$2),INDEX($B$5:$B$344,$A289+I$3)-INDEX($B$5:$B$344,$A289-1)-1,"")))</f>
        <v/>
      </c>
      <c r="J289" s="11">
        <f>IF(OR($A289=1,$B289="",$A289+J$3&gt;340),"",IF(INDEX($B$5:$B$344,$A289+J$3)="","",IF(AND(YEAR($B289)=$B$2,YEAR(INDEX($B$5:$B$344,$A289+J$3-1))=$B$2),INDEX($B$5:$B$344,$A289+J$3)-INDEX($B$5:$B$344,$A289-1)-1,"")))</f>
        <v/>
      </c>
      <c r="K289" s="11">
        <f>IF(OR($A289=1,$B289="",$A289+K$3&gt;340),"",IF(INDEX($B$5:$B$344,$A289+K$3)="","",IF(AND(YEAR($B289)=$B$2,YEAR(INDEX($B$5:$B$344,$A289+K$3-1))=$B$2),INDEX($B$5:$B$344,$A289+K$3)-INDEX($B$5:$B$344,$A289-1)-1,"")))</f>
        <v/>
      </c>
      <c r="L289" s="11">
        <f>IF(OR($A289=1,$B289="",$A289+L$3&gt;340),"",IF(INDEX($B$5:$B$344,$A289+L$3)="","",IF(AND(YEAR($B289)=$B$2,YEAR(INDEX($B$5:$B$344,$A289+L$3-1))=$B$2),INDEX($B$5:$B$344,$A289+L$3)-INDEX($B$5:$B$344,$A289-1)-1,"")))</f>
        <v/>
      </c>
      <c r="M289" s="11">
        <f>IF(OR($A289=1,$B289="",$A289+M$3&gt;340),"",IF(INDEX($B$5:$B$344,$A289+M$3)="","",IF(AND(YEAR($B289)=$B$2,YEAR(INDEX($B$5:$B$344,$A289+M$3-1))=$B$2),INDEX($B$5:$B$344,$A289+M$3)-INDEX($B$5:$B$344,$A289-1)-1,"")))</f>
        <v/>
      </c>
    </row>
    <row r="290">
      <c r="A290" s="11" t="n">
        <v>286</v>
      </c>
      <c r="B290" s="10">
        <f>IFERROR(INDEX('2_暦'!$A$7:$A$433,MATCH(A290,'2_暦'!$K$7:$K$433,0)),"")</f>
        <v/>
      </c>
      <c r="C290" s="11">
        <f>IF(OR($A290=1,$B290=""),"",IF(OR(YEAR($B290-1)=$B$2,YEAR(INDEX($B$5:$B$344,$A290-1)+1)=$B$2),$B290-INDEX($B$5:$B$344,$A290-1)-1,""))</f>
        <v/>
      </c>
      <c r="D290" s="11">
        <f>IF(OR($A290=1,$B290="",$A290+D$3&gt;340),"",IF(INDEX($B$5:$B$344,$A290+D$3)="","",IF(AND(YEAR($B290)=$B$2,YEAR(INDEX($B$5:$B$344,$A290+D$3-1))=$B$2),INDEX($B$5:$B$344,$A290+D$3)-INDEX($B$5:$B$344,$A290-1)-1,"")))</f>
        <v/>
      </c>
      <c r="E290" s="11">
        <f>IF(OR($A290=1,$B290="",$A290+E$3&gt;340),"",IF(INDEX($B$5:$B$344,$A290+E$3)="","",IF(AND(YEAR($B290)=$B$2,YEAR(INDEX($B$5:$B$344,$A290+E$3-1))=$B$2),INDEX($B$5:$B$344,$A290+E$3)-INDEX($B$5:$B$344,$A290-1)-1,"")))</f>
        <v/>
      </c>
      <c r="F290" s="11">
        <f>IF(OR($A290=1,$B290="",$A290+F$3&gt;340),"",IF(INDEX($B$5:$B$344,$A290+F$3)="","",IF(AND(YEAR($B290)=$B$2,YEAR(INDEX($B$5:$B$344,$A290+F$3-1))=$B$2),INDEX($B$5:$B$344,$A290+F$3)-INDEX($B$5:$B$344,$A290-1)-1,"")))</f>
        <v/>
      </c>
      <c r="G290" s="11">
        <f>IF(OR($A290=1,$B290="",$A290+G$3&gt;340),"",IF(INDEX($B$5:$B$344,$A290+G$3)="","",IF(AND(YEAR($B290)=$B$2,YEAR(INDEX($B$5:$B$344,$A290+G$3-1))=$B$2),INDEX($B$5:$B$344,$A290+G$3)-INDEX($B$5:$B$344,$A290-1)-1,"")))</f>
        <v/>
      </c>
      <c r="H290" s="11">
        <f>IF(OR($A290=1,$B290="",$A290+H$3&gt;340),"",IF(INDEX($B$5:$B$344,$A290+H$3)="","",IF(AND(YEAR($B290)=$B$2,YEAR(INDEX($B$5:$B$344,$A290+H$3-1))=$B$2),INDEX($B$5:$B$344,$A290+H$3)-INDEX($B$5:$B$344,$A290-1)-1,"")))</f>
        <v/>
      </c>
      <c r="I290" s="11">
        <f>IF(OR($A290=1,$B290="",$A290+I$3&gt;340),"",IF(INDEX($B$5:$B$344,$A290+I$3)="","",IF(AND(YEAR($B290)=$B$2,YEAR(INDEX($B$5:$B$344,$A290+I$3-1))=$B$2),INDEX($B$5:$B$344,$A290+I$3)-INDEX($B$5:$B$344,$A290-1)-1,"")))</f>
        <v/>
      </c>
      <c r="J290" s="11">
        <f>IF(OR($A290=1,$B290="",$A290+J$3&gt;340),"",IF(INDEX($B$5:$B$344,$A290+J$3)="","",IF(AND(YEAR($B290)=$B$2,YEAR(INDEX($B$5:$B$344,$A290+J$3-1))=$B$2),INDEX($B$5:$B$344,$A290+J$3)-INDEX($B$5:$B$344,$A290-1)-1,"")))</f>
        <v/>
      </c>
      <c r="K290" s="11">
        <f>IF(OR($A290=1,$B290="",$A290+K$3&gt;340),"",IF(INDEX($B$5:$B$344,$A290+K$3)="","",IF(AND(YEAR($B290)=$B$2,YEAR(INDEX($B$5:$B$344,$A290+K$3-1))=$B$2),INDEX($B$5:$B$344,$A290+K$3)-INDEX($B$5:$B$344,$A290-1)-1,"")))</f>
        <v/>
      </c>
      <c r="L290" s="11">
        <f>IF(OR($A290=1,$B290="",$A290+L$3&gt;340),"",IF(INDEX($B$5:$B$344,$A290+L$3)="","",IF(AND(YEAR($B290)=$B$2,YEAR(INDEX($B$5:$B$344,$A290+L$3-1))=$B$2),INDEX($B$5:$B$344,$A290+L$3)-INDEX($B$5:$B$344,$A290-1)-1,"")))</f>
        <v/>
      </c>
      <c r="M290" s="11">
        <f>IF(OR($A290=1,$B290="",$A290+M$3&gt;340),"",IF(INDEX($B$5:$B$344,$A290+M$3)="","",IF(AND(YEAR($B290)=$B$2,YEAR(INDEX($B$5:$B$344,$A290+M$3-1))=$B$2),INDEX($B$5:$B$344,$A290+M$3)-INDEX($B$5:$B$344,$A290-1)-1,"")))</f>
        <v/>
      </c>
    </row>
    <row r="291">
      <c r="A291" s="11" t="n">
        <v>287</v>
      </c>
      <c r="B291" s="10">
        <f>IFERROR(INDEX('2_暦'!$A$7:$A$433,MATCH(A291,'2_暦'!$K$7:$K$433,0)),"")</f>
        <v/>
      </c>
      <c r="C291" s="11">
        <f>IF(OR($A291=1,$B291=""),"",IF(OR(YEAR($B291-1)=$B$2,YEAR(INDEX($B$5:$B$344,$A291-1)+1)=$B$2),$B291-INDEX($B$5:$B$344,$A291-1)-1,""))</f>
        <v/>
      </c>
      <c r="D291" s="11">
        <f>IF(OR($A291=1,$B291="",$A291+D$3&gt;340),"",IF(INDEX($B$5:$B$344,$A291+D$3)="","",IF(AND(YEAR($B291)=$B$2,YEAR(INDEX($B$5:$B$344,$A291+D$3-1))=$B$2),INDEX($B$5:$B$344,$A291+D$3)-INDEX($B$5:$B$344,$A291-1)-1,"")))</f>
        <v/>
      </c>
      <c r="E291" s="11">
        <f>IF(OR($A291=1,$B291="",$A291+E$3&gt;340),"",IF(INDEX($B$5:$B$344,$A291+E$3)="","",IF(AND(YEAR($B291)=$B$2,YEAR(INDEX($B$5:$B$344,$A291+E$3-1))=$B$2),INDEX($B$5:$B$344,$A291+E$3)-INDEX($B$5:$B$344,$A291-1)-1,"")))</f>
        <v/>
      </c>
      <c r="F291" s="11">
        <f>IF(OR($A291=1,$B291="",$A291+F$3&gt;340),"",IF(INDEX($B$5:$B$344,$A291+F$3)="","",IF(AND(YEAR($B291)=$B$2,YEAR(INDEX($B$5:$B$344,$A291+F$3-1))=$B$2),INDEX($B$5:$B$344,$A291+F$3)-INDEX($B$5:$B$344,$A291-1)-1,"")))</f>
        <v/>
      </c>
      <c r="G291" s="11">
        <f>IF(OR($A291=1,$B291="",$A291+G$3&gt;340),"",IF(INDEX($B$5:$B$344,$A291+G$3)="","",IF(AND(YEAR($B291)=$B$2,YEAR(INDEX($B$5:$B$344,$A291+G$3-1))=$B$2),INDEX($B$5:$B$344,$A291+G$3)-INDEX($B$5:$B$344,$A291-1)-1,"")))</f>
        <v/>
      </c>
      <c r="H291" s="11">
        <f>IF(OR($A291=1,$B291="",$A291+H$3&gt;340),"",IF(INDEX($B$5:$B$344,$A291+H$3)="","",IF(AND(YEAR($B291)=$B$2,YEAR(INDEX($B$5:$B$344,$A291+H$3-1))=$B$2),INDEX($B$5:$B$344,$A291+H$3)-INDEX($B$5:$B$344,$A291-1)-1,"")))</f>
        <v/>
      </c>
      <c r="I291" s="11">
        <f>IF(OR($A291=1,$B291="",$A291+I$3&gt;340),"",IF(INDEX($B$5:$B$344,$A291+I$3)="","",IF(AND(YEAR($B291)=$B$2,YEAR(INDEX($B$5:$B$344,$A291+I$3-1))=$B$2),INDEX($B$5:$B$344,$A291+I$3)-INDEX($B$5:$B$344,$A291-1)-1,"")))</f>
        <v/>
      </c>
      <c r="J291" s="11">
        <f>IF(OR($A291=1,$B291="",$A291+J$3&gt;340),"",IF(INDEX($B$5:$B$344,$A291+J$3)="","",IF(AND(YEAR($B291)=$B$2,YEAR(INDEX($B$5:$B$344,$A291+J$3-1))=$B$2),INDEX($B$5:$B$344,$A291+J$3)-INDEX($B$5:$B$344,$A291-1)-1,"")))</f>
        <v/>
      </c>
      <c r="K291" s="11">
        <f>IF(OR($A291=1,$B291="",$A291+K$3&gt;340),"",IF(INDEX($B$5:$B$344,$A291+K$3)="","",IF(AND(YEAR($B291)=$B$2,YEAR(INDEX($B$5:$B$344,$A291+K$3-1))=$B$2),INDEX($B$5:$B$344,$A291+K$3)-INDEX($B$5:$B$344,$A291-1)-1,"")))</f>
        <v/>
      </c>
      <c r="L291" s="11">
        <f>IF(OR($A291=1,$B291="",$A291+L$3&gt;340),"",IF(INDEX($B$5:$B$344,$A291+L$3)="","",IF(AND(YEAR($B291)=$B$2,YEAR(INDEX($B$5:$B$344,$A291+L$3-1))=$B$2),INDEX($B$5:$B$344,$A291+L$3)-INDEX($B$5:$B$344,$A291-1)-1,"")))</f>
        <v/>
      </c>
      <c r="M291" s="11">
        <f>IF(OR($A291=1,$B291="",$A291+M$3&gt;340),"",IF(INDEX($B$5:$B$344,$A291+M$3)="","",IF(AND(YEAR($B291)=$B$2,YEAR(INDEX($B$5:$B$344,$A291+M$3-1))=$B$2),INDEX($B$5:$B$344,$A291+M$3)-INDEX($B$5:$B$344,$A291-1)-1,"")))</f>
        <v/>
      </c>
    </row>
    <row r="292">
      <c r="A292" s="11" t="n">
        <v>288</v>
      </c>
      <c r="B292" s="10">
        <f>IFERROR(INDEX('2_暦'!$A$7:$A$433,MATCH(A292,'2_暦'!$K$7:$K$433,0)),"")</f>
        <v/>
      </c>
      <c r="C292" s="11">
        <f>IF(OR($A292=1,$B292=""),"",IF(OR(YEAR($B292-1)=$B$2,YEAR(INDEX($B$5:$B$344,$A292-1)+1)=$B$2),$B292-INDEX($B$5:$B$344,$A292-1)-1,""))</f>
        <v/>
      </c>
      <c r="D292" s="11">
        <f>IF(OR($A292=1,$B292="",$A292+D$3&gt;340),"",IF(INDEX($B$5:$B$344,$A292+D$3)="","",IF(AND(YEAR($B292)=$B$2,YEAR(INDEX($B$5:$B$344,$A292+D$3-1))=$B$2),INDEX($B$5:$B$344,$A292+D$3)-INDEX($B$5:$B$344,$A292-1)-1,"")))</f>
        <v/>
      </c>
      <c r="E292" s="11">
        <f>IF(OR($A292=1,$B292="",$A292+E$3&gt;340),"",IF(INDEX($B$5:$B$344,$A292+E$3)="","",IF(AND(YEAR($B292)=$B$2,YEAR(INDEX($B$5:$B$344,$A292+E$3-1))=$B$2),INDEX($B$5:$B$344,$A292+E$3)-INDEX($B$5:$B$344,$A292-1)-1,"")))</f>
        <v/>
      </c>
      <c r="F292" s="11">
        <f>IF(OR($A292=1,$B292="",$A292+F$3&gt;340),"",IF(INDEX($B$5:$B$344,$A292+F$3)="","",IF(AND(YEAR($B292)=$B$2,YEAR(INDEX($B$5:$B$344,$A292+F$3-1))=$B$2),INDEX($B$5:$B$344,$A292+F$3)-INDEX($B$5:$B$344,$A292-1)-1,"")))</f>
        <v/>
      </c>
      <c r="G292" s="11">
        <f>IF(OR($A292=1,$B292="",$A292+G$3&gt;340),"",IF(INDEX($B$5:$B$344,$A292+G$3)="","",IF(AND(YEAR($B292)=$B$2,YEAR(INDEX($B$5:$B$344,$A292+G$3-1))=$B$2),INDEX($B$5:$B$344,$A292+G$3)-INDEX($B$5:$B$344,$A292-1)-1,"")))</f>
        <v/>
      </c>
      <c r="H292" s="11">
        <f>IF(OR($A292=1,$B292="",$A292+H$3&gt;340),"",IF(INDEX($B$5:$B$344,$A292+H$3)="","",IF(AND(YEAR($B292)=$B$2,YEAR(INDEX($B$5:$B$344,$A292+H$3-1))=$B$2),INDEX($B$5:$B$344,$A292+H$3)-INDEX($B$5:$B$344,$A292-1)-1,"")))</f>
        <v/>
      </c>
      <c r="I292" s="11">
        <f>IF(OR($A292=1,$B292="",$A292+I$3&gt;340),"",IF(INDEX($B$5:$B$344,$A292+I$3)="","",IF(AND(YEAR($B292)=$B$2,YEAR(INDEX($B$5:$B$344,$A292+I$3-1))=$B$2),INDEX($B$5:$B$344,$A292+I$3)-INDEX($B$5:$B$344,$A292-1)-1,"")))</f>
        <v/>
      </c>
      <c r="J292" s="11">
        <f>IF(OR($A292=1,$B292="",$A292+J$3&gt;340),"",IF(INDEX($B$5:$B$344,$A292+J$3)="","",IF(AND(YEAR($B292)=$B$2,YEAR(INDEX($B$5:$B$344,$A292+J$3-1))=$B$2),INDEX($B$5:$B$344,$A292+J$3)-INDEX($B$5:$B$344,$A292-1)-1,"")))</f>
        <v/>
      </c>
      <c r="K292" s="11">
        <f>IF(OR($A292=1,$B292="",$A292+K$3&gt;340),"",IF(INDEX($B$5:$B$344,$A292+K$3)="","",IF(AND(YEAR($B292)=$B$2,YEAR(INDEX($B$5:$B$344,$A292+K$3-1))=$B$2),INDEX($B$5:$B$344,$A292+K$3)-INDEX($B$5:$B$344,$A292-1)-1,"")))</f>
        <v/>
      </c>
      <c r="L292" s="11">
        <f>IF(OR($A292=1,$B292="",$A292+L$3&gt;340),"",IF(INDEX($B$5:$B$344,$A292+L$3)="","",IF(AND(YEAR($B292)=$B$2,YEAR(INDEX($B$5:$B$344,$A292+L$3-1))=$B$2),INDEX($B$5:$B$344,$A292+L$3)-INDEX($B$5:$B$344,$A292-1)-1,"")))</f>
        <v/>
      </c>
      <c r="M292" s="11">
        <f>IF(OR($A292=1,$B292="",$A292+M$3&gt;340),"",IF(INDEX($B$5:$B$344,$A292+M$3)="","",IF(AND(YEAR($B292)=$B$2,YEAR(INDEX($B$5:$B$344,$A292+M$3-1))=$B$2),INDEX($B$5:$B$344,$A292+M$3)-INDEX($B$5:$B$344,$A292-1)-1,"")))</f>
        <v/>
      </c>
    </row>
    <row r="293">
      <c r="A293" s="11" t="n">
        <v>289</v>
      </c>
      <c r="B293" s="10">
        <f>IFERROR(INDEX('2_暦'!$A$7:$A$433,MATCH(A293,'2_暦'!$K$7:$K$433,0)),"")</f>
        <v/>
      </c>
      <c r="C293" s="11">
        <f>IF(OR($A293=1,$B293=""),"",IF(OR(YEAR($B293-1)=$B$2,YEAR(INDEX($B$5:$B$344,$A293-1)+1)=$B$2),$B293-INDEX($B$5:$B$344,$A293-1)-1,""))</f>
        <v/>
      </c>
      <c r="D293" s="11">
        <f>IF(OR($A293=1,$B293="",$A293+D$3&gt;340),"",IF(INDEX($B$5:$B$344,$A293+D$3)="","",IF(AND(YEAR($B293)=$B$2,YEAR(INDEX($B$5:$B$344,$A293+D$3-1))=$B$2),INDEX($B$5:$B$344,$A293+D$3)-INDEX($B$5:$B$344,$A293-1)-1,"")))</f>
        <v/>
      </c>
      <c r="E293" s="11">
        <f>IF(OR($A293=1,$B293="",$A293+E$3&gt;340),"",IF(INDEX($B$5:$B$344,$A293+E$3)="","",IF(AND(YEAR($B293)=$B$2,YEAR(INDEX($B$5:$B$344,$A293+E$3-1))=$B$2),INDEX($B$5:$B$344,$A293+E$3)-INDEX($B$5:$B$344,$A293-1)-1,"")))</f>
        <v/>
      </c>
      <c r="F293" s="11">
        <f>IF(OR($A293=1,$B293="",$A293+F$3&gt;340),"",IF(INDEX($B$5:$B$344,$A293+F$3)="","",IF(AND(YEAR($B293)=$B$2,YEAR(INDEX($B$5:$B$344,$A293+F$3-1))=$B$2),INDEX($B$5:$B$344,$A293+F$3)-INDEX($B$5:$B$344,$A293-1)-1,"")))</f>
        <v/>
      </c>
      <c r="G293" s="11">
        <f>IF(OR($A293=1,$B293="",$A293+G$3&gt;340),"",IF(INDEX($B$5:$B$344,$A293+G$3)="","",IF(AND(YEAR($B293)=$B$2,YEAR(INDEX($B$5:$B$344,$A293+G$3-1))=$B$2),INDEX($B$5:$B$344,$A293+G$3)-INDEX($B$5:$B$344,$A293-1)-1,"")))</f>
        <v/>
      </c>
      <c r="H293" s="11">
        <f>IF(OR($A293=1,$B293="",$A293+H$3&gt;340),"",IF(INDEX($B$5:$B$344,$A293+H$3)="","",IF(AND(YEAR($B293)=$B$2,YEAR(INDEX($B$5:$B$344,$A293+H$3-1))=$B$2),INDEX($B$5:$B$344,$A293+H$3)-INDEX($B$5:$B$344,$A293-1)-1,"")))</f>
        <v/>
      </c>
      <c r="I293" s="11">
        <f>IF(OR($A293=1,$B293="",$A293+I$3&gt;340),"",IF(INDEX($B$5:$B$344,$A293+I$3)="","",IF(AND(YEAR($B293)=$B$2,YEAR(INDEX($B$5:$B$344,$A293+I$3-1))=$B$2),INDEX($B$5:$B$344,$A293+I$3)-INDEX($B$5:$B$344,$A293-1)-1,"")))</f>
        <v/>
      </c>
      <c r="J293" s="11">
        <f>IF(OR($A293=1,$B293="",$A293+J$3&gt;340),"",IF(INDEX($B$5:$B$344,$A293+J$3)="","",IF(AND(YEAR($B293)=$B$2,YEAR(INDEX($B$5:$B$344,$A293+J$3-1))=$B$2),INDEX($B$5:$B$344,$A293+J$3)-INDEX($B$5:$B$344,$A293-1)-1,"")))</f>
        <v/>
      </c>
      <c r="K293" s="11">
        <f>IF(OR($A293=1,$B293="",$A293+K$3&gt;340),"",IF(INDEX($B$5:$B$344,$A293+K$3)="","",IF(AND(YEAR($B293)=$B$2,YEAR(INDEX($B$5:$B$344,$A293+K$3-1))=$B$2),INDEX($B$5:$B$344,$A293+K$3)-INDEX($B$5:$B$344,$A293-1)-1,"")))</f>
        <v/>
      </c>
      <c r="L293" s="11">
        <f>IF(OR($A293=1,$B293="",$A293+L$3&gt;340),"",IF(INDEX($B$5:$B$344,$A293+L$3)="","",IF(AND(YEAR($B293)=$B$2,YEAR(INDEX($B$5:$B$344,$A293+L$3-1))=$B$2),INDEX($B$5:$B$344,$A293+L$3)-INDEX($B$5:$B$344,$A293-1)-1,"")))</f>
        <v/>
      </c>
      <c r="M293" s="11">
        <f>IF(OR($A293=1,$B293="",$A293+M$3&gt;340),"",IF(INDEX($B$5:$B$344,$A293+M$3)="","",IF(AND(YEAR($B293)=$B$2,YEAR(INDEX($B$5:$B$344,$A293+M$3-1))=$B$2),INDEX($B$5:$B$344,$A293+M$3)-INDEX($B$5:$B$344,$A293-1)-1,"")))</f>
        <v/>
      </c>
    </row>
    <row r="294">
      <c r="A294" s="11" t="n">
        <v>290</v>
      </c>
      <c r="B294" s="10">
        <f>IFERROR(INDEX('2_暦'!$A$7:$A$433,MATCH(A294,'2_暦'!$K$7:$K$433,0)),"")</f>
        <v/>
      </c>
      <c r="C294" s="11">
        <f>IF(OR($A294=1,$B294=""),"",IF(OR(YEAR($B294-1)=$B$2,YEAR(INDEX($B$5:$B$344,$A294-1)+1)=$B$2),$B294-INDEX($B$5:$B$344,$A294-1)-1,""))</f>
        <v/>
      </c>
      <c r="D294" s="11">
        <f>IF(OR($A294=1,$B294="",$A294+D$3&gt;340),"",IF(INDEX($B$5:$B$344,$A294+D$3)="","",IF(AND(YEAR($B294)=$B$2,YEAR(INDEX($B$5:$B$344,$A294+D$3-1))=$B$2),INDEX($B$5:$B$344,$A294+D$3)-INDEX($B$5:$B$344,$A294-1)-1,"")))</f>
        <v/>
      </c>
      <c r="E294" s="11">
        <f>IF(OR($A294=1,$B294="",$A294+E$3&gt;340),"",IF(INDEX($B$5:$B$344,$A294+E$3)="","",IF(AND(YEAR($B294)=$B$2,YEAR(INDEX($B$5:$B$344,$A294+E$3-1))=$B$2),INDEX($B$5:$B$344,$A294+E$3)-INDEX($B$5:$B$344,$A294-1)-1,"")))</f>
        <v/>
      </c>
      <c r="F294" s="11">
        <f>IF(OR($A294=1,$B294="",$A294+F$3&gt;340),"",IF(INDEX($B$5:$B$344,$A294+F$3)="","",IF(AND(YEAR($B294)=$B$2,YEAR(INDEX($B$5:$B$344,$A294+F$3-1))=$B$2),INDEX($B$5:$B$344,$A294+F$3)-INDEX($B$5:$B$344,$A294-1)-1,"")))</f>
        <v/>
      </c>
      <c r="G294" s="11">
        <f>IF(OR($A294=1,$B294="",$A294+G$3&gt;340),"",IF(INDEX($B$5:$B$344,$A294+G$3)="","",IF(AND(YEAR($B294)=$B$2,YEAR(INDEX($B$5:$B$344,$A294+G$3-1))=$B$2),INDEX($B$5:$B$344,$A294+G$3)-INDEX($B$5:$B$344,$A294-1)-1,"")))</f>
        <v/>
      </c>
      <c r="H294" s="11">
        <f>IF(OR($A294=1,$B294="",$A294+H$3&gt;340),"",IF(INDEX($B$5:$B$344,$A294+H$3)="","",IF(AND(YEAR($B294)=$B$2,YEAR(INDEX($B$5:$B$344,$A294+H$3-1))=$B$2),INDEX($B$5:$B$344,$A294+H$3)-INDEX($B$5:$B$344,$A294-1)-1,"")))</f>
        <v/>
      </c>
      <c r="I294" s="11">
        <f>IF(OR($A294=1,$B294="",$A294+I$3&gt;340),"",IF(INDEX($B$5:$B$344,$A294+I$3)="","",IF(AND(YEAR($B294)=$B$2,YEAR(INDEX($B$5:$B$344,$A294+I$3-1))=$B$2),INDEX($B$5:$B$344,$A294+I$3)-INDEX($B$5:$B$344,$A294-1)-1,"")))</f>
        <v/>
      </c>
      <c r="J294" s="11">
        <f>IF(OR($A294=1,$B294="",$A294+J$3&gt;340),"",IF(INDEX($B$5:$B$344,$A294+J$3)="","",IF(AND(YEAR($B294)=$B$2,YEAR(INDEX($B$5:$B$344,$A294+J$3-1))=$B$2),INDEX($B$5:$B$344,$A294+J$3)-INDEX($B$5:$B$344,$A294-1)-1,"")))</f>
        <v/>
      </c>
      <c r="K294" s="11">
        <f>IF(OR($A294=1,$B294="",$A294+K$3&gt;340),"",IF(INDEX($B$5:$B$344,$A294+K$3)="","",IF(AND(YEAR($B294)=$B$2,YEAR(INDEX($B$5:$B$344,$A294+K$3-1))=$B$2),INDEX($B$5:$B$344,$A294+K$3)-INDEX($B$5:$B$344,$A294-1)-1,"")))</f>
        <v/>
      </c>
      <c r="L294" s="11">
        <f>IF(OR($A294=1,$B294="",$A294+L$3&gt;340),"",IF(INDEX($B$5:$B$344,$A294+L$3)="","",IF(AND(YEAR($B294)=$B$2,YEAR(INDEX($B$5:$B$344,$A294+L$3-1))=$B$2),INDEX($B$5:$B$344,$A294+L$3)-INDEX($B$5:$B$344,$A294-1)-1,"")))</f>
        <v/>
      </c>
      <c r="M294" s="11">
        <f>IF(OR($A294=1,$B294="",$A294+M$3&gt;340),"",IF(INDEX($B$5:$B$344,$A294+M$3)="","",IF(AND(YEAR($B294)=$B$2,YEAR(INDEX($B$5:$B$344,$A294+M$3-1))=$B$2),INDEX($B$5:$B$344,$A294+M$3)-INDEX($B$5:$B$344,$A294-1)-1,"")))</f>
        <v/>
      </c>
    </row>
    <row r="295">
      <c r="A295" s="11" t="n">
        <v>291</v>
      </c>
      <c r="B295" s="10">
        <f>IFERROR(INDEX('2_暦'!$A$7:$A$433,MATCH(A295,'2_暦'!$K$7:$K$433,0)),"")</f>
        <v/>
      </c>
      <c r="C295" s="11">
        <f>IF(OR($A295=1,$B295=""),"",IF(OR(YEAR($B295-1)=$B$2,YEAR(INDEX($B$5:$B$344,$A295-1)+1)=$B$2),$B295-INDEX($B$5:$B$344,$A295-1)-1,""))</f>
        <v/>
      </c>
      <c r="D295" s="11">
        <f>IF(OR($A295=1,$B295="",$A295+D$3&gt;340),"",IF(INDEX($B$5:$B$344,$A295+D$3)="","",IF(AND(YEAR($B295)=$B$2,YEAR(INDEX($B$5:$B$344,$A295+D$3-1))=$B$2),INDEX($B$5:$B$344,$A295+D$3)-INDEX($B$5:$B$344,$A295-1)-1,"")))</f>
        <v/>
      </c>
      <c r="E295" s="11">
        <f>IF(OR($A295=1,$B295="",$A295+E$3&gt;340),"",IF(INDEX($B$5:$B$344,$A295+E$3)="","",IF(AND(YEAR($B295)=$B$2,YEAR(INDEX($B$5:$B$344,$A295+E$3-1))=$B$2),INDEX($B$5:$B$344,$A295+E$3)-INDEX($B$5:$B$344,$A295-1)-1,"")))</f>
        <v/>
      </c>
      <c r="F295" s="11">
        <f>IF(OR($A295=1,$B295="",$A295+F$3&gt;340),"",IF(INDEX($B$5:$B$344,$A295+F$3)="","",IF(AND(YEAR($B295)=$B$2,YEAR(INDEX($B$5:$B$344,$A295+F$3-1))=$B$2),INDEX($B$5:$B$344,$A295+F$3)-INDEX($B$5:$B$344,$A295-1)-1,"")))</f>
        <v/>
      </c>
      <c r="G295" s="11">
        <f>IF(OR($A295=1,$B295="",$A295+G$3&gt;340),"",IF(INDEX($B$5:$B$344,$A295+G$3)="","",IF(AND(YEAR($B295)=$B$2,YEAR(INDEX($B$5:$B$344,$A295+G$3-1))=$B$2),INDEX($B$5:$B$344,$A295+G$3)-INDEX($B$5:$B$344,$A295-1)-1,"")))</f>
        <v/>
      </c>
      <c r="H295" s="11">
        <f>IF(OR($A295=1,$B295="",$A295+H$3&gt;340),"",IF(INDEX($B$5:$B$344,$A295+H$3)="","",IF(AND(YEAR($B295)=$B$2,YEAR(INDEX($B$5:$B$344,$A295+H$3-1))=$B$2),INDEX($B$5:$B$344,$A295+H$3)-INDEX($B$5:$B$344,$A295-1)-1,"")))</f>
        <v/>
      </c>
      <c r="I295" s="11">
        <f>IF(OR($A295=1,$B295="",$A295+I$3&gt;340),"",IF(INDEX($B$5:$B$344,$A295+I$3)="","",IF(AND(YEAR($B295)=$B$2,YEAR(INDEX($B$5:$B$344,$A295+I$3-1))=$B$2),INDEX($B$5:$B$344,$A295+I$3)-INDEX($B$5:$B$344,$A295-1)-1,"")))</f>
        <v/>
      </c>
      <c r="J295" s="11">
        <f>IF(OR($A295=1,$B295="",$A295+J$3&gt;340),"",IF(INDEX($B$5:$B$344,$A295+J$3)="","",IF(AND(YEAR($B295)=$B$2,YEAR(INDEX($B$5:$B$344,$A295+J$3-1))=$B$2),INDEX($B$5:$B$344,$A295+J$3)-INDEX($B$5:$B$344,$A295-1)-1,"")))</f>
        <v/>
      </c>
      <c r="K295" s="11">
        <f>IF(OR($A295=1,$B295="",$A295+K$3&gt;340),"",IF(INDEX($B$5:$B$344,$A295+K$3)="","",IF(AND(YEAR($B295)=$B$2,YEAR(INDEX($B$5:$B$344,$A295+K$3-1))=$B$2),INDEX($B$5:$B$344,$A295+K$3)-INDEX($B$5:$B$344,$A295-1)-1,"")))</f>
        <v/>
      </c>
      <c r="L295" s="11">
        <f>IF(OR($A295=1,$B295="",$A295+L$3&gt;340),"",IF(INDEX($B$5:$B$344,$A295+L$3)="","",IF(AND(YEAR($B295)=$B$2,YEAR(INDEX($B$5:$B$344,$A295+L$3-1))=$B$2),INDEX($B$5:$B$344,$A295+L$3)-INDEX($B$5:$B$344,$A295-1)-1,"")))</f>
        <v/>
      </c>
      <c r="M295" s="11">
        <f>IF(OR($A295=1,$B295="",$A295+M$3&gt;340),"",IF(INDEX($B$5:$B$344,$A295+M$3)="","",IF(AND(YEAR($B295)=$B$2,YEAR(INDEX($B$5:$B$344,$A295+M$3-1))=$B$2),INDEX($B$5:$B$344,$A295+M$3)-INDEX($B$5:$B$344,$A295-1)-1,"")))</f>
        <v/>
      </c>
    </row>
    <row r="296">
      <c r="A296" s="11" t="n">
        <v>292</v>
      </c>
      <c r="B296" s="10">
        <f>IFERROR(INDEX('2_暦'!$A$7:$A$433,MATCH(A296,'2_暦'!$K$7:$K$433,0)),"")</f>
        <v/>
      </c>
      <c r="C296" s="11">
        <f>IF(OR($A296=1,$B296=""),"",IF(OR(YEAR($B296-1)=$B$2,YEAR(INDEX($B$5:$B$344,$A296-1)+1)=$B$2),$B296-INDEX($B$5:$B$344,$A296-1)-1,""))</f>
        <v/>
      </c>
      <c r="D296" s="11">
        <f>IF(OR($A296=1,$B296="",$A296+D$3&gt;340),"",IF(INDEX($B$5:$B$344,$A296+D$3)="","",IF(AND(YEAR($B296)=$B$2,YEAR(INDEX($B$5:$B$344,$A296+D$3-1))=$B$2),INDEX($B$5:$B$344,$A296+D$3)-INDEX($B$5:$B$344,$A296-1)-1,"")))</f>
        <v/>
      </c>
      <c r="E296" s="11">
        <f>IF(OR($A296=1,$B296="",$A296+E$3&gt;340),"",IF(INDEX($B$5:$B$344,$A296+E$3)="","",IF(AND(YEAR($B296)=$B$2,YEAR(INDEX($B$5:$B$344,$A296+E$3-1))=$B$2),INDEX($B$5:$B$344,$A296+E$3)-INDEX($B$5:$B$344,$A296-1)-1,"")))</f>
        <v/>
      </c>
      <c r="F296" s="11">
        <f>IF(OR($A296=1,$B296="",$A296+F$3&gt;340),"",IF(INDEX($B$5:$B$344,$A296+F$3)="","",IF(AND(YEAR($B296)=$B$2,YEAR(INDEX($B$5:$B$344,$A296+F$3-1))=$B$2),INDEX($B$5:$B$344,$A296+F$3)-INDEX($B$5:$B$344,$A296-1)-1,"")))</f>
        <v/>
      </c>
      <c r="G296" s="11">
        <f>IF(OR($A296=1,$B296="",$A296+G$3&gt;340),"",IF(INDEX($B$5:$B$344,$A296+G$3)="","",IF(AND(YEAR($B296)=$B$2,YEAR(INDEX($B$5:$B$344,$A296+G$3-1))=$B$2),INDEX($B$5:$B$344,$A296+G$3)-INDEX($B$5:$B$344,$A296-1)-1,"")))</f>
        <v/>
      </c>
      <c r="H296" s="11">
        <f>IF(OR($A296=1,$B296="",$A296+H$3&gt;340),"",IF(INDEX($B$5:$B$344,$A296+H$3)="","",IF(AND(YEAR($B296)=$B$2,YEAR(INDEX($B$5:$B$344,$A296+H$3-1))=$B$2),INDEX($B$5:$B$344,$A296+H$3)-INDEX($B$5:$B$344,$A296-1)-1,"")))</f>
        <v/>
      </c>
      <c r="I296" s="11">
        <f>IF(OR($A296=1,$B296="",$A296+I$3&gt;340),"",IF(INDEX($B$5:$B$344,$A296+I$3)="","",IF(AND(YEAR($B296)=$B$2,YEAR(INDEX($B$5:$B$344,$A296+I$3-1))=$B$2),INDEX($B$5:$B$344,$A296+I$3)-INDEX($B$5:$B$344,$A296-1)-1,"")))</f>
        <v/>
      </c>
      <c r="J296" s="11">
        <f>IF(OR($A296=1,$B296="",$A296+J$3&gt;340),"",IF(INDEX($B$5:$B$344,$A296+J$3)="","",IF(AND(YEAR($B296)=$B$2,YEAR(INDEX($B$5:$B$344,$A296+J$3-1))=$B$2),INDEX($B$5:$B$344,$A296+J$3)-INDEX($B$5:$B$344,$A296-1)-1,"")))</f>
        <v/>
      </c>
      <c r="K296" s="11">
        <f>IF(OR($A296=1,$B296="",$A296+K$3&gt;340),"",IF(INDEX($B$5:$B$344,$A296+K$3)="","",IF(AND(YEAR($B296)=$B$2,YEAR(INDEX($B$5:$B$344,$A296+K$3-1))=$B$2),INDEX($B$5:$B$344,$A296+K$3)-INDEX($B$5:$B$344,$A296-1)-1,"")))</f>
        <v/>
      </c>
      <c r="L296" s="11">
        <f>IF(OR($A296=1,$B296="",$A296+L$3&gt;340),"",IF(INDEX($B$5:$B$344,$A296+L$3)="","",IF(AND(YEAR($B296)=$B$2,YEAR(INDEX($B$5:$B$344,$A296+L$3-1))=$B$2),INDEX($B$5:$B$344,$A296+L$3)-INDEX($B$5:$B$344,$A296-1)-1,"")))</f>
        <v/>
      </c>
      <c r="M296" s="11">
        <f>IF(OR($A296=1,$B296="",$A296+M$3&gt;340),"",IF(INDEX($B$5:$B$344,$A296+M$3)="","",IF(AND(YEAR($B296)=$B$2,YEAR(INDEX($B$5:$B$344,$A296+M$3-1))=$B$2),INDEX($B$5:$B$344,$A296+M$3)-INDEX($B$5:$B$344,$A296-1)-1,"")))</f>
        <v/>
      </c>
    </row>
    <row r="297">
      <c r="A297" s="11" t="n">
        <v>293</v>
      </c>
      <c r="B297" s="10">
        <f>IFERROR(INDEX('2_暦'!$A$7:$A$433,MATCH(A297,'2_暦'!$K$7:$K$433,0)),"")</f>
        <v/>
      </c>
      <c r="C297" s="11">
        <f>IF(OR($A297=1,$B297=""),"",IF(OR(YEAR($B297-1)=$B$2,YEAR(INDEX($B$5:$B$344,$A297-1)+1)=$B$2),$B297-INDEX($B$5:$B$344,$A297-1)-1,""))</f>
        <v/>
      </c>
      <c r="D297" s="11">
        <f>IF(OR($A297=1,$B297="",$A297+D$3&gt;340),"",IF(INDEX($B$5:$B$344,$A297+D$3)="","",IF(AND(YEAR($B297)=$B$2,YEAR(INDEX($B$5:$B$344,$A297+D$3-1))=$B$2),INDEX($B$5:$B$344,$A297+D$3)-INDEX($B$5:$B$344,$A297-1)-1,"")))</f>
        <v/>
      </c>
      <c r="E297" s="11">
        <f>IF(OR($A297=1,$B297="",$A297+E$3&gt;340),"",IF(INDEX($B$5:$B$344,$A297+E$3)="","",IF(AND(YEAR($B297)=$B$2,YEAR(INDEX($B$5:$B$344,$A297+E$3-1))=$B$2),INDEX($B$5:$B$344,$A297+E$3)-INDEX($B$5:$B$344,$A297-1)-1,"")))</f>
        <v/>
      </c>
      <c r="F297" s="11">
        <f>IF(OR($A297=1,$B297="",$A297+F$3&gt;340),"",IF(INDEX($B$5:$B$344,$A297+F$3)="","",IF(AND(YEAR($B297)=$B$2,YEAR(INDEX($B$5:$B$344,$A297+F$3-1))=$B$2),INDEX($B$5:$B$344,$A297+F$3)-INDEX($B$5:$B$344,$A297-1)-1,"")))</f>
        <v/>
      </c>
      <c r="G297" s="11">
        <f>IF(OR($A297=1,$B297="",$A297+G$3&gt;340),"",IF(INDEX($B$5:$B$344,$A297+G$3)="","",IF(AND(YEAR($B297)=$B$2,YEAR(INDEX($B$5:$B$344,$A297+G$3-1))=$B$2),INDEX($B$5:$B$344,$A297+G$3)-INDEX($B$5:$B$344,$A297-1)-1,"")))</f>
        <v/>
      </c>
      <c r="H297" s="11">
        <f>IF(OR($A297=1,$B297="",$A297+H$3&gt;340),"",IF(INDEX($B$5:$B$344,$A297+H$3)="","",IF(AND(YEAR($B297)=$B$2,YEAR(INDEX($B$5:$B$344,$A297+H$3-1))=$B$2),INDEX($B$5:$B$344,$A297+H$3)-INDEX($B$5:$B$344,$A297-1)-1,"")))</f>
        <v/>
      </c>
      <c r="I297" s="11">
        <f>IF(OR($A297=1,$B297="",$A297+I$3&gt;340),"",IF(INDEX($B$5:$B$344,$A297+I$3)="","",IF(AND(YEAR($B297)=$B$2,YEAR(INDEX($B$5:$B$344,$A297+I$3-1))=$B$2),INDEX($B$5:$B$344,$A297+I$3)-INDEX($B$5:$B$344,$A297-1)-1,"")))</f>
        <v/>
      </c>
      <c r="J297" s="11">
        <f>IF(OR($A297=1,$B297="",$A297+J$3&gt;340),"",IF(INDEX($B$5:$B$344,$A297+J$3)="","",IF(AND(YEAR($B297)=$B$2,YEAR(INDEX($B$5:$B$344,$A297+J$3-1))=$B$2),INDEX($B$5:$B$344,$A297+J$3)-INDEX($B$5:$B$344,$A297-1)-1,"")))</f>
        <v/>
      </c>
      <c r="K297" s="11">
        <f>IF(OR($A297=1,$B297="",$A297+K$3&gt;340),"",IF(INDEX($B$5:$B$344,$A297+K$3)="","",IF(AND(YEAR($B297)=$B$2,YEAR(INDEX($B$5:$B$344,$A297+K$3-1))=$B$2),INDEX($B$5:$B$344,$A297+K$3)-INDEX($B$5:$B$344,$A297-1)-1,"")))</f>
        <v/>
      </c>
      <c r="L297" s="11">
        <f>IF(OR($A297=1,$B297="",$A297+L$3&gt;340),"",IF(INDEX($B$5:$B$344,$A297+L$3)="","",IF(AND(YEAR($B297)=$B$2,YEAR(INDEX($B$5:$B$344,$A297+L$3-1))=$B$2),INDEX($B$5:$B$344,$A297+L$3)-INDEX($B$5:$B$344,$A297-1)-1,"")))</f>
        <v/>
      </c>
      <c r="M297" s="11">
        <f>IF(OR($A297=1,$B297="",$A297+M$3&gt;340),"",IF(INDEX($B$5:$B$344,$A297+M$3)="","",IF(AND(YEAR($B297)=$B$2,YEAR(INDEX($B$5:$B$344,$A297+M$3-1))=$B$2),INDEX($B$5:$B$344,$A297+M$3)-INDEX($B$5:$B$344,$A297-1)-1,"")))</f>
        <v/>
      </c>
    </row>
    <row r="298">
      <c r="A298" s="11" t="n">
        <v>294</v>
      </c>
      <c r="B298" s="10">
        <f>IFERROR(INDEX('2_暦'!$A$7:$A$433,MATCH(A298,'2_暦'!$K$7:$K$433,0)),"")</f>
        <v/>
      </c>
      <c r="C298" s="11">
        <f>IF(OR($A298=1,$B298=""),"",IF(OR(YEAR($B298-1)=$B$2,YEAR(INDEX($B$5:$B$344,$A298-1)+1)=$B$2),$B298-INDEX($B$5:$B$344,$A298-1)-1,""))</f>
        <v/>
      </c>
      <c r="D298" s="11">
        <f>IF(OR($A298=1,$B298="",$A298+D$3&gt;340),"",IF(INDEX($B$5:$B$344,$A298+D$3)="","",IF(AND(YEAR($B298)=$B$2,YEAR(INDEX($B$5:$B$344,$A298+D$3-1))=$B$2),INDEX($B$5:$B$344,$A298+D$3)-INDEX($B$5:$B$344,$A298-1)-1,"")))</f>
        <v/>
      </c>
      <c r="E298" s="11">
        <f>IF(OR($A298=1,$B298="",$A298+E$3&gt;340),"",IF(INDEX($B$5:$B$344,$A298+E$3)="","",IF(AND(YEAR($B298)=$B$2,YEAR(INDEX($B$5:$B$344,$A298+E$3-1))=$B$2),INDEX($B$5:$B$344,$A298+E$3)-INDEX($B$5:$B$344,$A298-1)-1,"")))</f>
        <v/>
      </c>
      <c r="F298" s="11">
        <f>IF(OR($A298=1,$B298="",$A298+F$3&gt;340),"",IF(INDEX($B$5:$B$344,$A298+F$3)="","",IF(AND(YEAR($B298)=$B$2,YEAR(INDEX($B$5:$B$344,$A298+F$3-1))=$B$2),INDEX($B$5:$B$344,$A298+F$3)-INDEX($B$5:$B$344,$A298-1)-1,"")))</f>
        <v/>
      </c>
      <c r="G298" s="11">
        <f>IF(OR($A298=1,$B298="",$A298+G$3&gt;340),"",IF(INDEX($B$5:$B$344,$A298+G$3)="","",IF(AND(YEAR($B298)=$B$2,YEAR(INDEX($B$5:$B$344,$A298+G$3-1))=$B$2),INDEX($B$5:$B$344,$A298+G$3)-INDEX($B$5:$B$344,$A298-1)-1,"")))</f>
        <v/>
      </c>
      <c r="H298" s="11">
        <f>IF(OR($A298=1,$B298="",$A298+H$3&gt;340),"",IF(INDEX($B$5:$B$344,$A298+H$3)="","",IF(AND(YEAR($B298)=$B$2,YEAR(INDEX($B$5:$B$344,$A298+H$3-1))=$B$2),INDEX($B$5:$B$344,$A298+H$3)-INDEX($B$5:$B$344,$A298-1)-1,"")))</f>
        <v/>
      </c>
      <c r="I298" s="11">
        <f>IF(OR($A298=1,$B298="",$A298+I$3&gt;340),"",IF(INDEX($B$5:$B$344,$A298+I$3)="","",IF(AND(YEAR($B298)=$B$2,YEAR(INDEX($B$5:$B$344,$A298+I$3-1))=$B$2),INDEX($B$5:$B$344,$A298+I$3)-INDEX($B$5:$B$344,$A298-1)-1,"")))</f>
        <v/>
      </c>
      <c r="J298" s="11">
        <f>IF(OR($A298=1,$B298="",$A298+J$3&gt;340),"",IF(INDEX($B$5:$B$344,$A298+J$3)="","",IF(AND(YEAR($B298)=$B$2,YEAR(INDEX($B$5:$B$344,$A298+J$3-1))=$B$2),INDEX($B$5:$B$344,$A298+J$3)-INDEX($B$5:$B$344,$A298-1)-1,"")))</f>
        <v/>
      </c>
      <c r="K298" s="11">
        <f>IF(OR($A298=1,$B298="",$A298+K$3&gt;340),"",IF(INDEX($B$5:$B$344,$A298+K$3)="","",IF(AND(YEAR($B298)=$B$2,YEAR(INDEX($B$5:$B$344,$A298+K$3-1))=$B$2),INDEX($B$5:$B$344,$A298+K$3)-INDEX($B$5:$B$344,$A298-1)-1,"")))</f>
        <v/>
      </c>
      <c r="L298" s="11">
        <f>IF(OR($A298=1,$B298="",$A298+L$3&gt;340),"",IF(INDEX($B$5:$B$344,$A298+L$3)="","",IF(AND(YEAR($B298)=$B$2,YEAR(INDEX($B$5:$B$344,$A298+L$3-1))=$B$2),INDEX($B$5:$B$344,$A298+L$3)-INDEX($B$5:$B$344,$A298-1)-1,"")))</f>
        <v/>
      </c>
      <c r="M298" s="11">
        <f>IF(OR($A298=1,$B298="",$A298+M$3&gt;340),"",IF(INDEX($B$5:$B$344,$A298+M$3)="","",IF(AND(YEAR($B298)=$B$2,YEAR(INDEX($B$5:$B$344,$A298+M$3-1))=$B$2),INDEX($B$5:$B$344,$A298+M$3)-INDEX($B$5:$B$344,$A298-1)-1,"")))</f>
        <v/>
      </c>
    </row>
    <row r="299">
      <c r="A299" s="11" t="n">
        <v>295</v>
      </c>
      <c r="B299" s="10">
        <f>IFERROR(INDEX('2_暦'!$A$7:$A$433,MATCH(A299,'2_暦'!$K$7:$K$433,0)),"")</f>
        <v/>
      </c>
      <c r="C299" s="11">
        <f>IF(OR($A299=1,$B299=""),"",IF(OR(YEAR($B299-1)=$B$2,YEAR(INDEX($B$5:$B$344,$A299-1)+1)=$B$2),$B299-INDEX($B$5:$B$344,$A299-1)-1,""))</f>
        <v/>
      </c>
      <c r="D299" s="11">
        <f>IF(OR($A299=1,$B299="",$A299+D$3&gt;340),"",IF(INDEX($B$5:$B$344,$A299+D$3)="","",IF(AND(YEAR($B299)=$B$2,YEAR(INDEX($B$5:$B$344,$A299+D$3-1))=$B$2),INDEX($B$5:$B$344,$A299+D$3)-INDEX($B$5:$B$344,$A299-1)-1,"")))</f>
        <v/>
      </c>
      <c r="E299" s="11">
        <f>IF(OR($A299=1,$B299="",$A299+E$3&gt;340),"",IF(INDEX($B$5:$B$344,$A299+E$3)="","",IF(AND(YEAR($B299)=$B$2,YEAR(INDEX($B$5:$B$344,$A299+E$3-1))=$B$2),INDEX($B$5:$B$344,$A299+E$3)-INDEX($B$5:$B$344,$A299-1)-1,"")))</f>
        <v/>
      </c>
      <c r="F299" s="11">
        <f>IF(OR($A299=1,$B299="",$A299+F$3&gt;340),"",IF(INDEX($B$5:$B$344,$A299+F$3)="","",IF(AND(YEAR($B299)=$B$2,YEAR(INDEX($B$5:$B$344,$A299+F$3-1))=$B$2),INDEX($B$5:$B$344,$A299+F$3)-INDEX($B$5:$B$344,$A299-1)-1,"")))</f>
        <v/>
      </c>
      <c r="G299" s="11">
        <f>IF(OR($A299=1,$B299="",$A299+G$3&gt;340),"",IF(INDEX($B$5:$B$344,$A299+G$3)="","",IF(AND(YEAR($B299)=$B$2,YEAR(INDEX($B$5:$B$344,$A299+G$3-1))=$B$2),INDEX($B$5:$B$344,$A299+G$3)-INDEX($B$5:$B$344,$A299-1)-1,"")))</f>
        <v/>
      </c>
      <c r="H299" s="11">
        <f>IF(OR($A299=1,$B299="",$A299+H$3&gt;340),"",IF(INDEX($B$5:$B$344,$A299+H$3)="","",IF(AND(YEAR($B299)=$B$2,YEAR(INDEX($B$5:$B$344,$A299+H$3-1))=$B$2),INDEX($B$5:$B$344,$A299+H$3)-INDEX($B$5:$B$344,$A299-1)-1,"")))</f>
        <v/>
      </c>
      <c r="I299" s="11">
        <f>IF(OR($A299=1,$B299="",$A299+I$3&gt;340),"",IF(INDEX($B$5:$B$344,$A299+I$3)="","",IF(AND(YEAR($B299)=$B$2,YEAR(INDEX($B$5:$B$344,$A299+I$3-1))=$B$2),INDEX($B$5:$B$344,$A299+I$3)-INDEX($B$5:$B$344,$A299-1)-1,"")))</f>
        <v/>
      </c>
      <c r="J299" s="11">
        <f>IF(OR($A299=1,$B299="",$A299+J$3&gt;340),"",IF(INDEX($B$5:$B$344,$A299+J$3)="","",IF(AND(YEAR($B299)=$B$2,YEAR(INDEX($B$5:$B$344,$A299+J$3-1))=$B$2),INDEX($B$5:$B$344,$A299+J$3)-INDEX($B$5:$B$344,$A299-1)-1,"")))</f>
        <v/>
      </c>
      <c r="K299" s="11">
        <f>IF(OR($A299=1,$B299="",$A299+K$3&gt;340),"",IF(INDEX($B$5:$B$344,$A299+K$3)="","",IF(AND(YEAR($B299)=$B$2,YEAR(INDEX($B$5:$B$344,$A299+K$3-1))=$B$2),INDEX($B$5:$B$344,$A299+K$3)-INDEX($B$5:$B$344,$A299-1)-1,"")))</f>
        <v/>
      </c>
      <c r="L299" s="11">
        <f>IF(OR($A299=1,$B299="",$A299+L$3&gt;340),"",IF(INDEX($B$5:$B$344,$A299+L$3)="","",IF(AND(YEAR($B299)=$B$2,YEAR(INDEX($B$5:$B$344,$A299+L$3-1))=$B$2),INDEX($B$5:$B$344,$A299+L$3)-INDEX($B$5:$B$344,$A299-1)-1,"")))</f>
        <v/>
      </c>
      <c r="M299" s="11">
        <f>IF(OR($A299=1,$B299="",$A299+M$3&gt;340),"",IF(INDEX($B$5:$B$344,$A299+M$3)="","",IF(AND(YEAR($B299)=$B$2,YEAR(INDEX($B$5:$B$344,$A299+M$3-1))=$B$2),INDEX($B$5:$B$344,$A299+M$3)-INDEX($B$5:$B$344,$A299-1)-1,"")))</f>
        <v/>
      </c>
    </row>
    <row r="300">
      <c r="A300" s="11" t="n">
        <v>296</v>
      </c>
      <c r="B300" s="10">
        <f>IFERROR(INDEX('2_暦'!$A$7:$A$433,MATCH(A300,'2_暦'!$K$7:$K$433,0)),"")</f>
        <v/>
      </c>
      <c r="C300" s="11">
        <f>IF(OR($A300=1,$B300=""),"",IF(OR(YEAR($B300-1)=$B$2,YEAR(INDEX($B$5:$B$344,$A300-1)+1)=$B$2),$B300-INDEX($B$5:$B$344,$A300-1)-1,""))</f>
        <v/>
      </c>
      <c r="D300" s="11">
        <f>IF(OR($A300=1,$B300="",$A300+D$3&gt;340),"",IF(INDEX($B$5:$B$344,$A300+D$3)="","",IF(AND(YEAR($B300)=$B$2,YEAR(INDEX($B$5:$B$344,$A300+D$3-1))=$B$2),INDEX($B$5:$B$344,$A300+D$3)-INDEX($B$5:$B$344,$A300-1)-1,"")))</f>
        <v/>
      </c>
      <c r="E300" s="11">
        <f>IF(OR($A300=1,$B300="",$A300+E$3&gt;340),"",IF(INDEX($B$5:$B$344,$A300+E$3)="","",IF(AND(YEAR($B300)=$B$2,YEAR(INDEX($B$5:$B$344,$A300+E$3-1))=$B$2),INDEX($B$5:$B$344,$A300+E$3)-INDEX($B$5:$B$344,$A300-1)-1,"")))</f>
        <v/>
      </c>
      <c r="F300" s="11">
        <f>IF(OR($A300=1,$B300="",$A300+F$3&gt;340),"",IF(INDEX($B$5:$B$344,$A300+F$3)="","",IF(AND(YEAR($B300)=$B$2,YEAR(INDEX($B$5:$B$344,$A300+F$3-1))=$B$2),INDEX($B$5:$B$344,$A300+F$3)-INDEX($B$5:$B$344,$A300-1)-1,"")))</f>
        <v/>
      </c>
      <c r="G300" s="11">
        <f>IF(OR($A300=1,$B300="",$A300+G$3&gt;340),"",IF(INDEX($B$5:$B$344,$A300+G$3)="","",IF(AND(YEAR($B300)=$B$2,YEAR(INDEX($B$5:$B$344,$A300+G$3-1))=$B$2),INDEX($B$5:$B$344,$A300+G$3)-INDEX($B$5:$B$344,$A300-1)-1,"")))</f>
        <v/>
      </c>
      <c r="H300" s="11">
        <f>IF(OR($A300=1,$B300="",$A300+H$3&gt;340),"",IF(INDEX($B$5:$B$344,$A300+H$3)="","",IF(AND(YEAR($B300)=$B$2,YEAR(INDEX($B$5:$B$344,$A300+H$3-1))=$B$2),INDEX($B$5:$B$344,$A300+H$3)-INDEX($B$5:$B$344,$A300-1)-1,"")))</f>
        <v/>
      </c>
      <c r="I300" s="11">
        <f>IF(OR($A300=1,$B300="",$A300+I$3&gt;340),"",IF(INDEX($B$5:$B$344,$A300+I$3)="","",IF(AND(YEAR($B300)=$B$2,YEAR(INDEX($B$5:$B$344,$A300+I$3-1))=$B$2),INDEX($B$5:$B$344,$A300+I$3)-INDEX($B$5:$B$344,$A300-1)-1,"")))</f>
        <v/>
      </c>
      <c r="J300" s="11">
        <f>IF(OR($A300=1,$B300="",$A300+J$3&gt;340),"",IF(INDEX($B$5:$B$344,$A300+J$3)="","",IF(AND(YEAR($B300)=$B$2,YEAR(INDEX($B$5:$B$344,$A300+J$3-1))=$B$2),INDEX($B$5:$B$344,$A300+J$3)-INDEX($B$5:$B$344,$A300-1)-1,"")))</f>
        <v/>
      </c>
      <c r="K300" s="11">
        <f>IF(OR($A300=1,$B300="",$A300+K$3&gt;340),"",IF(INDEX($B$5:$B$344,$A300+K$3)="","",IF(AND(YEAR($B300)=$B$2,YEAR(INDEX($B$5:$B$344,$A300+K$3-1))=$B$2),INDEX($B$5:$B$344,$A300+K$3)-INDEX($B$5:$B$344,$A300-1)-1,"")))</f>
        <v/>
      </c>
      <c r="L300" s="11">
        <f>IF(OR($A300=1,$B300="",$A300+L$3&gt;340),"",IF(INDEX($B$5:$B$344,$A300+L$3)="","",IF(AND(YEAR($B300)=$B$2,YEAR(INDEX($B$5:$B$344,$A300+L$3-1))=$B$2),INDEX($B$5:$B$344,$A300+L$3)-INDEX($B$5:$B$344,$A300-1)-1,"")))</f>
        <v/>
      </c>
      <c r="M300" s="11">
        <f>IF(OR($A300=1,$B300="",$A300+M$3&gt;340),"",IF(INDEX($B$5:$B$344,$A300+M$3)="","",IF(AND(YEAR($B300)=$B$2,YEAR(INDEX($B$5:$B$344,$A300+M$3-1))=$B$2),INDEX($B$5:$B$344,$A300+M$3)-INDEX($B$5:$B$344,$A300-1)-1,"")))</f>
        <v/>
      </c>
    </row>
    <row r="301">
      <c r="A301" s="11" t="n">
        <v>297</v>
      </c>
      <c r="B301" s="10">
        <f>IFERROR(INDEX('2_暦'!$A$7:$A$433,MATCH(A301,'2_暦'!$K$7:$K$433,0)),"")</f>
        <v/>
      </c>
      <c r="C301" s="11">
        <f>IF(OR($A301=1,$B301=""),"",IF(OR(YEAR($B301-1)=$B$2,YEAR(INDEX($B$5:$B$344,$A301-1)+1)=$B$2),$B301-INDEX($B$5:$B$344,$A301-1)-1,""))</f>
        <v/>
      </c>
      <c r="D301" s="11">
        <f>IF(OR($A301=1,$B301="",$A301+D$3&gt;340),"",IF(INDEX($B$5:$B$344,$A301+D$3)="","",IF(AND(YEAR($B301)=$B$2,YEAR(INDEX($B$5:$B$344,$A301+D$3-1))=$B$2),INDEX($B$5:$B$344,$A301+D$3)-INDEX($B$5:$B$344,$A301-1)-1,"")))</f>
        <v/>
      </c>
      <c r="E301" s="11">
        <f>IF(OR($A301=1,$B301="",$A301+E$3&gt;340),"",IF(INDEX($B$5:$B$344,$A301+E$3)="","",IF(AND(YEAR($B301)=$B$2,YEAR(INDEX($B$5:$B$344,$A301+E$3-1))=$B$2),INDEX($B$5:$B$344,$A301+E$3)-INDEX($B$5:$B$344,$A301-1)-1,"")))</f>
        <v/>
      </c>
      <c r="F301" s="11">
        <f>IF(OR($A301=1,$B301="",$A301+F$3&gt;340),"",IF(INDEX($B$5:$B$344,$A301+F$3)="","",IF(AND(YEAR($B301)=$B$2,YEAR(INDEX($B$5:$B$344,$A301+F$3-1))=$B$2),INDEX($B$5:$B$344,$A301+F$3)-INDEX($B$5:$B$344,$A301-1)-1,"")))</f>
        <v/>
      </c>
      <c r="G301" s="11">
        <f>IF(OR($A301=1,$B301="",$A301+G$3&gt;340),"",IF(INDEX($B$5:$B$344,$A301+G$3)="","",IF(AND(YEAR($B301)=$B$2,YEAR(INDEX($B$5:$B$344,$A301+G$3-1))=$B$2),INDEX($B$5:$B$344,$A301+G$3)-INDEX($B$5:$B$344,$A301-1)-1,"")))</f>
        <v/>
      </c>
      <c r="H301" s="11">
        <f>IF(OR($A301=1,$B301="",$A301+H$3&gt;340),"",IF(INDEX($B$5:$B$344,$A301+H$3)="","",IF(AND(YEAR($B301)=$B$2,YEAR(INDEX($B$5:$B$344,$A301+H$3-1))=$B$2),INDEX($B$5:$B$344,$A301+H$3)-INDEX($B$5:$B$344,$A301-1)-1,"")))</f>
        <v/>
      </c>
      <c r="I301" s="11">
        <f>IF(OR($A301=1,$B301="",$A301+I$3&gt;340),"",IF(INDEX($B$5:$B$344,$A301+I$3)="","",IF(AND(YEAR($B301)=$B$2,YEAR(INDEX($B$5:$B$344,$A301+I$3-1))=$B$2),INDEX($B$5:$B$344,$A301+I$3)-INDEX($B$5:$B$344,$A301-1)-1,"")))</f>
        <v/>
      </c>
      <c r="J301" s="11">
        <f>IF(OR($A301=1,$B301="",$A301+J$3&gt;340),"",IF(INDEX($B$5:$B$344,$A301+J$3)="","",IF(AND(YEAR($B301)=$B$2,YEAR(INDEX($B$5:$B$344,$A301+J$3-1))=$B$2),INDEX($B$5:$B$344,$A301+J$3)-INDEX($B$5:$B$344,$A301-1)-1,"")))</f>
        <v/>
      </c>
      <c r="K301" s="11">
        <f>IF(OR($A301=1,$B301="",$A301+K$3&gt;340),"",IF(INDEX($B$5:$B$344,$A301+K$3)="","",IF(AND(YEAR($B301)=$B$2,YEAR(INDEX($B$5:$B$344,$A301+K$3-1))=$B$2),INDEX($B$5:$B$344,$A301+K$3)-INDEX($B$5:$B$344,$A301-1)-1,"")))</f>
        <v/>
      </c>
      <c r="L301" s="11">
        <f>IF(OR($A301=1,$B301="",$A301+L$3&gt;340),"",IF(INDEX($B$5:$B$344,$A301+L$3)="","",IF(AND(YEAR($B301)=$B$2,YEAR(INDEX($B$5:$B$344,$A301+L$3-1))=$B$2),INDEX($B$5:$B$344,$A301+L$3)-INDEX($B$5:$B$344,$A301-1)-1,"")))</f>
        <v/>
      </c>
      <c r="M301" s="11">
        <f>IF(OR($A301=1,$B301="",$A301+M$3&gt;340),"",IF(INDEX($B$5:$B$344,$A301+M$3)="","",IF(AND(YEAR($B301)=$B$2,YEAR(INDEX($B$5:$B$344,$A301+M$3-1))=$B$2),INDEX($B$5:$B$344,$A301+M$3)-INDEX($B$5:$B$344,$A301-1)-1,"")))</f>
        <v/>
      </c>
    </row>
    <row r="302">
      <c r="A302" s="11" t="n">
        <v>298</v>
      </c>
      <c r="B302" s="10">
        <f>IFERROR(INDEX('2_暦'!$A$7:$A$433,MATCH(A302,'2_暦'!$K$7:$K$433,0)),"")</f>
        <v/>
      </c>
      <c r="C302" s="11">
        <f>IF(OR($A302=1,$B302=""),"",IF(OR(YEAR($B302-1)=$B$2,YEAR(INDEX($B$5:$B$344,$A302-1)+1)=$B$2),$B302-INDEX($B$5:$B$344,$A302-1)-1,""))</f>
        <v/>
      </c>
      <c r="D302" s="11">
        <f>IF(OR($A302=1,$B302="",$A302+D$3&gt;340),"",IF(INDEX($B$5:$B$344,$A302+D$3)="","",IF(AND(YEAR($B302)=$B$2,YEAR(INDEX($B$5:$B$344,$A302+D$3-1))=$B$2),INDEX($B$5:$B$344,$A302+D$3)-INDEX($B$5:$B$344,$A302-1)-1,"")))</f>
        <v/>
      </c>
      <c r="E302" s="11">
        <f>IF(OR($A302=1,$B302="",$A302+E$3&gt;340),"",IF(INDEX($B$5:$B$344,$A302+E$3)="","",IF(AND(YEAR($B302)=$B$2,YEAR(INDEX($B$5:$B$344,$A302+E$3-1))=$B$2),INDEX($B$5:$B$344,$A302+E$3)-INDEX($B$5:$B$344,$A302-1)-1,"")))</f>
        <v/>
      </c>
      <c r="F302" s="11">
        <f>IF(OR($A302=1,$B302="",$A302+F$3&gt;340),"",IF(INDEX($B$5:$B$344,$A302+F$3)="","",IF(AND(YEAR($B302)=$B$2,YEAR(INDEX($B$5:$B$344,$A302+F$3-1))=$B$2),INDEX($B$5:$B$344,$A302+F$3)-INDEX($B$5:$B$344,$A302-1)-1,"")))</f>
        <v/>
      </c>
      <c r="G302" s="11">
        <f>IF(OR($A302=1,$B302="",$A302+G$3&gt;340),"",IF(INDEX($B$5:$B$344,$A302+G$3)="","",IF(AND(YEAR($B302)=$B$2,YEAR(INDEX($B$5:$B$344,$A302+G$3-1))=$B$2),INDEX($B$5:$B$344,$A302+G$3)-INDEX($B$5:$B$344,$A302-1)-1,"")))</f>
        <v/>
      </c>
      <c r="H302" s="11">
        <f>IF(OR($A302=1,$B302="",$A302+H$3&gt;340),"",IF(INDEX($B$5:$B$344,$A302+H$3)="","",IF(AND(YEAR($B302)=$B$2,YEAR(INDEX($B$5:$B$344,$A302+H$3-1))=$B$2),INDEX($B$5:$B$344,$A302+H$3)-INDEX($B$5:$B$344,$A302-1)-1,"")))</f>
        <v/>
      </c>
      <c r="I302" s="11">
        <f>IF(OR($A302=1,$B302="",$A302+I$3&gt;340),"",IF(INDEX($B$5:$B$344,$A302+I$3)="","",IF(AND(YEAR($B302)=$B$2,YEAR(INDEX($B$5:$B$344,$A302+I$3-1))=$B$2),INDEX($B$5:$B$344,$A302+I$3)-INDEX($B$5:$B$344,$A302-1)-1,"")))</f>
        <v/>
      </c>
      <c r="J302" s="11">
        <f>IF(OR($A302=1,$B302="",$A302+J$3&gt;340),"",IF(INDEX($B$5:$B$344,$A302+J$3)="","",IF(AND(YEAR($B302)=$B$2,YEAR(INDEX($B$5:$B$344,$A302+J$3-1))=$B$2),INDEX($B$5:$B$344,$A302+J$3)-INDEX($B$5:$B$344,$A302-1)-1,"")))</f>
        <v/>
      </c>
      <c r="K302" s="11">
        <f>IF(OR($A302=1,$B302="",$A302+K$3&gt;340),"",IF(INDEX($B$5:$B$344,$A302+K$3)="","",IF(AND(YEAR($B302)=$B$2,YEAR(INDEX($B$5:$B$344,$A302+K$3-1))=$B$2),INDEX($B$5:$B$344,$A302+K$3)-INDEX($B$5:$B$344,$A302-1)-1,"")))</f>
        <v/>
      </c>
      <c r="L302" s="11">
        <f>IF(OR($A302=1,$B302="",$A302+L$3&gt;340),"",IF(INDEX($B$5:$B$344,$A302+L$3)="","",IF(AND(YEAR($B302)=$B$2,YEAR(INDEX($B$5:$B$344,$A302+L$3-1))=$B$2),INDEX($B$5:$B$344,$A302+L$3)-INDEX($B$5:$B$344,$A302-1)-1,"")))</f>
        <v/>
      </c>
      <c r="M302" s="11">
        <f>IF(OR($A302=1,$B302="",$A302+M$3&gt;340),"",IF(INDEX($B$5:$B$344,$A302+M$3)="","",IF(AND(YEAR($B302)=$B$2,YEAR(INDEX($B$5:$B$344,$A302+M$3-1))=$B$2),INDEX($B$5:$B$344,$A302+M$3)-INDEX($B$5:$B$344,$A302-1)-1,"")))</f>
        <v/>
      </c>
    </row>
    <row r="303">
      <c r="A303" s="11" t="n">
        <v>299</v>
      </c>
      <c r="B303" s="10">
        <f>IFERROR(INDEX('2_暦'!$A$7:$A$433,MATCH(A303,'2_暦'!$K$7:$K$433,0)),"")</f>
        <v/>
      </c>
      <c r="C303" s="11">
        <f>IF(OR($A303=1,$B303=""),"",IF(OR(YEAR($B303-1)=$B$2,YEAR(INDEX($B$5:$B$344,$A303-1)+1)=$B$2),$B303-INDEX($B$5:$B$344,$A303-1)-1,""))</f>
        <v/>
      </c>
      <c r="D303" s="11">
        <f>IF(OR($A303=1,$B303="",$A303+D$3&gt;340),"",IF(INDEX($B$5:$B$344,$A303+D$3)="","",IF(AND(YEAR($B303)=$B$2,YEAR(INDEX($B$5:$B$344,$A303+D$3-1))=$B$2),INDEX($B$5:$B$344,$A303+D$3)-INDEX($B$5:$B$344,$A303-1)-1,"")))</f>
        <v/>
      </c>
      <c r="E303" s="11">
        <f>IF(OR($A303=1,$B303="",$A303+E$3&gt;340),"",IF(INDEX($B$5:$B$344,$A303+E$3)="","",IF(AND(YEAR($B303)=$B$2,YEAR(INDEX($B$5:$B$344,$A303+E$3-1))=$B$2),INDEX($B$5:$B$344,$A303+E$3)-INDEX($B$5:$B$344,$A303-1)-1,"")))</f>
        <v/>
      </c>
      <c r="F303" s="11">
        <f>IF(OR($A303=1,$B303="",$A303+F$3&gt;340),"",IF(INDEX($B$5:$B$344,$A303+F$3)="","",IF(AND(YEAR($B303)=$B$2,YEAR(INDEX($B$5:$B$344,$A303+F$3-1))=$B$2),INDEX($B$5:$B$344,$A303+F$3)-INDEX($B$5:$B$344,$A303-1)-1,"")))</f>
        <v/>
      </c>
      <c r="G303" s="11">
        <f>IF(OR($A303=1,$B303="",$A303+G$3&gt;340),"",IF(INDEX($B$5:$B$344,$A303+G$3)="","",IF(AND(YEAR($B303)=$B$2,YEAR(INDEX($B$5:$B$344,$A303+G$3-1))=$B$2),INDEX($B$5:$B$344,$A303+G$3)-INDEX($B$5:$B$344,$A303-1)-1,"")))</f>
        <v/>
      </c>
      <c r="H303" s="11">
        <f>IF(OR($A303=1,$B303="",$A303+H$3&gt;340),"",IF(INDEX($B$5:$B$344,$A303+H$3)="","",IF(AND(YEAR($B303)=$B$2,YEAR(INDEX($B$5:$B$344,$A303+H$3-1))=$B$2),INDEX($B$5:$B$344,$A303+H$3)-INDEX($B$5:$B$344,$A303-1)-1,"")))</f>
        <v/>
      </c>
      <c r="I303" s="11">
        <f>IF(OR($A303=1,$B303="",$A303+I$3&gt;340),"",IF(INDEX($B$5:$B$344,$A303+I$3)="","",IF(AND(YEAR($B303)=$B$2,YEAR(INDEX($B$5:$B$344,$A303+I$3-1))=$B$2),INDEX($B$5:$B$344,$A303+I$3)-INDEX($B$5:$B$344,$A303-1)-1,"")))</f>
        <v/>
      </c>
      <c r="J303" s="11">
        <f>IF(OR($A303=1,$B303="",$A303+J$3&gt;340),"",IF(INDEX($B$5:$B$344,$A303+J$3)="","",IF(AND(YEAR($B303)=$B$2,YEAR(INDEX($B$5:$B$344,$A303+J$3-1))=$B$2),INDEX($B$5:$B$344,$A303+J$3)-INDEX($B$5:$B$344,$A303-1)-1,"")))</f>
        <v/>
      </c>
      <c r="K303" s="11">
        <f>IF(OR($A303=1,$B303="",$A303+K$3&gt;340),"",IF(INDEX($B$5:$B$344,$A303+K$3)="","",IF(AND(YEAR($B303)=$B$2,YEAR(INDEX($B$5:$B$344,$A303+K$3-1))=$B$2),INDEX($B$5:$B$344,$A303+K$3)-INDEX($B$5:$B$344,$A303-1)-1,"")))</f>
        <v/>
      </c>
      <c r="L303" s="11">
        <f>IF(OR($A303=1,$B303="",$A303+L$3&gt;340),"",IF(INDEX($B$5:$B$344,$A303+L$3)="","",IF(AND(YEAR($B303)=$B$2,YEAR(INDEX($B$5:$B$344,$A303+L$3-1))=$B$2),INDEX($B$5:$B$344,$A303+L$3)-INDEX($B$5:$B$344,$A303-1)-1,"")))</f>
        <v/>
      </c>
      <c r="M303" s="11">
        <f>IF(OR($A303=1,$B303="",$A303+M$3&gt;340),"",IF(INDEX($B$5:$B$344,$A303+M$3)="","",IF(AND(YEAR($B303)=$B$2,YEAR(INDEX($B$5:$B$344,$A303+M$3-1))=$B$2),INDEX($B$5:$B$344,$A303+M$3)-INDEX($B$5:$B$344,$A303-1)-1,"")))</f>
        <v/>
      </c>
    </row>
    <row r="304">
      <c r="A304" s="11" t="n">
        <v>300</v>
      </c>
      <c r="B304" s="10">
        <f>IFERROR(INDEX('2_暦'!$A$7:$A$433,MATCH(A304,'2_暦'!$K$7:$K$433,0)),"")</f>
        <v/>
      </c>
      <c r="C304" s="11">
        <f>IF(OR($A304=1,$B304=""),"",IF(OR(YEAR($B304-1)=$B$2,YEAR(INDEX($B$5:$B$344,$A304-1)+1)=$B$2),$B304-INDEX($B$5:$B$344,$A304-1)-1,""))</f>
        <v/>
      </c>
      <c r="D304" s="11">
        <f>IF(OR($A304=1,$B304="",$A304+D$3&gt;340),"",IF(INDEX($B$5:$B$344,$A304+D$3)="","",IF(AND(YEAR($B304)=$B$2,YEAR(INDEX($B$5:$B$344,$A304+D$3-1))=$B$2),INDEX($B$5:$B$344,$A304+D$3)-INDEX($B$5:$B$344,$A304-1)-1,"")))</f>
        <v/>
      </c>
      <c r="E304" s="11">
        <f>IF(OR($A304=1,$B304="",$A304+E$3&gt;340),"",IF(INDEX($B$5:$B$344,$A304+E$3)="","",IF(AND(YEAR($B304)=$B$2,YEAR(INDEX($B$5:$B$344,$A304+E$3-1))=$B$2),INDEX($B$5:$B$344,$A304+E$3)-INDEX($B$5:$B$344,$A304-1)-1,"")))</f>
        <v/>
      </c>
      <c r="F304" s="11">
        <f>IF(OR($A304=1,$B304="",$A304+F$3&gt;340),"",IF(INDEX($B$5:$B$344,$A304+F$3)="","",IF(AND(YEAR($B304)=$B$2,YEAR(INDEX($B$5:$B$344,$A304+F$3-1))=$B$2),INDEX($B$5:$B$344,$A304+F$3)-INDEX($B$5:$B$344,$A304-1)-1,"")))</f>
        <v/>
      </c>
      <c r="G304" s="11">
        <f>IF(OR($A304=1,$B304="",$A304+G$3&gt;340),"",IF(INDEX($B$5:$B$344,$A304+G$3)="","",IF(AND(YEAR($B304)=$B$2,YEAR(INDEX($B$5:$B$344,$A304+G$3-1))=$B$2),INDEX($B$5:$B$344,$A304+G$3)-INDEX($B$5:$B$344,$A304-1)-1,"")))</f>
        <v/>
      </c>
      <c r="H304" s="11">
        <f>IF(OR($A304=1,$B304="",$A304+H$3&gt;340),"",IF(INDEX($B$5:$B$344,$A304+H$3)="","",IF(AND(YEAR($B304)=$B$2,YEAR(INDEX($B$5:$B$344,$A304+H$3-1))=$B$2),INDEX($B$5:$B$344,$A304+H$3)-INDEX($B$5:$B$344,$A304-1)-1,"")))</f>
        <v/>
      </c>
      <c r="I304" s="11">
        <f>IF(OR($A304=1,$B304="",$A304+I$3&gt;340),"",IF(INDEX($B$5:$B$344,$A304+I$3)="","",IF(AND(YEAR($B304)=$B$2,YEAR(INDEX($B$5:$B$344,$A304+I$3-1))=$B$2),INDEX($B$5:$B$344,$A304+I$3)-INDEX($B$5:$B$344,$A304-1)-1,"")))</f>
        <v/>
      </c>
      <c r="J304" s="11">
        <f>IF(OR($A304=1,$B304="",$A304+J$3&gt;340),"",IF(INDEX($B$5:$B$344,$A304+J$3)="","",IF(AND(YEAR($B304)=$B$2,YEAR(INDEX($B$5:$B$344,$A304+J$3-1))=$B$2),INDEX($B$5:$B$344,$A304+J$3)-INDEX($B$5:$B$344,$A304-1)-1,"")))</f>
        <v/>
      </c>
      <c r="K304" s="11">
        <f>IF(OR($A304=1,$B304="",$A304+K$3&gt;340),"",IF(INDEX($B$5:$B$344,$A304+K$3)="","",IF(AND(YEAR($B304)=$B$2,YEAR(INDEX($B$5:$B$344,$A304+K$3-1))=$B$2),INDEX($B$5:$B$344,$A304+K$3)-INDEX($B$5:$B$344,$A304-1)-1,"")))</f>
        <v/>
      </c>
      <c r="L304" s="11">
        <f>IF(OR($A304=1,$B304="",$A304+L$3&gt;340),"",IF(INDEX($B$5:$B$344,$A304+L$3)="","",IF(AND(YEAR($B304)=$B$2,YEAR(INDEX($B$5:$B$344,$A304+L$3-1))=$B$2),INDEX($B$5:$B$344,$A304+L$3)-INDEX($B$5:$B$344,$A304-1)-1,"")))</f>
        <v/>
      </c>
      <c r="M304" s="11">
        <f>IF(OR($A304=1,$B304="",$A304+M$3&gt;340),"",IF(INDEX($B$5:$B$344,$A304+M$3)="","",IF(AND(YEAR($B304)=$B$2,YEAR(INDEX($B$5:$B$344,$A304+M$3-1))=$B$2),INDEX($B$5:$B$344,$A304+M$3)-INDEX($B$5:$B$344,$A304-1)-1,"")))</f>
        <v/>
      </c>
    </row>
    <row r="305">
      <c r="A305" s="11" t="n">
        <v>301</v>
      </c>
      <c r="B305" s="10">
        <f>IFERROR(INDEX('2_暦'!$A$7:$A$433,MATCH(A305,'2_暦'!$K$7:$K$433,0)),"")</f>
        <v/>
      </c>
      <c r="C305" s="11">
        <f>IF(OR($A305=1,$B305=""),"",IF(OR(YEAR($B305-1)=$B$2,YEAR(INDEX($B$5:$B$344,$A305-1)+1)=$B$2),$B305-INDEX($B$5:$B$344,$A305-1)-1,""))</f>
        <v/>
      </c>
      <c r="D305" s="11">
        <f>IF(OR($A305=1,$B305="",$A305+D$3&gt;340),"",IF(INDEX($B$5:$B$344,$A305+D$3)="","",IF(AND(YEAR($B305)=$B$2,YEAR(INDEX($B$5:$B$344,$A305+D$3-1))=$B$2),INDEX($B$5:$B$344,$A305+D$3)-INDEX($B$5:$B$344,$A305-1)-1,"")))</f>
        <v/>
      </c>
      <c r="E305" s="11">
        <f>IF(OR($A305=1,$B305="",$A305+E$3&gt;340),"",IF(INDEX($B$5:$B$344,$A305+E$3)="","",IF(AND(YEAR($B305)=$B$2,YEAR(INDEX($B$5:$B$344,$A305+E$3-1))=$B$2),INDEX($B$5:$B$344,$A305+E$3)-INDEX($B$5:$B$344,$A305-1)-1,"")))</f>
        <v/>
      </c>
      <c r="F305" s="11">
        <f>IF(OR($A305=1,$B305="",$A305+F$3&gt;340),"",IF(INDEX($B$5:$B$344,$A305+F$3)="","",IF(AND(YEAR($B305)=$B$2,YEAR(INDEX($B$5:$B$344,$A305+F$3-1))=$B$2),INDEX($B$5:$B$344,$A305+F$3)-INDEX($B$5:$B$344,$A305-1)-1,"")))</f>
        <v/>
      </c>
      <c r="G305" s="11">
        <f>IF(OR($A305=1,$B305="",$A305+G$3&gt;340),"",IF(INDEX($B$5:$B$344,$A305+G$3)="","",IF(AND(YEAR($B305)=$B$2,YEAR(INDEX($B$5:$B$344,$A305+G$3-1))=$B$2),INDEX($B$5:$B$344,$A305+G$3)-INDEX($B$5:$B$344,$A305-1)-1,"")))</f>
        <v/>
      </c>
      <c r="H305" s="11">
        <f>IF(OR($A305=1,$B305="",$A305+H$3&gt;340),"",IF(INDEX($B$5:$B$344,$A305+H$3)="","",IF(AND(YEAR($B305)=$B$2,YEAR(INDEX($B$5:$B$344,$A305+H$3-1))=$B$2),INDEX($B$5:$B$344,$A305+H$3)-INDEX($B$5:$B$344,$A305-1)-1,"")))</f>
        <v/>
      </c>
      <c r="I305" s="11">
        <f>IF(OR($A305=1,$B305="",$A305+I$3&gt;340),"",IF(INDEX($B$5:$B$344,$A305+I$3)="","",IF(AND(YEAR($B305)=$B$2,YEAR(INDEX($B$5:$B$344,$A305+I$3-1))=$B$2),INDEX($B$5:$B$344,$A305+I$3)-INDEX($B$5:$B$344,$A305-1)-1,"")))</f>
        <v/>
      </c>
      <c r="J305" s="11">
        <f>IF(OR($A305=1,$B305="",$A305+J$3&gt;340),"",IF(INDEX($B$5:$B$344,$A305+J$3)="","",IF(AND(YEAR($B305)=$B$2,YEAR(INDEX($B$5:$B$344,$A305+J$3-1))=$B$2),INDEX($B$5:$B$344,$A305+J$3)-INDEX($B$5:$B$344,$A305-1)-1,"")))</f>
        <v/>
      </c>
      <c r="K305" s="11">
        <f>IF(OR($A305=1,$B305="",$A305+K$3&gt;340),"",IF(INDEX($B$5:$B$344,$A305+K$3)="","",IF(AND(YEAR($B305)=$B$2,YEAR(INDEX($B$5:$B$344,$A305+K$3-1))=$B$2),INDEX($B$5:$B$344,$A305+K$3)-INDEX($B$5:$B$344,$A305-1)-1,"")))</f>
        <v/>
      </c>
      <c r="L305" s="11">
        <f>IF(OR($A305=1,$B305="",$A305+L$3&gt;340),"",IF(INDEX($B$5:$B$344,$A305+L$3)="","",IF(AND(YEAR($B305)=$B$2,YEAR(INDEX($B$5:$B$344,$A305+L$3-1))=$B$2),INDEX($B$5:$B$344,$A305+L$3)-INDEX($B$5:$B$344,$A305-1)-1,"")))</f>
        <v/>
      </c>
      <c r="M305" s="11">
        <f>IF(OR($A305=1,$B305="",$A305+M$3&gt;340),"",IF(INDEX($B$5:$B$344,$A305+M$3)="","",IF(AND(YEAR($B305)=$B$2,YEAR(INDEX($B$5:$B$344,$A305+M$3-1))=$B$2),INDEX($B$5:$B$344,$A305+M$3)-INDEX($B$5:$B$344,$A305-1)-1,"")))</f>
        <v/>
      </c>
    </row>
    <row r="306">
      <c r="A306" s="11" t="n">
        <v>302</v>
      </c>
      <c r="B306" s="10">
        <f>IFERROR(INDEX('2_暦'!$A$7:$A$433,MATCH(A306,'2_暦'!$K$7:$K$433,0)),"")</f>
        <v/>
      </c>
      <c r="C306" s="11">
        <f>IF(OR($A306=1,$B306=""),"",IF(OR(YEAR($B306-1)=$B$2,YEAR(INDEX($B$5:$B$344,$A306-1)+1)=$B$2),$B306-INDEX($B$5:$B$344,$A306-1)-1,""))</f>
        <v/>
      </c>
      <c r="D306" s="11">
        <f>IF(OR($A306=1,$B306="",$A306+D$3&gt;340),"",IF(INDEX($B$5:$B$344,$A306+D$3)="","",IF(AND(YEAR($B306)=$B$2,YEAR(INDEX($B$5:$B$344,$A306+D$3-1))=$B$2),INDEX($B$5:$B$344,$A306+D$3)-INDEX($B$5:$B$344,$A306-1)-1,"")))</f>
        <v/>
      </c>
      <c r="E306" s="11">
        <f>IF(OR($A306=1,$B306="",$A306+E$3&gt;340),"",IF(INDEX($B$5:$B$344,$A306+E$3)="","",IF(AND(YEAR($B306)=$B$2,YEAR(INDEX($B$5:$B$344,$A306+E$3-1))=$B$2),INDEX($B$5:$B$344,$A306+E$3)-INDEX($B$5:$B$344,$A306-1)-1,"")))</f>
        <v/>
      </c>
      <c r="F306" s="11">
        <f>IF(OR($A306=1,$B306="",$A306+F$3&gt;340),"",IF(INDEX($B$5:$B$344,$A306+F$3)="","",IF(AND(YEAR($B306)=$B$2,YEAR(INDEX($B$5:$B$344,$A306+F$3-1))=$B$2),INDEX($B$5:$B$344,$A306+F$3)-INDEX($B$5:$B$344,$A306-1)-1,"")))</f>
        <v/>
      </c>
      <c r="G306" s="11">
        <f>IF(OR($A306=1,$B306="",$A306+G$3&gt;340),"",IF(INDEX($B$5:$B$344,$A306+G$3)="","",IF(AND(YEAR($B306)=$B$2,YEAR(INDEX($B$5:$B$344,$A306+G$3-1))=$B$2),INDEX($B$5:$B$344,$A306+G$3)-INDEX($B$5:$B$344,$A306-1)-1,"")))</f>
        <v/>
      </c>
      <c r="H306" s="11">
        <f>IF(OR($A306=1,$B306="",$A306+H$3&gt;340),"",IF(INDEX($B$5:$B$344,$A306+H$3)="","",IF(AND(YEAR($B306)=$B$2,YEAR(INDEX($B$5:$B$344,$A306+H$3-1))=$B$2),INDEX($B$5:$B$344,$A306+H$3)-INDEX($B$5:$B$344,$A306-1)-1,"")))</f>
        <v/>
      </c>
      <c r="I306" s="11">
        <f>IF(OR($A306=1,$B306="",$A306+I$3&gt;340),"",IF(INDEX($B$5:$B$344,$A306+I$3)="","",IF(AND(YEAR($B306)=$B$2,YEAR(INDEX($B$5:$B$344,$A306+I$3-1))=$B$2),INDEX($B$5:$B$344,$A306+I$3)-INDEX($B$5:$B$344,$A306-1)-1,"")))</f>
        <v/>
      </c>
      <c r="J306" s="11">
        <f>IF(OR($A306=1,$B306="",$A306+J$3&gt;340),"",IF(INDEX($B$5:$B$344,$A306+J$3)="","",IF(AND(YEAR($B306)=$B$2,YEAR(INDEX($B$5:$B$344,$A306+J$3-1))=$B$2),INDEX($B$5:$B$344,$A306+J$3)-INDEX($B$5:$B$344,$A306-1)-1,"")))</f>
        <v/>
      </c>
      <c r="K306" s="11">
        <f>IF(OR($A306=1,$B306="",$A306+K$3&gt;340),"",IF(INDEX($B$5:$B$344,$A306+K$3)="","",IF(AND(YEAR($B306)=$B$2,YEAR(INDEX($B$5:$B$344,$A306+K$3-1))=$B$2),INDEX($B$5:$B$344,$A306+K$3)-INDEX($B$5:$B$344,$A306-1)-1,"")))</f>
        <v/>
      </c>
      <c r="L306" s="11">
        <f>IF(OR($A306=1,$B306="",$A306+L$3&gt;340),"",IF(INDEX($B$5:$B$344,$A306+L$3)="","",IF(AND(YEAR($B306)=$B$2,YEAR(INDEX($B$5:$B$344,$A306+L$3-1))=$B$2),INDEX($B$5:$B$344,$A306+L$3)-INDEX($B$5:$B$344,$A306-1)-1,"")))</f>
        <v/>
      </c>
      <c r="M306" s="11">
        <f>IF(OR($A306=1,$B306="",$A306+M$3&gt;340),"",IF(INDEX($B$5:$B$344,$A306+M$3)="","",IF(AND(YEAR($B306)=$B$2,YEAR(INDEX($B$5:$B$344,$A306+M$3-1))=$B$2),INDEX($B$5:$B$344,$A306+M$3)-INDEX($B$5:$B$344,$A306-1)-1,"")))</f>
        <v/>
      </c>
    </row>
    <row r="307">
      <c r="A307" s="11" t="n">
        <v>303</v>
      </c>
      <c r="B307" s="10">
        <f>IFERROR(INDEX('2_暦'!$A$7:$A$433,MATCH(A307,'2_暦'!$K$7:$K$433,0)),"")</f>
        <v/>
      </c>
      <c r="C307" s="11">
        <f>IF(OR($A307=1,$B307=""),"",IF(OR(YEAR($B307-1)=$B$2,YEAR(INDEX($B$5:$B$344,$A307-1)+1)=$B$2),$B307-INDEX($B$5:$B$344,$A307-1)-1,""))</f>
        <v/>
      </c>
      <c r="D307" s="11">
        <f>IF(OR($A307=1,$B307="",$A307+D$3&gt;340),"",IF(INDEX($B$5:$B$344,$A307+D$3)="","",IF(AND(YEAR($B307)=$B$2,YEAR(INDEX($B$5:$B$344,$A307+D$3-1))=$B$2),INDEX($B$5:$B$344,$A307+D$3)-INDEX($B$5:$B$344,$A307-1)-1,"")))</f>
        <v/>
      </c>
      <c r="E307" s="11">
        <f>IF(OR($A307=1,$B307="",$A307+E$3&gt;340),"",IF(INDEX($B$5:$B$344,$A307+E$3)="","",IF(AND(YEAR($B307)=$B$2,YEAR(INDEX($B$5:$B$344,$A307+E$3-1))=$B$2),INDEX($B$5:$B$344,$A307+E$3)-INDEX($B$5:$B$344,$A307-1)-1,"")))</f>
        <v/>
      </c>
      <c r="F307" s="11">
        <f>IF(OR($A307=1,$B307="",$A307+F$3&gt;340),"",IF(INDEX($B$5:$B$344,$A307+F$3)="","",IF(AND(YEAR($B307)=$B$2,YEAR(INDEX($B$5:$B$344,$A307+F$3-1))=$B$2),INDEX($B$5:$B$344,$A307+F$3)-INDEX($B$5:$B$344,$A307-1)-1,"")))</f>
        <v/>
      </c>
      <c r="G307" s="11">
        <f>IF(OR($A307=1,$B307="",$A307+G$3&gt;340),"",IF(INDEX($B$5:$B$344,$A307+G$3)="","",IF(AND(YEAR($B307)=$B$2,YEAR(INDEX($B$5:$B$344,$A307+G$3-1))=$B$2),INDEX($B$5:$B$344,$A307+G$3)-INDEX($B$5:$B$344,$A307-1)-1,"")))</f>
        <v/>
      </c>
      <c r="H307" s="11">
        <f>IF(OR($A307=1,$B307="",$A307+H$3&gt;340),"",IF(INDEX($B$5:$B$344,$A307+H$3)="","",IF(AND(YEAR($B307)=$B$2,YEAR(INDEX($B$5:$B$344,$A307+H$3-1))=$B$2),INDEX($B$5:$B$344,$A307+H$3)-INDEX($B$5:$B$344,$A307-1)-1,"")))</f>
        <v/>
      </c>
      <c r="I307" s="11">
        <f>IF(OR($A307=1,$B307="",$A307+I$3&gt;340),"",IF(INDEX($B$5:$B$344,$A307+I$3)="","",IF(AND(YEAR($B307)=$B$2,YEAR(INDEX($B$5:$B$344,$A307+I$3-1))=$B$2),INDEX($B$5:$B$344,$A307+I$3)-INDEX($B$5:$B$344,$A307-1)-1,"")))</f>
        <v/>
      </c>
      <c r="J307" s="11">
        <f>IF(OR($A307=1,$B307="",$A307+J$3&gt;340),"",IF(INDEX($B$5:$B$344,$A307+J$3)="","",IF(AND(YEAR($B307)=$B$2,YEAR(INDEX($B$5:$B$344,$A307+J$3-1))=$B$2),INDEX($B$5:$B$344,$A307+J$3)-INDEX($B$5:$B$344,$A307-1)-1,"")))</f>
        <v/>
      </c>
      <c r="K307" s="11">
        <f>IF(OR($A307=1,$B307="",$A307+K$3&gt;340),"",IF(INDEX($B$5:$B$344,$A307+K$3)="","",IF(AND(YEAR($B307)=$B$2,YEAR(INDEX($B$5:$B$344,$A307+K$3-1))=$B$2),INDEX($B$5:$B$344,$A307+K$3)-INDEX($B$5:$B$344,$A307-1)-1,"")))</f>
        <v/>
      </c>
      <c r="L307" s="11">
        <f>IF(OR($A307=1,$B307="",$A307+L$3&gt;340),"",IF(INDEX($B$5:$B$344,$A307+L$3)="","",IF(AND(YEAR($B307)=$B$2,YEAR(INDEX($B$5:$B$344,$A307+L$3-1))=$B$2),INDEX($B$5:$B$344,$A307+L$3)-INDEX($B$5:$B$344,$A307-1)-1,"")))</f>
        <v/>
      </c>
      <c r="M307" s="11">
        <f>IF(OR($A307=1,$B307="",$A307+M$3&gt;340),"",IF(INDEX($B$5:$B$344,$A307+M$3)="","",IF(AND(YEAR($B307)=$B$2,YEAR(INDEX($B$5:$B$344,$A307+M$3-1))=$B$2),INDEX($B$5:$B$344,$A307+M$3)-INDEX($B$5:$B$344,$A307-1)-1,"")))</f>
        <v/>
      </c>
    </row>
    <row r="308">
      <c r="A308" s="11" t="n">
        <v>304</v>
      </c>
      <c r="B308" s="10">
        <f>IFERROR(INDEX('2_暦'!$A$7:$A$433,MATCH(A308,'2_暦'!$K$7:$K$433,0)),"")</f>
        <v/>
      </c>
      <c r="C308" s="11">
        <f>IF(OR($A308=1,$B308=""),"",IF(OR(YEAR($B308-1)=$B$2,YEAR(INDEX($B$5:$B$344,$A308-1)+1)=$B$2),$B308-INDEX($B$5:$B$344,$A308-1)-1,""))</f>
        <v/>
      </c>
      <c r="D308" s="11">
        <f>IF(OR($A308=1,$B308="",$A308+D$3&gt;340),"",IF(INDEX($B$5:$B$344,$A308+D$3)="","",IF(AND(YEAR($B308)=$B$2,YEAR(INDEX($B$5:$B$344,$A308+D$3-1))=$B$2),INDEX($B$5:$B$344,$A308+D$3)-INDEX($B$5:$B$344,$A308-1)-1,"")))</f>
        <v/>
      </c>
      <c r="E308" s="11">
        <f>IF(OR($A308=1,$B308="",$A308+E$3&gt;340),"",IF(INDEX($B$5:$B$344,$A308+E$3)="","",IF(AND(YEAR($B308)=$B$2,YEAR(INDEX($B$5:$B$344,$A308+E$3-1))=$B$2),INDEX($B$5:$B$344,$A308+E$3)-INDEX($B$5:$B$344,$A308-1)-1,"")))</f>
        <v/>
      </c>
      <c r="F308" s="11">
        <f>IF(OR($A308=1,$B308="",$A308+F$3&gt;340),"",IF(INDEX($B$5:$B$344,$A308+F$3)="","",IF(AND(YEAR($B308)=$B$2,YEAR(INDEX($B$5:$B$344,$A308+F$3-1))=$B$2),INDEX($B$5:$B$344,$A308+F$3)-INDEX($B$5:$B$344,$A308-1)-1,"")))</f>
        <v/>
      </c>
      <c r="G308" s="11">
        <f>IF(OR($A308=1,$B308="",$A308+G$3&gt;340),"",IF(INDEX($B$5:$B$344,$A308+G$3)="","",IF(AND(YEAR($B308)=$B$2,YEAR(INDEX($B$5:$B$344,$A308+G$3-1))=$B$2),INDEX($B$5:$B$344,$A308+G$3)-INDEX($B$5:$B$344,$A308-1)-1,"")))</f>
        <v/>
      </c>
      <c r="H308" s="11">
        <f>IF(OR($A308=1,$B308="",$A308+H$3&gt;340),"",IF(INDEX($B$5:$B$344,$A308+H$3)="","",IF(AND(YEAR($B308)=$B$2,YEAR(INDEX($B$5:$B$344,$A308+H$3-1))=$B$2),INDEX($B$5:$B$344,$A308+H$3)-INDEX($B$5:$B$344,$A308-1)-1,"")))</f>
        <v/>
      </c>
      <c r="I308" s="11">
        <f>IF(OR($A308=1,$B308="",$A308+I$3&gt;340),"",IF(INDEX($B$5:$B$344,$A308+I$3)="","",IF(AND(YEAR($B308)=$B$2,YEAR(INDEX($B$5:$B$344,$A308+I$3-1))=$B$2),INDEX($B$5:$B$344,$A308+I$3)-INDEX($B$5:$B$344,$A308-1)-1,"")))</f>
        <v/>
      </c>
      <c r="J308" s="11">
        <f>IF(OR($A308=1,$B308="",$A308+J$3&gt;340),"",IF(INDEX($B$5:$B$344,$A308+J$3)="","",IF(AND(YEAR($B308)=$B$2,YEAR(INDEX($B$5:$B$344,$A308+J$3-1))=$B$2),INDEX($B$5:$B$344,$A308+J$3)-INDEX($B$5:$B$344,$A308-1)-1,"")))</f>
        <v/>
      </c>
      <c r="K308" s="11">
        <f>IF(OR($A308=1,$B308="",$A308+K$3&gt;340),"",IF(INDEX($B$5:$B$344,$A308+K$3)="","",IF(AND(YEAR($B308)=$B$2,YEAR(INDEX($B$5:$B$344,$A308+K$3-1))=$B$2),INDEX($B$5:$B$344,$A308+K$3)-INDEX($B$5:$B$344,$A308-1)-1,"")))</f>
        <v/>
      </c>
      <c r="L308" s="11">
        <f>IF(OR($A308=1,$B308="",$A308+L$3&gt;340),"",IF(INDEX($B$5:$B$344,$A308+L$3)="","",IF(AND(YEAR($B308)=$B$2,YEAR(INDEX($B$5:$B$344,$A308+L$3-1))=$B$2),INDEX($B$5:$B$344,$A308+L$3)-INDEX($B$5:$B$344,$A308-1)-1,"")))</f>
        <v/>
      </c>
      <c r="M308" s="11">
        <f>IF(OR($A308=1,$B308="",$A308+M$3&gt;340),"",IF(INDEX($B$5:$B$344,$A308+M$3)="","",IF(AND(YEAR($B308)=$B$2,YEAR(INDEX($B$5:$B$344,$A308+M$3-1))=$B$2),INDEX($B$5:$B$344,$A308+M$3)-INDEX($B$5:$B$344,$A308-1)-1,"")))</f>
        <v/>
      </c>
    </row>
    <row r="309">
      <c r="A309" s="11" t="n">
        <v>305</v>
      </c>
      <c r="B309" s="10">
        <f>IFERROR(INDEX('2_暦'!$A$7:$A$433,MATCH(A309,'2_暦'!$K$7:$K$433,0)),"")</f>
        <v/>
      </c>
      <c r="C309" s="11">
        <f>IF(OR($A309=1,$B309=""),"",IF(OR(YEAR($B309-1)=$B$2,YEAR(INDEX($B$5:$B$344,$A309-1)+1)=$B$2),$B309-INDEX($B$5:$B$344,$A309-1)-1,""))</f>
        <v/>
      </c>
      <c r="D309" s="11">
        <f>IF(OR($A309=1,$B309="",$A309+D$3&gt;340),"",IF(INDEX($B$5:$B$344,$A309+D$3)="","",IF(AND(YEAR($B309)=$B$2,YEAR(INDEX($B$5:$B$344,$A309+D$3-1))=$B$2),INDEX($B$5:$B$344,$A309+D$3)-INDEX($B$5:$B$344,$A309-1)-1,"")))</f>
        <v/>
      </c>
      <c r="E309" s="11">
        <f>IF(OR($A309=1,$B309="",$A309+E$3&gt;340),"",IF(INDEX($B$5:$B$344,$A309+E$3)="","",IF(AND(YEAR($B309)=$B$2,YEAR(INDEX($B$5:$B$344,$A309+E$3-1))=$B$2),INDEX($B$5:$B$344,$A309+E$3)-INDEX($B$5:$B$344,$A309-1)-1,"")))</f>
        <v/>
      </c>
      <c r="F309" s="11">
        <f>IF(OR($A309=1,$B309="",$A309+F$3&gt;340),"",IF(INDEX($B$5:$B$344,$A309+F$3)="","",IF(AND(YEAR($B309)=$B$2,YEAR(INDEX($B$5:$B$344,$A309+F$3-1))=$B$2),INDEX($B$5:$B$344,$A309+F$3)-INDEX($B$5:$B$344,$A309-1)-1,"")))</f>
        <v/>
      </c>
      <c r="G309" s="11">
        <f>IF(OR($A309=1,$B309="",$A309+G$3&gt;340),"",IF(INDEX($B$5:$B$344,$A309+G$3)="","",IF(AND(YEAR($B309)=$B$2,YEAR(INDEX($B$5:$B$344,$A309+G$3-1))=$B$2),INDEX($B$5:$B$344,$A309+G$3)-INDEX($B$5:$B$344,$A309-1)-1,"")))</f>
        <v/>
      </c>
      <c r="H309" s="11">
        <f>IF(OR($A309=1,$B309="",$A309+H$3&gt;340),"",IF(INDEX($B$5:$B$344,$A309+H$3)="","",IF(AND(YEAR($B309)=$B$2,YEAR(INDEX($B$5:$B$344,$A309+H$3-1))=$B$2),INDEX($B$5:$B$344,$A309+H$3)-INDEX($B$5:$B$344,$A309-1)-1,"")))</f>
        <v/>
      </c>
      <c r="I309" s="11">
        <f>IF(OR($A309=1,$B309="",$A309+I$3&gt;340),"",IF(INDEX($B$5:$B$344,$A309+I$3)="","",IF(AND(YEAR($B309)=$B$2,YEAR(INDEX($B$5:$B$344,$A309+I$3-1))=$B$2),INDEX($B$5:$B$344,$A309+I$3)-INDEX($B$5:$B$344,$A309-1)-1,"")))</f>
        <v/>
      </c>
      <c r="J309" s="11">
        <f>IF(OR($A309=1,$B309="",$A309+J$3&gt;340),"",IF(INDEX($B$5:$B$344,$A309+J$3)="","",IF(AND(YEAR($B309)=$B$2,YEAR(INDEX($B$5:$B$344,$A309+J$3-1))=$B$2),INDEX($B$5:$B$344,$A309+J$3)-INDEX($B$5:$B$344,$A309-1)-1,"")))</f>
        <v/>
      </c>
      <c r="K309" s="11">
        <f>IF(OR($A309=1,$B309="",$A309+K$3&gt;340),"",IF(INDEX($B$5:$B$344,$A309+K$3)="","",IF(AND(YEAR($B309)=$B$2,YEAR(INDEX($B$5:$B$344,$A309+K$3-1))=$B$2),INDEX($B$5:$B$344,$A309+K$3)-INDEX($B$5:$B$344,$A309-1)-1,"")))</f>
        <v/>
      </c>
      <c r="L309" s="11">
        <f>IF(OR($A309=1,$B309="",$A309+L$3&gt;340),"",IF(INDEX($B$5:$B$344,$A309+L$3)="","",IF(AND(YEAR($B309)=$B$2,YEAR(INDEX($B$5:$B$344,$A309+L$3-1))=$B$2),INDEX($B$5:$B$344,$A309+L$3)-INDEX($B$5:$B$344,$A309-1)-1,"")))</f>
        <v/>
      </c>
      <c r="M309" s="11">
        <f>IF(OR($A309=1,$B309="",$A309+M$3&gt;340),"",IF(INDEX($B$5:$B$344,$A309+M$3)="","",IF(AND(YEAR($B309)=$B$2,YEAR(INDEX($B$5:$B$344,$A309+M$3-1))=$B$2),INDEX($B$5:$B$344,$A309+M$3)-INDEX($B$5:$B$344,$A309-1)-1,"")))</f>
        <v/>
      </c>
    </row>
    <row r="310">
      <c r="A310" s="11" t="n">
        <v>306</v>
      </c>
      <c r="B310" s="10">
        <f>IFERROR(INDEX('2_暦'!$A$7:$A$433,MATCH(A310,'2_暦'!$K$7:$K$433,0)),"")</f>
        <v/>
      </c>
      <c r="C310" s="11">
        <f>IF(OR($A310=1,$B310=""),"",IF(OR(YEAR($B310-1)=$B$2,YEAR(INDEX($B$5:$B$344,$A310-1)+1)=$B$2),$B310-INDEX($B$5:$B$344,$A310-1)-1,""))</f>
        <v/>
      </c>
      <c r="D310" s="11">
        <f>IF(OR($A310=1,$B310="",$A310+D$3&gt;340),"",IF(INDEX($B$5:$B$344,$A310+D$3)="","",IF(AND(YEAR($B310)=$B$2,YEAR(INDEX($B$5:$B$344,$A310+D$3-1))=$B$2),INDEX($B$5:$B$344,$A310+D$3)-INDEX($B$5:$B$344,$A310-1)-1,"")))</f>
        <v/>
      </c>
      <c r="E310" s="11">
        <f>IF(OR($A310=1,$B310="",$A310+E$3&gt;340),"",IF(INDEX($B$5:$B$344,$A310+E$3)="","",IF(AND(YEAR($B310)=$B$2,YEAR(INDEX($B$5:$B$344,$A310+E$3-1))=$B$2),INDEX($B$5:$B$344,$A310+E$3)-INDEX($B$5:$B$344,$A310-1)-1,"")))</f>
        <v/>
      </c>
      <c r="F310" s="11">
        <f>IF(OR($A310=1,$B310="",$A310+F$3&gt;340),"",IF(INDEX($B$5:$B$344,$A310+F$3)="","",IF(AND(YEAR($B310)=$B$2,YEAR(INDEX($B$5:$B$344,$A310+F$3-1))=$B$2),INDEX($B$5:$B$344,$A310+F$3)-INDEX($B$5:$B$344,$A310-1)-1,"")))</f>
        <v/>
      </c>
      <c r="G310" s="11">
        <f>IF(OR($A310=1,$B310="",$A310+G$3&gt;340),"",IF(INDEX($B$5:$B$344,$A310+G$3)="","",IF(AND(YEAR($B310)=$B$2,YEAR(INDEX($B$5:$B$344,$A310+G$3-1))=$B$2),INDEX($B$5:$B$344,$A310+G$3)-INDEX($B$5:$B$344,$A310-1)-1,"")))</f>
        <v/>
      </c>
      <c r="H310" s="11">
        <f>IF(OR($A310=1,$B310="",$A310+H$3&gt;340),"",IF(INDEX($B$5:$B$344,$A310+H$3)="","",IF(AND(YEAR($B310)=$B$2,YEAR(INDEX($B$5:$B$344,$A310+H$3-1))=$B$2),INDEX($B$5:$B$344,$A310+H$3)-INDEX($B$5:$B$344,$A310-1)-1,"")))</f>
        <v/>
      </c>
      <c r="I310" s="11">
        <f>IF(OR($A310=1,$B310="",$A310+I$3&gt;340),"",IF(INDEX($B$5:$B$344,$A310+I$3)="","",IF(AND(YEAR($B310)=$B$2,YEAR(INDEX($B$5:$B$344,$A310+I$3-1))=$B$2),INDEX($B$5:$B$344,$A310+I$3)-INDEX($B$5:$B$344,$A310-1)-1,"")))</f>
        <v/>
      </c>
      <c r="J310" s="11">
        <f>IF(OR($A310=1,$B310="",$A310+J$3&gt;340),"",IF(INDEX($B$5:$B$344,$A310+J$3)="","",IF(AND(YEAR($B310)=$B$2,YEAR(INDEX($B$5:$B$344,$A310+J$3-1))=$B$2),INDEX($B$5:$B$344,$A310+J$3)-INDEX($B$5:$B$344,$A310-1)-1,"")))</f>
        <v/>
      </c>
      <c r="K310" s="11">
        <f>IF(OR($A310=1,$B310="",$A310+K$3&gt;340),"",IF(INDEX($B$5:$B$344,$A310+K$3)="","",IF(AND(YEAR($B310)=$B$2,YEAR(INDEX($B$5:$B$344,$A310+K$3-1))=$B$2),INDEX($B$5:$B$344,$A310+K$3)-INDEX($B$5:$B$344,$A310-1)-1,"")))</f>
        <v/>
      </c>
      <c r="L310" s="11">
        <f>IF(OR($A310=1,$B310="",$A310+L$3&gt;340),"",IF(INDEX($B$5:$B$344,$A310+L$3)="","",IF(AND(YEAR($B310)=$B$2,YEAR(INDEX($B$5:$B$344,$A310+L$3-1))=$B$2),INDEX($B$5:$B$344,$A310+L$3)-INDEX($B$5:$B$344,$A310-1)-1,"")))</f>
        <v/>
      </c>
      <c r="M310" s="11">
        <f>IF(OR($A310=1,$B310="",$A310+M$3&gt;340),"",IF(INDEX($B$5:$B$344,$A310+M$3)="","",IF(AND(YEAR($B310)=$B$2,YEAR(INDEX($B$5:$B$344,$A310+M$3-1))=$B$2),INDEX($B$5:$B$344,$A310+M$3)-INDEX($B$5:$B$344,$A310-1)-1,"")))</f>
        <v/>
      </c>
    </row>
    <row r="311">
      <c r="A311" s="11" t="n">
        <v>307</v>
      </c>
      <c r="B311" s="10">
        <f>IFERROR(INDEX('2_暦'!$A$7:$A$433,MATCH(A311,'2_暦'!$K$7:$K$433,0)),"")</f>
        <v/>
      </c>
      <c r="C311" s="11">
        <f>IF(OR($A311=1,$B311=""),"",IF(OR(YEAR($B311-1)=$B$2,YEAR(INDEX($B$5:$B$344,$A311-1)+1)=$B$2),$B311-INDEX($B$5:$B$344,$A311-1)-1,""))</f>
        <v/>
      </c>
      <c r="D311" s="11">
        <f>IF(OR($A311=1,$B311="",$A311+D$3&gt;340),"",IF(INDEX($B$5:$B$344,$A311+D$3)="","",IF(AND(YEAR($B311)=$B$2,YEAR(INDEX($B$5:$B$344,$A311+D$3-1))=$B$2),INDEX($B$5:$B$344,$A311+D$3)-INDEX($B$5:$B$344,$A311-1)-1,"")))</f>
        <v/>
      </c>
      <c r="E311" s="11">
        <f>IF(OR($A311=1,$B311="",$A311+E$3&gt;340),"",IF(INDEX($B$5:$B$344,$A311+E$3)="","",IF(AND(YEAR($B311)=$B$2,YEAR(INDEX($B$5:$B$344,$A311+E$3-1))=$B$2),INDEX($B$5:$B$344,$A311+E$3)-INDEX($B$5:$B$344,$A311-1)-1,"")))</f>
        <v/>
      </c>
      <c r="F311" s="11">
        <f>IF(OR($A311=1,$B311="",$A311+F$3&gt;340),"",IF(INDEX($B$5:$B$344,$A311+F$3)="","",IF(AND(YEAR($B311)=$B$2,YEAR(INDEX($B$5:$B$344,$A311+F$3-1))=$B$2),INDEX($B$5:$B$344,$A311+F$3)-INDEX($B$5:$B$344,$A311-1)-1,"")))</f>
        <v/>
      </c>
      <c r="G311" s="11">
        <f>IF(OR($A311=1,$B311="",$A311+G$3&gt;340),"",IF(INDEX($B$5:$B$344,$A311+G$3)="","",IF(AND(YEAR($B311)=$B$2,YEAR(INDEX($B$5:$B$344,$A311+G$3-1))=$B$2),INDEX($B$5:$B$344,$A311+G$3)-INDEX($B$5:$B$344,$A311-1)-1,"")))</f>
        <v/>
      </c>
      <c r="H311" s="11">
        <f>IF(OR($A311=1,$B311="",$A311+H$3&gt;340),"",IF(INDEX($B$5:$B$344,$A311+H$3)="","",IF(AND(YEAR($B311)=$B$2,YEAR(INDEX($B$5:$B$344,$A311+H$3-1))=$B$2),INDEX($B$5:$B$344,$A311+H$3)-INDEX($B$5:$B$344,$A311-1)-1,"")))</f>
        <v/>
      </c>
      <c r="I311" s="11">
        <f>IF(OR($A311=1,$B311="",$A311+I$3&gt;340),"",IF(INDEX($B$5:$B$344,$A311+I$3)="","",IF(AND(YEAR($B311)=$B$2,YEAR(INDEX($B$5:$B$344,$A311+I$3-1))=$B$2),INDEX($B$5:$B$344,$A311+I$3)-INDEX($B$5:$B$344,$A311-1)-1,"")))</f>
        <v/>
      </c>
      <c r="J311" s="11">
        <f>IF(OR($A311=1,$B311="",$A311+J$3&gt;340),"",IF(INDEX($B$5:$B$344,$A311+J$3)="","",IF(AND(YEAR($B311)=$B$2,YEAR(INDEX($B$5:$B$344,$A311+J$3-1))=$B$2),INDEX($B$5:$B$344,$A311+J$3)-INDEX($B$5:$B$344,$A311-1)-1,"")))</f>
        <v/>
      </c>
      <c r="K311" s="11">
        <f>IF(OR($A311=1,$B311="",$A311+K$3&gt;340),"",IF(INDEX($B$5:$B$344,$A311+K$3)="","",IF(AND(YEAR($B311)=$B$2,YEAR(INDEX($B$5:$B$344,$A311+K$3-1))=$B$2),INDEX($B$5:$B$344,$A311+K$3)-INDEX($B$5:$B$344,$A311-1)-1,"")))</f>
        <v/>
      </c>
      <c r="L311" s="11">
        <f>IF(OR($A311=1,$B311="",$A311+L$3&gt;340),"",IF(INDEX($B$5:$B$344,$A311+L$3)="","",IF(AND(YEAR($B311)=$B$2,YEAR(INDEX($B$5:$B$344,$A311+L$3-1))=$B$2),INDEX($B$5:$B$344,$A311+L$3)-INDEX($B$5:$B$344,$A311-1)-1,"")))</f>
        <v/>
      </c>
      <c r="M311" s="11">
        <f>IF(OR($A311=1,$B311="",$A311+M$3&gt;340),"",IF(INDEX($B$5:$B$344,$A311+M$3)="","",IF(AND(YEAR($B311)=$B$2,YEAR(INDEX($B$5:$B$344,$A311+M$3-1))=$B$2),INDEX($B$5:$B$344,$A311+M$3)-INDEX($B$5:$B$344,$A311-1)-1,"")))</f>
        <v/>
      </c>
    </row>
    <row r="312">
      <c r="A312" s="11" t="n">
        <v>308</v>
      </c>
      <c r="B312" s="10">
        <f>IFERROR(INDEX('2_暦'!$A$7:$A$433,MATCH(A312,'2_暦'!$K$7:$K$433,0)),"")</f>
        <v/>
      </c>
      <c r="C312" s="11">
        <f>IF(OR($A312=1,$B312=""),"",IF(OR(YEAR($B312-1)=$B$2,YEAR(INDEX($B$5:$B$344,$A312-1)+1)=$B$2),$B312-INDEX($B$5:$B$344,$A312-1)-1,""))</f>
        <v/>
      </c>
      <c r="D312" s="11">
        <f>IF(OR($A312=1,$B312="",$A312+D$3&gt;340),"",IF(INDEX($B$5:$B$344,$A312+D$3)="","",IF(AND(YEAR($B312)=$B$2,YEAR(INDEX($B$5:$B$344,$A312+D$3-1))=$B$2),INDEX($B$5:$B$344,$A312+D$3)-INDEX($B$5:$B$344,$A312-1)-1,"")))</f>
        <v/>
      </c>
      <c r="E312" s="11">
        <f>IF(OR($A312=1,$B312="",$A312+E$3&gt;340),"",IF(INDEX($B$5:$B$344,$A312+E$3)="","",IF(AND(YEAR($B312)=$B$2,YEAR(INDEX($B$5:$B$344,$A312+E$3-1))=$B$2),INDEX($B$5:$B$344,$A312+E$3)-INDEX($B$5:$B$344,$A312-1)-1,"")))</f>
        <v/>
      </c>
      <c r="F312" s="11">
        <f>IF(OR($A312=1,$B312="",$A312+F$3&gt;340),"",IF(INDEX($B$5:$B$344,$A312+F$3)="","",IF(AND(YEAR($B312)=$B$2,YEAR(INDEX($B$5:$B$344,$A312+F$3-1))=$B$2),INDEX($B$5:$B$344,$A312+F$3)-INDEX($B$5:$B$344,$A312-1)-1,"")))</f>
        <v/>
      </c>
      <c r="G312" s="11">
        <f>IF(OR($A312=1,$B312="",$A312+G$3&gt;340),"",IF(INDEX($B$5:$B$344,$A312+G$3)="","",IF(AND(YEAR($B312)=$B$2,YEAR(INDEX($B$5:$B$344,$A312+G$3-1))=$B$2),INDEX($B$5:$B$344,$A312+G$3)-INDEX($B$5:$B$344,$A312-1)-1,"")))</f>
        <v/>
      </c>
      <c r="H312" s="11">
        <f>IF(OR($A312=1,$B312="",$A312+H$3&gt;340),"",IF(INDEX($B$5:$B$344,$A312+H$3)="","",IF(AND(YEAR($B312)=$B$2,YEAR(INDEX($B$5:$B$344,$A312+H$3-1))=$B$2),INDEX($B$5:$B$344,$A312+H$3)-INDEX($B$5:$B$344,$A312-1)-1,"")))</f>
        <v/>
      </c>
      <c r="I312" s="11">
        <f>IF(OR($A312=1,$B312="",$A312+I$3&gt;340),"",IF(INDEX($B$5:$B$344,$A312+I$3)="","",IF(AND(YEAR($B312)=$B$2,YEAR(INDEX($B$5:$B$344,$A312+I$3-1))=$B$2),INDEX($B$5:$B$344,$A312+I$3)-INDEX($B$5:$B$344,$A312-1)-1,"")))</f>
        <v/>
      </c>
      <c r="J312" s="11">
        <f>IF(OR($A312=1,$B312="",$A312+J$3&gt;340),"",IF(INDEX($B$5:$B$344,$A312+J$3)="","",IF(AND(YEAR($B312)=$B$2,YEAR(INDEX($B$5:$B$344,$A312+J$3-1))=$B$2),INDEX($B$5:$B$344,$A312+J$3)-INDEX($B$5:$B$344,$A312-1)-1,"")))</f>
        <v/>
      </c>
      <c r="K312" s="11">
        <f>IF(OR($A312=1,$B312="",$A312+K$3&gt;340),"",IF(INDEX($B$5:$B$344,$A312+K$3)="","",IF(AND(YEAR($B312)=$B$2,YEAR(INDEX($B$5:$B$344,$A312+K$3-1))=$B$2),INDEX($B$5:$B$344,$A312+K$3)-INDEX($B$5:$B$344,$A312-1)-1,"")))</f>
        <v/>
      </c>
      <c r="L312" s="11">
        <f>IF(OR($A312=1,$B312="",$A312+L$3&gt;340),"",IF(INDEX($B$5:$B$344,$A312+L$3)="","",IF(AND(YEAR($B312)=$B$2,YEAR(INDEX($B$5:$B$344,$A312+L$3-1))=$B$2),INDEX($B$5:$B$344,$A312+L$3)-INDEX($B$5:$B$344,$A312-1)-1,"")))</f>
        <v/>
      </c>
      <c r="M312" s="11">
        <f>IF(OR($A312=1,$B312="",$A312+M$3&gt;340),"",IF(INDEX($B$5:$B$344,$A312+M$3)="","",IF(AND(YEAR($B312)=$B$2,YEAR(INDEX($B$5:$B$344,$A312+M$3-1))=$B$2),INDEX($B$5:$B$344,$A312+M$3)-INDEX($B$5:$B$344,$A312-1)-1,"")))</f>
        <v/>
      </c>
    </row>
    <row r="313">
      <c r="A313" s="11" t="n">
        <v>309</v>
      </c>
      <c r="B313" s="10">
        <f>IFERROR(INDEX('2_暦'!$A$7:$A$433,MATCH(A313,'2_暦'!$K$7:$K$433,0)),"")</f>
        <v/>
      </c>
      <c r="C313" s="11">
        <f>IF(OR($A313=1,$B313=""),"",IF(OR(YEAR($B313-1)=$B$2,YEAR(INDEX($B$5:$B$344,$A313-1)+1)=$B$2),$B313-INDEX($B$5:$B$344,$A313-1)-1,""))</f>
        <v/>
      </c>
      <c r="D313" s="11">
        <f>IF(OR($A313=1,$B313="",$A313+D$3&gt;340),"",IF(INDEX($B$5:$B$344,$A313+D$3)="","",IF(AND(YEAR($B313)=$B$2,YEAR(INDEX($B$5:$B$344,$A313+D$3-1))=$B$2),INDEX($B$5:$B$344,$A313+D$3)-INDEX($B$5:$B$344,$A313-1)-1,"")))</f>
        <v/>
      </c>
      <c r="E313" s="11">
        <f>IF(OR($A313=1,$B313="",$A313+E$3&gt;340),"",IF(INDEX($B$5:$B$344,$A313+E$3)="","",IF(AND(YEAR($B313)=$B$2,YEAR(INDEX($B$5:$B$344,$A313+E$3-1))=$B$2),INDEX($B$5:$B$344,$A313+E$3)-INDEX($B$5:$B$344,$A313-1)-1,"")))</f>
        <v/>
      </c>
      <c r="F313" s="11">
        <f>IF(OR($A313=1,$B313="",$A313+F$3&gt;340),"",IF(INDEX($B$5:$B$344,$A313+F$3)="","",IF(AND(YEAR($B313)=$B$2,YEAR(INDEX($B$5:$B$344,$A313+F$3-1))=$B$2),INDEX($B$5:$B$344,$A313+F$3)-INDEX($B$5:$B$344,$A313-1)-1,"")))</f>
        <v/>
      </c>
      <c r="G313" s="11">
        <f>IF(OR($A313=1,$B313="",$A313+G$3&gt;340),"",IF(INDEX($B$5:$B$344,$A313+G$3)="","",IF(AND(YEAR($B313)=$B$2,YEAR(INDEX($B$5:$B$344,$A313+G$3-1))=$B$2),INDEX($B$5:$B$344,$A313+G$3)-INDEX($B$5:$B$344,$A313-1)-1,"")))</f>
        <v/>
      </c>
      <c r="H313" s="11">
        <f>IF(OR($A313=1,$B313="",$A313+H$3&gt;340),"",IF(INDEX($B$5:$B$344,$A313+H$3)="","",IF(AND(YEAR($B313)=$B$2,YEAR(INDEX($B$5:$B$344,$A313+H$3-1))=$B$2),INDEX($B$5:$B$344,$A313+H$3)-INDEX($B$5:$B$344,$A313-1)-1,"")))</f>
        <v/>
      </c>
      <c r="I313" s="11">
        <f>IF(OR($A313=1,$B313="",$A313+I$3&gt;340),"",IF(INDEX($B$5:$B$344,$A313+I$3)="","",IF(AND(YEAR($B313)=$B$2,YEAR(INDEX($B$5:$B$344,$A313+I$3-1))=$B$2),INDEX($B$5:$B$344,$A313+I$3)-INDEX($B$5:$B$344,$A313-1)-1,"")))</f>
        <v/>
      </c>
      <c r="J313" s="11">
        <f>IF(OR($A313=1,$B313="",$A313+J$3&gt;340),"",IF(INDEX($B$5:$B$344,$A313+J$3)="","",IF(AND(YEAR($B313)=$B$2,YEAR(INDEX($B$5:$B$344,$A313+J$3-1))=$B$2),INDEX($B$5:$B$344,$A313+J$3)-INDEX($B$5:$B$344,$A313-1)-1,"")))</f>
        <v/>
      </c>
      <c r="K313" s="11">
        <f>IF(OR($A313=1,$B313="",$A313+K$3&gt;340),"",IF(INDEX($B$5:$B$344,$A313+K$3)="","",IF(AND(YEAR($B313)=$B$2,YEAR(INDEX($B$5:$B$344,$A313+K$3-1))=$B$2),INDEX($B$5:$B$344,$A313+K$3)-INDEX($B$5:$B$344,$A313-1)-1,"")))</f>
        <v/>
      </c>
      <c r="L313" s="11">
        <f>IF(OR($A313=1,$B313="",$A313+L$3&gt;340),"",IF(INDEX($B$5:$B$344,$A313+L$3)="","",IF(AND(YEAR($B313)=$B$2,YEAR(INDEX($B$5:$B$344,$A313+L$3-1))=$B$2),INDEX($B$5:$B$344,$A313+L$3)-INDEX($B$5:$B$344,$A313-1)-1,"")))</f>
        <v/>
      </c>
      <c r="M313" s="11">
        <f>IF(OR($A313=1,$B313="",$A313+M$3&gt;340),"",IF(INDEX($B$5:$B$344,$A313+M$3)="","",IF(AND(YEAR($B313)=$B$2,YEAR(INDEX($B$5:$B$344,$A313+M$3-1))=$B$2),INDEX($B$5:$B$344,$A313+M$3)-INDEX($B$5:$B$344,$A313-1)-1,"")))</f>
        <v/>
      </c>
    </row>
    <row r="314">
      <c r="A314" s="11" t="n">
        <v>310</v>
      </c>
      <c r="B314" s="10">
        <f>IFERROR(INDEX('2_暦'!$A$7:$A$433,MATCH(A314,'2_暦'!$K$7:$K$433,0)),"")</f>
        <v/>
      </c>
      <c r="C314" s="11">
        <f>IF(OR($A314=1,$B314=""),"",IF(OR(YEAR($B314-1)=$B$2,YEAR(INDEX($B$5:$B$344,$A314-1)+1)=$B$2),$B314-INDEX($B$5:$B$344,$A314-1)-1,""))</f>
        <v/>
      </c>
      <c r="D314" s="11">
        <f>IF(OR($A314=1,$B314="",$A314+D$3&gt;340),"",IF(INDEX($B$5:$B$344,$A314+D$3)="","",IF(AND(YEAR($B314)=$B$2,YEAR(INDEX($B$5:$B$344,$A314+D$3-1))=$B$2),INDEX($B$5:$B$344,$A314+D$3)-INDEX($B$5:$B$344,$A314-1)-1,"")))</f>
        <v/>
      </c>
      <c r="E314" s="11">
        <f>IF(OR($A314=1,$B314="",$A314+E$3&gt;340),"",IF(INDEX($B$5:$B$344,$A314+E$3)="","",IF(AND(YEAR($B314)=$B$2,YEAR(INDEX($B$5:$B$344,$A314+E$3-1))=$B$2),INDEX($B$5:$B$344,$A314+E$3)-INDEX($B$5:$B$344,$A314-1)-1,"")))</f>
        <v/>
      </c>
      <c r="F314" s="11">
        <f>IF(OR($A314=1,$B314="",$A314+F$3&gt;340),"",IF(INDEX($B$5:$B$344,$A314+F$3)="","",IF(AND(YEAR($B314)=$B$2,YEAR(INDEX($B$5:$B$344,$A314+F$3-1))=$B$2),INDEX($B$5:$B$344,$A314+F$3)-INDEX($B$5:$B$344,$A314-1)-1,"")))</f>
        <v/>
      </c>
      <c r="G314" s="11">
        <f>IF(OR($A314=1,$B314="",$A314+G$3&gt;340),"",IF(INDEX($B$5:$B$344,$A314+G$3)="","",IF(AND(YEAR($B314)=$B$2,YEAR(INDEX($B$5:$B$344,$A314+G$3-1))=$B$2),INDEX($B$5:$B$344,$A314+G$3)-INDEX($B$5:$B$344,$A314-1)-1,"")))</f>
        <v/>
      </c>
      <c r="H314" s="11">
        <f>IF(OR($A314=1,$B314="",$A314+H$3&gt;340),"",IF(INDEX($B$5:$B$344,$A314+H$3)="","",IF(AND(YEAR($B314)=$B$2,YEAR(INDEX($B$5:$B$344,$A314+H$3-1))=$B$2),INDEX($B$5:$B$344,$A314+H$3)-INDEX($B$5:$B$344,$A314-1)-1,"")))</f>
        <v/>
      </c>
      <c r="I314" s="11">
        <f>IF(OR($A314=1,$B314="",$A314+I$3&gt;340),"",IF(INDEX($B$5:$B$344,$A314+I$3)="","",IF(AND(YEAR($B314)=$B$2,YEAR(INDEX($B$5:$B$344,$A314+I$3-1))=$B$2),INDEX($B$5:$B$344,$A314+I$3)-INDEX($B$5:$B$344,$A314-1)-1,"")))</f>
        <v/>
      </c>
      <c r="J314" s="11">
        <f>IF(OR($A314=1,$B314="",$A314+J$3&gt;340),"",IF(INDEX($B$5:$B$344,$A314+J$3)="","",IF(AND(YEAR($B314)=$B$2,YEAR(INDEX($B$5:$B$344,$A314+J$3-1))=$B$2),INDEX($B$5:$B$344,$A314+J$3)-INDEX($B$5:$B$344,$A314-1)-1,"")))</f>
        <v/>
      </c>
      <c r="K314" s="11">
        <f>IF(OR($A314=1,$B314="",$A314+K$3&gt;340),"",IF(INDEX($B$5:$B$344,$A314+K$3)="","",IF(AND(YEAR($B314)=$B$2,YEAR(INDEX($B$5:$B$344,$A314+K$3-1))=$B$2),INDEX($B$5:$B$344,$A314+K$3)-INDEX($B$5:$B$344,$A314-1)-1,"")))</f>
        <v/>
      </c>
      <c r="L314" s="11">
        <f>IF(OR($A314=1,$B314="",$A314+L$3&gt;340),"",IF(INDEX($B$5:$B$344,$A314+L$3)="","",IF(AND(YEAR($B314)=$B$2,YEAR(INDEX($B$5:$B$344,$A314+L$3-1))=$B$2),INDEX($B$5:$B$344,$A314+L$3)-INDEX($B$5:$B$344,$A314-1)-1,"")))</f>
        <v/>
      </c>
      <c r="M314" s="11">
        <f>IF(OR($A314=1,$B314="",$A314+M$3&gt;340),"",IF(INDEX($B$5:$B$344,$A314+M$3)="","",IF(AND(YEAR($B314)=$B$2,YEAR(INDEX($B$5:$B$344,$A314+M$3-1))=$B$2),INDEX($B$5:$B$344,$A314+M$3)-INDEX($B$5:$B$344,$A314-1)-1,"")))</f>
        <v/>
      </c>
    </row>
    <row r="315">
      <c r="A315" s="11" t="n">
        <v>311</v>
      </c>
      <c r="B315" s="10">
        <f>IFERROR(INDEX('2_暦'!$A$7:$A$433,MATCH(A315,'2_暦'!$K$7:$K$433,0)),"")</f>
        <v/>
      </c>
      <c r="C315" s="11">
        <f>IF(OR($A315=1,$B315=""),"",IF(OR(YEAR($B315-1)=$B$2,YEAR(INDEX($B$5:$B$344,$A315-1)+1)=$B$2),$B315-INDEX($B$5:$B$344,$A315-1)-1,""))</f>
        <v/>
      </c>
      <c r="D315" s="11">
        <f>IF(OR($A315=1,$B315="",$A315+D$3&gt;340),"",IF(INDEX($B$5:$B$344,$A315+D$3)="","",IF(AND(YEAR($B315)=$B$2,YEAR(INDEX($B$5:$B$344,$A315+D$3-1))=$B$2),INDEX($B$5:$B$344,$A315+D$3)-INDEX($B$5:$B$344,$A315-1)-1,"")))</f>
        <v/>
      </c>
      <c r="E315" s="11">
        <f>IF(OR($A315=1,$B315="",$A315+E$3&gt;340),"",IF(INDEX($B$5:$B$344,$A315+E$3)="","",IF(AND(YEAR($B315)=$B$2,YEAR(INDEX($B$5:$B$344,$A315+E$3-1))=$B$2),INDEX($B$5:$B$344,$A315+E$3)-INDEX($B$5:$B$344,$A315-1)-1,"")))</f>
        <v/>
      </c>
      <c r="F315" s="11">
        <f>IF(OR($A315=1,$B315="",$A315+F$3&gt;340),"",IF(INDEX($B$5:$B$344,$A315+F$3)="","",IF(AND(YEAR($B315)=$B$2,YEAR(INDEX($B$5:$B$344,$A315+F$3-1))=$B$2),INDEX($B$5:$B$344,$A315+F$3)-INDEX($B$5:$B$344,$A315-1)-1,"")))</f>
        <v/>
      </c>
      <c r="G315" s="11">
        <f>IF(OR($A315=1,$B315="",$A315+G$3&gt;340),"",IF(INDEX($B$5:$B$344,$A315+G$3)="","",IF(AND(YEAR($B315)=$B$2,YEAR(INDEX($B$5:$B$344,$A315+G$3-1))=$B$2),INDEX($B$5:$B$344,$A315+G$3)-INDEX($B$5:$B$344,$A315-1)-1,"")))</f>
        <v/>
      </c>
      <c r="H315" s="11">
        <f>IF(OR($A315=1,$B315="",$A315+H$3&gt;340),"",IF(INDEX($B$5:$B$344,$A315+H$3)="","",IF(AND(YEAR($B315)=$B$2,YEAR(INDEX($B$5:$B$344,$A315+H$3-1))=$B$2),INDEX($B$5:$B$344,$A315+H$3)-INDEX($B$5:$B$344,$A315-1)-1,"")))</f>
        <v/>
      </c>
      <c r="I315" s="11">
        <f>IF(OR($A315=1,$B315="",$A315+I$3&gt;340),"",IF(INDEX($B$5:$B$344,$A315+I$3)="","",IF(AND(YEAR($B315)=$B$2,YEAR(INDEX($B$5:$B$344,$A315+I$3-1))=$B$2),INDEX($B$5:$B$344,$A315+I$3)-INDEX($B$5:$B$344,$A315-1)-1,"")))</f>
        <v/>
      </c>
      <c r="J315" s="11">
        <f>IF(OR($A315=1,$B315="",$A315+J$3&gt;340),"",IF(INDEX($B$5:$B$344,$A315+J$3)="","",IF(AND(YEAR($B315)=$B$2,YEAR(INDEX($B$5:$B$344,$A315+J$3-1))=$B$2),INDEX($B$5:$B$344,$A315+J$3)-INDEX($B$5:$B$344,$A315-1)-1,"")))</f>
        <v/>
      </c>
      <c r="K315" s="11">
        <f>IF(OR($A315=1,$B315="",$A315+K$3&gt;340),"",IF(INDEX($B$5:$B$344,$A315+K$3)="","",IF(AND(YEAR($B315)=$B$2,YEAR(INDEX($B$5:$B$344,$A315+K$3-1))=$B$2),INDEX($B$5:$B$344,$A315+K$3)-INDEX($B$5:$B$344,$A315-1)-1,"")))</f>
        <v/>
      </c>
      <c r="L315" s="11">
        <f>IF(OR($A315=1,$B315="",$A315+L$3&gt;340),"",IF(INDEX($B$5:$B$344,$A315+L$3)="","",IF(AND(YEAR($B315)=$B$2,YEAR(INDEX($B$5:$B$344,$A315+L$3-1))=$B$2),INDEX($B$5:$B$344,$A315+L$3)-INDEX($B$5:$B$344,$A315-1)-1,"")))</f>
        <v/>
      </c>
      <c r="M315" s="11">
        <f>IF(OR($A315=1,$B315="",$A315+M$3&gt;340),"",IF(INDEX($B$5:$B$344,$A315+M$3)="","",IF(AND(YEAR($B315)=$B$2,YEAR(INDEX($B$5:$B$344,$A315+M$3-1))=$B$2),INDEX($B$5:$B$344,$A315+M$3)-INDEX($B$5:$B$344,$A315-1)-1,"")))</f>
        <v/>
      </c>
    </row>
    <row r="316">
      <c r="A316" s="11" t="n">
        <v>312</v>
      </c>
      <c r="B316" s="10">
        <f>IFERROR(INDEX('2_暦'!$A$7:$A$433,MATCH(A316,'2_暦'!$K$7:$K$433,0)),"")</f>
        <v/>
      </c>
      <c r="C316" s="11">
        <f>IF(OR($A316=1,$B316=""),"",IF(OR(YEAR($B316-1)=$B$2,YEAR(INDEX($B$5:$B$344,$A316-1)+1)=$B$2),$B316-INDEX($B$5:$B$344,$A316-1)-1,""))</f>
        <v/>
      </c>
      <c r="D316" s="11">
        <f>IF(OR($A316=1,$B316="",$A316+D$3&gt;340),"",IF(INDEX($B$5:$B$344,$A316+D$3)="","",IF(AND(YEAR($B316)=$B$2,YEAR(INDEX($B$5:$B$344,$A316+D$3-1))=$B$2),INDEX($B$5:$B$344,$A316+D$3)-INDEX($B$5:$B$344,$A316-1)-1,"")))</f>
        <v/>
      </c>
      <c r="E316" s="11">
        <f>IF(OR($A316=1,$B316="",$A316+E$3&gt;340),"",IF(INDEX($B$5:$B$344,$A316+E$3)="","",IF(AND(YEAR($B316)=$B$2,YEAR(INDEX($B$5:$B$344,$A316+E$3-1))=$B$2),INDEX($B$5:$B$344,$A316+E$3)-INDEX($B$5:$B$344,$A316-1)-1,"")))</f>
        <v/>
      </c>
      <c r="F316" s="11">
        <f>IF(OR($A316=1,$B316="",$A316+F$3&gt;340),"",IF(INDEX($B$5:$B$344,$A316+F$3)="","",IF(AND(YEAR($B316)=$B$2,YEAR(INDEX($B$5:$B$344,$A316+F$3-1))=$B$2),INDEX($B$5:$B$344,$A316+F$3)-INDEX($B$5:$B$344,$A316-1)-1,"")))</f>
        <v/>
      </c>
      <c r="G316" s="11">
        <f>IF(OR($A316=1,$B316="",$A316+G$3&gt;340),"",IF(INDEX($B$5:$B$344,$A316+G$3)="","",IF(AND(YEAR($B316)=$B$2,YEAR(INDEX($B$5:$B$344,$A316+G$3-1))=$B$2),INDEX($B$5:$B$344,$A316+G$3)-INDEX($B$5:$B$344,$A316-1)-1,"")))</f>
        <v/>
      </c>
      <c r="H316" s="11">
        <f>IF(OR($A316=1,$B316="",$A316+H$3&gt;340),"",IF(INDEX($B$5:$B$344,$A316+H$3)="","",IF(AND(YEAR($B316)=$B$2,YEAR(INDEX($B$5:$B$344,$A316+H$3-1))=$B$2),INDEX($B$5:$B$344,$A316+H$3)-INDEX($B$5:$B$344,$A316-1)-1,"")))</f>
        <v/>
      </c>
      <c r="I316" s="11">
        <f>IF(OR($A316=1,$B316="",$A316+I$3&gt;340),"",IF(INDEX($B$5:$B$344,$A316+I$3)="","",IF(AND(YEAR($B316)=$B$2,YEAR(INDEX($B$5:$B$344,$A316+I$3-1))=$B$2),INDEX($B$5:$B$344,$A316+I$3)-INDEX($B$5:$B$344,$A316-1)-1,"")))</f>
        <v/>
      </c>
      <c r="J316" s="11">
        <f>IF(OR($A316=1,$B316="",$A316+J$3&gt;340),"",IF(INDEX($B$5:$B$344,$A316+J$3)="","",IF(AND(YEAR($B316)=$B$2,YEAR(INDEX($B$5:$B$344,$A316+J$3-1))=$B$2),INDEX($B$5:$B$344,$A316+J$3)-INDEX($B$5:$B$344,$A316-1)-1,"")))</f>
        <v/>
      </c>
      <c r="K316" s="11">
        <f>IF(OR($A316=1,$B316="",$A316+K$3&gt;340),"",IF(INDEX($B$5:$B$344,$A316+K$3)="","",IF(AND(YEAR($B316)=$B$2,YEAR(INDEX($B$5:$B$344,$A316+K$3-1))=$B$2),INDEX($B$5:$B$344,$A316+K$3)-INDEX($B$5:$B$344,$A316-1)-1,"")))</f>
        <v/>
      </c>
      <c r="L316" s="11">
        <f>IF(OR($A316=1,$B316="",$A316+L$3&gt;340),"",IF(INDEX($B$5:$B$344,$A316+L$3)="","",IF(AND(YEAR($B316)=$B$2,YEAR(INDEX($B$5:$B$344,$A316+L$3-1))=$B$2),INDEX($B$5:$B$344,$A316+L$3)-INDEX($B$5:$B$344,$A316-1)-1,"")))</f>
        <v/>
      </c>
      <c r="M316" s="11">
        <f>IF(OR($A316=1,$B316="",$A316+M$3&gt;340),"",IF(INDEX($B$5:$B$344,$A316+M$3)="","",IF(AND(YEAR($B316)=$B$2,YEAR(INDEX($B$5:$B$344,$A316+M$3-1))=$B$2),INDEX($B$5:$B$344,$A316+M$3)-INDEX($B$5:$B$344,$A316-1)-1,"")))</f>
        <v/>
      </c>
    </row>
    <row r="317">
      <c r="A317" s="11" t="n">
        <v>313</v>
      </c>
      <c r="B317" s="10">
        <f>IFERROR(INDEX('2_暦'!$A$7:$A$433,MATCH(A317,'2_暦'!$K$7:$K$433,0)),"")</f>
        <v/>
      </c>
      <c r="C317" s="11">
        <f>IF(OR($A317=1,$B317=""),"",IF(OR(YEAR($B317-1)=$B$2,YEAR(INDEX($B$5:$B$344,$A317-1)+1)=$B$2),$B317-INDEX($B$5:$B$344,$A317-1)-1,""))</f>
        <v/>
      </c>
      <c r="D317" s="11">
        <f>IF(OR($A317=1,$B317="",$A317+D$3&gt;340),"",IF(INDEX($B$5:$B$344,$A317+D$3)="","",IF(AND(YEAR($B317)=$B$2,YEAR(INDEX($B$5:$B$344,$A317+D$3-1))=$B$2),INDEX($B$5:$B$344,$A317+D$3)-INDEX($B$5:$B$344,$A317-1)-1,"")))</f>
        <v/>
      </c>
      <c r="E317" s="11">
        <f>IF(OR($A317=1,$B317="",$A317+E$3&gt;340),"",IF(INDEX($B$5:$B$344,$A317+E$3)="","",IF(AND(YEAR($B317)=$B$2,YEAR(INDEX($B$5:$B$344,$A317+E$3-1))=$B$2),INDEX($B$5:$B$344,$A317+E$3)-INDEX($B$5:$B$344,$A317-1)-1,"")))</f>
        <v/>
      </c>
      <c r="F317" s="11">
        <f>IF(OR($A317=1,$B317="",$A317+F$3&gt;340),"",IF(INDEX($B$5:$B$344,$A317+F$3)="","",IF(AND(YEAR($B317)=$B$2,YEAR(INDEX($B$5:$B$344,$A317+F$3-1))=$B$2),INDEX($B$5:$B$344,$A317+F$3)-INDEX($B$5:$B$344,$A317-1)-1,"")))</f>
        <v/>
      </c>
      <c r="G317" s="11">
        <f>IF(OR($A317=1,$B317="",$A317+G$3&gt;340),"",IF(INDEX($B$5:$B$344,$A317+G$3)="","",IF(AND(YEAR($B317)=$B$2,YEAR(INDEX($B$5:$B$344,$A317+G$3-1))=$B$2),INDEX($B$5:$B$344,$A317+G$3)-INDEX($B$5:$B$344,$A317-1)-1,"")))</f>
        <v/>
      </c>
      <c r="H317" s="11">
        <f>IF(OR($A317=1,$B317="",$A317+H$3&gt;340),"",IF(INDEX($B$5:$B$344,$A317+H$3)="","",IF(AND(YEAR($B317)=$B$2,YEAR(INDEX($B$5:$B$344,$A317+H$3-1))=$B$2),INDEX($B$5:$B$344,$A317+H$3)-INDEX($B$5:$B$344,$A317-1)-1,"")))</f>
        <v/>
      </c>
      <c r="I317" s="11">
        <f>IF(OR($A317=1,$B317="",$A317+I$3&gt;340),"",IF(INDEX($B$5:$B$344,$A317+I$3)="","",IF(AND(YEAR($B317)=$B$2,YEAR(INDEX($B$5:$B$344,$A317+I$3-1))=$B$2),INDEX($B$5:$B$344,$A317+I$3)-INDEX($B$5:$B$344,$A317-1)-1,"")))</f>
        <v/>
      </c>
      <c r="J317" s="11">
        <f>IF(OR($A317=1,$B317="",$A317+J$3&gt;340),"",IF(INDEX($B$5:$B$344,$A317+J$3)="","",IF(AND(YEAR($B317)=$B$2,YEAR(INDEX($B$5:$B$344,$A317+J$3-1))=$B$2),INDEX($B$5:$B$344,$A317+J$3)-INDEX($B$5:$B$344,$A317-1)-1,"")))</f>
        <v/>
      </c>
      <c r="K317" s="11">
        <f>IF(OR($A317=1,$B317="",$A317+K$3&gt;340),"",IF(INDEX($B$5:$B$344,$A317+K$3)="","",IF(AND(YEAR($B317)=$B$2,YEAR(INDEX($B$5:$B$344,$A317+K$3-1))=$B$2),INDEX($B$5:$B$344,$A317+K$3)-INDEX($B$5:$B$344,$A317-1)-1,"")))</f>
        <v/>
      </c>
      <c r="L317" s="11">
        <f>IF(OR($A317=1,$B317="",$A317+L$3&gt;340),"",IF(INDEX($B$5:$B$344,$A317+L$3)="","",IF(AND(YEAR($B317)=$B$2,YEAR(INDEX($B$5:$B$344,$A317+L$3-1))=$B$2),INDEX($B$5:$B$344,$A317+L$3)-INDEX($B$5:$B$344,$A317-1)-1,"")))</f>
        <v/>
      </c>
      <c r="M317" s="11">
        <f>IF(OR($A317=1,$B317="",$A317+M$3&gt;340),"",IF(INDEX($B$5:$B$344,$A317+M$3)="","",IF(AND(YEAR($B317)=$B$2,YEAR(INDEX($B$5:$B$344,$A317+M$3-1))=$B$2),INDEX($B$5:$B$344,$A317+M$3)-INDEX($B$5:$B$344,$A317-1)-1,"")))</f>
        <v/>
      </c>
    </row>
    <row r="318">
      <c r="A318" s="11" t="n">
        <v>314</v>
      </c>
      <c r="B318" s="10">
        <f>IFERROR(INDEX('2_暦'!$A$7:$A$433,MATCH(A318,'2_暦'!$K$7:$K$433,0)),"")</f>
        <v/>
      </c>
      <c r="C318" s="11">
        <f>IF(OR($A318=1,$B318=""),"",IF(OR(YEAR($B318-1)=$B$2,YEAR(INDEX($B$5:$B$344,$A318-1)+1)=$B$2),$B318-INDEX($B$5:$B$344,$A318-1)-1,""))</f>
        <v/>
      </c>
      <c r="D318" s="11">
        <f>IF(OR($A318=1,$B318="",$A318+D$3&gt;340),"",IF(INDEX($B$5:$B$344,$A318+D$3)="","",IF(AND(YEAR($B318)=$B$2,YEAR(INDEX($B$5:$B$344,$A318+D$3-1))=$B$2),INDEX($B$5:$B$344,$A318+D$3)-INDEX($B$5:$B$344,$A318-1)-1,"")))</f>
        <v/>
      </c>
      <c r="E318" s="11">
        <f>IF(OR($A318=1,$B318="",$A318+E$3&gt;340),"",IF(INDEX($B$5:$B$344,$A318+E$3)="","",IF(AND(YEAR($B318)=$B$2,YEAR(INDEX($B$5:$B$344,$A318+E$3-1))=$B$2),INDEX($B$5:$B$344,$A318+E$3)-INDEX($B$5:$B$344,$A318-1)-1,"")))</f>
        <v/>
      </c>
      <c r="F318" s="11">
        <f>IF(OR($A318=1,$B318="",$A318+F$3&gt;340),"",IF(INDEX($B$5:$B$344,$A318+F$3)="","",IF(AND(YEAR($B318)=$B$2,YEAR(INDEX($B$5:$B$344,$A318+F$3-1))=$B$2),INDEX($B$5:$B$344,$A318+F$3)-INDEX($B$5:$B$344,$A318-1)-1,"")))</f>
        <v/>
      </c>
      <c r="G318" s="11">
        <f>IF(OR($A318=1,$B318="",$A318+G$3&gt;340),"",IF(INDEX($B$5:$B$344,$A318+G$3)="","",IF(AND(YEAR($B318)=$B$2,YEAR(INDEX($B$5:$B$344,$A318+G$3-1))=$B$2),INDEX($B$5:$B$344,$A318+G$3)-INDEX($B$5:$B$344,$A318-1)-1,"")))</f>
        <v/>
      </c>
      <c r="H318" s="11">
        <f>IF(OR($A318=1,$B318="",$A318+H$3&gt;340),"",IF(INDEX($B$5:$B$344,$A318+H$3)="","",IF(AND(YEAR($B318)=$B$2,YEAR(INDEX($B$5:$B$344,$A318+H$3-1))=$B$2),INDEX($B$5:$B$344,$A318+H$3)-INDEX($B$5:$B$344,$A318-1)-1,"")))</f>
        <v/>
      </c>
      <c r="I318" s="11">
        <f>IF(OR($A318=1,$B318="",$A318+I$3&gt;340),"",IF(INDEX($B$5:$B$344,$A318+I$3)="","",IF(AND(YEAR($B318)=$B$2,YEAR(INDEX($B$5:$B$344,$A318+I$3-1))=$B$2),INDEX($B$5:$B$344,$A318+I$3)-INDEX($B$5:$B$344,$A318-1)-1,"")))</f>
        <v/>
      </c>
      <c r="J318" s="11">
        <f>IF(OR($A318=1,$B318="",$A318+J$3&gt;340),"",IF(INDEX($B$5:$B$344,$A318+J$3)="","",IF(AND(YEAR($B318)=$B$2,YEAR(INDEX($B$5:$B$344,$A318+J$3-1))=$B$2),INDEX($B$5:$B$344,$A318+J$3)-INDEX($B$5:$B$344,$A318-1)-1,"")))</f>
        <v/>
      </c>
      <c r="K318" s="11">
        <f>IF(OR($A318=1,$B318="",$A318+K$3&gt;340),"",IF(INDEX($B$5:$B$344,$A318+K$3)="","",IF(AND(YEAR($B318)=$B$2,YEAR(INDEX($B$5:$B$344,$A318+K$3-1))=$B$2),INDEX($B$5:$B$344,$A318+K$3)-INDEX($B$5:$B$344,$A318-1)-1,"")))</f>
        <v/>
      </c>
      <c r="L318" s="11">
        <f>IF(OR($A318=1,$B318="",$A318+L$3&gt;340),"",IF(INDEX($B$5:$B$344,$A318+L$3)="","",IF(AND(YEAR($B318)=$B$2,YEAR(INDEX($B$5:$B$344,$A318+L$3-1))=$B$2),INDEX($B$5:$B$344,$A318+L$3)-INDEX($B$5:$B$344,$A318-1)-1,"")))</f>
        <v/>
      </c>
      <c r="M318" s="11">
        <f>IF(OR($A318=1,$B318="",$A318+M$3&gt;340),"",IF(INDEX($B$5:$B$344,$A318+M$3)="","",IF(AND(YEAR($B318)=$B$2,YEAR(INDEX($B$5:$B$344,$A318+M$3-1))=$B$2),INDEX($B$5:$B$344,$A318+M$3)-INDEX($B$5:$B$344,$A318-1)-1,"")))</f>
        <v/>
      </c>
    </row>
    <row r="319">
      <c r="A319" s="11" t="n">
        <v>315</v>
      </c>
      <c r="B319" s="10">
        <f>IFERROR(INDEX('2_暦'!$A$7:$A$433,MATCH(A319,'2_暦'!$K$7:$K$433,0)),"")</f>
        <v/>
      </c>
      <c r="C319" s="11">
        <f>IF(OR($A319=1,$B319=""),"",IF(OR(YEAR($B319-1)=$B$2,YEAR(INDEX($B$5:$B$344,$A319-1)+1)=$B$2),$B319-INDEX($B$5:$B$344,$A319-1)-1,""))</f>
        <v/>
      </c>
      <c r="D319" s="11">
        <f>IF(OR($A319=1,$B319="",$A319+D$3&gt;340),"",IF(INDEX($B$5:$B$344,$A319+D$3)="","",IF(AND(YEAR($B319)=$B$2,YEAR(INDEX($B$5:$B$344,$A319+D$3-1))=$B$2),INDEX($B$5:$B$344,$A319+D$3)-INDEX($B$5:$B$344,$A319-1)-1,"")))</f>
        <v/>
      </c>
      <c r="E319" s="11">
        <f>IF(OR($A319=1,$B319="",$A319+E$3&gt;340),"",IF(INDEX($B$5:$B$344,$A319+E$3)="","",IF(AND(YEAR($B319)=$B$2,YEAR(INDEX($B$5:$B$344,$A319+E$3-1))=$B$2),INDEX($B$5:$B$344,$A319+E$3)-INDEX($B$5:$B$344,$A319-1)-1,"")))</f>
        <v/>
      </c>
      <c r="F319" s="11">
        <f>IF(OR($A319=1,$B319="",$A319+F$3&gt;340),"",IF(INDEX($B$5:$B$344,$A319+F$3)="","",IF(AND(YEAR($B319)=$B$2,YEAR(INDEX($B$5:$B$344,$A319+F$3-1))=$B$2),INDEX($B$5:$B$344,$A319+F$3)-INDEX($B$5:$B$344,$A319-1)-1,"")))</f>
        <v/>
      </c>
      <c r="G319" s="11">
        <f>IF(OR($A319=1,$B319="",$A319+G$3&gt;340),"",IF(INDEX($B$5:$B$344,$A319+G$3)="","",IF(AND(YEAR($B319)=$B$2,YEAR(INDEX($B$5:$B$344,$A319+G$3-1))=$B$2),INDEX($B$5:$B$344,$A319+G$3)-INDEX($B$5:$B$344,$A319-1)-1,"")))</f>
        <v/>
      </c>
      <c r="H319" s="11">
        <f>IF(OR($A319=1,$B319="",$A319+H$3&gt;340),"",IF(INDEX($B$5:$B$344,$A319+H$3)="","",IF(AND(YEAR($B319)=$B$2,YEAR(INDEX($B$5:$B$344,$A319+H$3-1))=$B$2),INDEX($B$5:$B$344,$A319+H$3)-INDEX($B$5:$B$344,$A319-1)-1,"")))</f>
        <v/>
      </c>
      <c r="I319" s="11">
        <f>IF(OR($A319=1,$B319="",$A319+I$3&gt;340),"",IF(INDEX($B$5:$B$344,$A319+I$3)="","",IF(AND(YEAR($B319)=$B$2,YEAR(INDEX($B$5:$B$344,$A319+I$3-1))=$B$2),INDEX($B$5:$B$344,$A319+I$3)-INDEX($B$5:$B$344,$A319-1)-1,"")))</f>
        <v/>
      </c>
      <c r="J319" s="11">
        <f>IF(OR($A319=1,$B319="",$A319+J$3&gt;340),"",IF(INDEX($B$5:$B$344,$A319+J$3)="","",IF(AND(YEAR($B319)=$B$2,YEAR(INDEX($B$5:$B$344,$A319+J$3-1))=$B$2),INDEX($B$5:$B$344,$A319+J$3)-INDEX($B$5:$B$344,$A319-1)-1,"")))</f>
        <v/>
      </c>
      <c r="K319" s="11">
        <f>IF(OR($A319=1,$B319="",$A319+K$3&gt;340),"",IF(INDEX($B$5:$B$344,$A319+K$3)="","",IF(AND(YEAR($B319)=$B$2,YEAR(INDEX($B$5:$B$344,$A319+K$3-1))=$B$2),INDEX($B$5:$B$344,$A319+K$3)-INDEX($B$5:$B$344,$A319-1)-1,"")))</f>
        <v/>
      </c>
      <c r="L319" s="11">
        <f>IF(OR($A319=1,$B319="",$A319+L$3&gt;340),"",IF(INDEX($B$5:$B$344,$A319+L$3)="","",IF(AND(YEAR($B319)=$B$2,YEAR(INDEX($B$5:$B$344,$A319+L$3-1))=$B$2),INDEX($B$5:$B$344,$A319+L$3)-INDEX($B$5:$B$344,$A319-1)-1,"")))</f>
        <v/>
      </c>
      <c r="M319" s="11">
        <f>IF(OR($A319=1,$B319="",$A319+M$3&gt;340),"",IF(INDEX($B$5:$B$344,$A319+M$3)="","",IF(AND(YEAR($B319)=$B$2,YEAR(INDEX($B$5:$B$344,$A319+M$3-1))=$B$2),INDEX($B$5:$B$344,$A319+M$3)-INDEX($B$5:$B$344,$A319-1)-1,"")))</f>
        <v/>
      </c>
    </row>
    <row r="320">
      <c r="A320" s="11" t="n">
        <v>316</v>
      </c>
      <c r="B320" s="10">
        <f>IFERROR(INDEX('2_暦'!$A$7:$A$433,MATCH(A320,'2_暦'!$K$7:$K$433,0)),"")</f>
        <v/>
      </c>
      <c r="C320" s="11">
        <f>IF(OR($A320=1,$B320=""),"",IF(OR(YEAR($B320-1)=$B$2,YEAR(INDEX($B$5:$B$344,$A320-1)+1)=$B$2),$B320-INDEX($B$5:$B$344,$A320-1)-1,""))</f>
        <v/>
      </c>
      <c r="D320" s="11">
        <f>IF(OR($A320=1,$B320="",$A320+D$3&gt;340),"",IF(INDEX($B$5:$B$344,$A320+D$3)="","",IF(AND(YEAR($B320)=$B$2,YEAR(INDEX($B$5:$B$344,$A320+D$3-1))=$B$2),INDEX($B$5:$B$344,$A320+D$3)-INDEX($B$5:$B$344,$A320-1)-1,"")))</f>
        <v/>
      </c>
      <c r="E320" s="11">
        <f>IF(OR($A320=1,$B320="",$A320+E$3&gt;340),"",IF(INDEX($B$5:$B$344,$A320+E$3)="","",IF(AND(YEAR($B320)=$B$2,YEAR(INDEX($B$5:$B$344,$A320+E$3-1))=$B$2),INDEX($B$5:$B$344,$A320+E$3)-INDEX($B$5:$B$344,$A320-1)-1,"")))</f>
        <v/>
      </c>
      <c r="F320" s="11">
        <f>IF(OR($A320=1,$B320="",$A320+F$3&gt;340),"",IF(INDEX($B$5:$B$344,$A320+F$3)="","",IF(AND(YEAR($B320)=$B$2,YEAR(INDEX($B$5:$B$344,$A320+F$3-1))=$B$2),INDEX($B$5:$B$344,$A320+F$3)-INDEX($B$5:$B$344,$A320-1)-1,"")))</f>
        <v/>
      </c>
      <c r="G320" s="11">
        <f>IF(OR($A320=1,$B320="",$A320+G$3&gt;340),"",IF(INDEX($B$5:$B$344,$A320+G$3)="","",IF(AND(YEAR($B320)=$B$2,YEAR(INDEX($B$5:$B$344,$A320+G$3-1))=$B$2),INDEX($B$5:$B$344,$A320+G$3)-INDEX($B$5:$B$344,$A320-1)-1,"")))</f>
        <v/>
      </c>
      <c r="H320" s="11">
        <f>IF(OR($A320=1,$B320="",$A320+H$3&gt;340),"",IF(INDEX($B$5:$B$344,$A320+H$3)="","",IF(AND(YEAR($B320)=$B$2,YEAR(INDEX($B$5:$B$344,$A320+H$3-1))=$B$2),INDEX($B$5:$B$344,$A320+H$3)-INDEX($B$5:$B$344,$A320-1)-1,"")))</f>
        <v/>
      </c>
      <c r="I320" s="11">
        <f>IF(OR($A320=1,$B320="",$A320+I$3&gt;340),"",IF(INDEX($B$5:$B$344,$A320+I$3)="","",IF(AND(YEAR($B320)=$B$2,YEAR(INDEX($B$5:$B$344,$A320+I$3-1))=$B$2),INDEX($B$5:$B$344,$A320+I$3)-INDEX($B$5:$B$344,$A320-1)-1,"")))</f>
        <v/>
      </c>
      <c r="J320" s="11">
        <f>IF(OR($A320=1,$B320="",$A320+J$3&gt;340),"",IF(INDEX($B$5:$B$344,$A320+J$3)="","",IF(AND(YEAR($B320)=$B$2,YEAR(INDEX($B$5:$B$344,$A320+J$3-1))=$B$2),INDEX($B$5:$B$344,$A320+J$3)-INDEX($B$5:$B$344,$A320-1)-1,"")))</f>
        <v/>
      </c>
      <c r="K320" s="11">
        <f>IF(OR($A320=1,$B320="",$A320+K$3&gt;340),"",IF(INDEX($B$5:$B$344,$A320+K$3)="","",IF(AND(YEAR($B320)=$B$2,YEAR(INDEX($B$5:$B$344,$A320+K$3-1))=$B$2),INDEX($B$5:$B$344,$A320+K$3)-INDEX($B$5:$B$344,$A320-1)-1,"")))</f>
        <v/>
      </c>
      <c r="L320" s="11">
        <f>IF(OR($A320=1,$B320="",$A320+L$3&gt;340),"",IF(INDEX($B$5:$B$344,$A320+L$3)="","",IF(AND(YEAR($B320)=$B$2,YEAR(INDEX($B$5:$B$344,$A320+L$3-1))=$B$2),INDEX($B$5:$B$344,$A320+L$3)-INDEX($B$5:$B$344,$A320-1)-1,"")))</f>
        <v/>
      </c>
      <c r="M320" s="11">
        <f>IF(OR($A320=1,$B320="",$A320+M$3&gt;340),"",IF(INDEX($B$5:$B$344,$A320+M$3)="","",IF(AND(YEAR($B320)=$B$2,YEAR(INDEX($B$5:$B$344,$A320+M$3-1))=$B$2),INDEX($B$5:$B$344,$A320+M$3)-INDEX($B$5:$B$344,$A320-1)-1,"")))</f>
        <v/>
      </c>
    </row>
    <row r="321">
      <c r="A321" s="11" t="n">
        <v>317</v>
      </c>
      <c r="B321" s="10">
        <f>IFERROR(INDEX('2_暦'!$A$7:$A$433,MATCH(A321,'2_暦'!$K$7:$K$433,0)),"")</f>
        <v/>
      </c>
      <c r="C321" s="11">
        <f>IF(OR($A321=1,$B321=""),"",IF(OR(YEAR($B321-1)=$B$2,YEAR(INDEX($B$5:$B$344,$A321-1)+1)=$B$2),$B321-INDEX($B$5:$B$344,$A321-1)-1,""))</f>
        <v/>
      </c>
      <c r="D321" s="11">
        <f>IF(OR($A321=1,$B321="",$A321+D$3&gt;340),"",IF(INDEX($B$5:$B$344,$A321+D$3)="","",IF(AND(YEAR($B321)=$B$2,YEAR(INDEX($B$5:$B$344,$A321+D$3-1))=$B$2),INDEX($B$5:$B$344,$A321+D$3)-INDEX($B$5:$B$344,$A321-1)-1,"")))</f>
        <v/>
      </c>
      <c r="E321" s="11">
        <f>IF(OR($A321=1,$B321="",$A321+E$3&gt;340),"",IF(INDEX($B$5:$B$344,$A321+E$3)="","",IF(AND(YEAR($B321)=$B$2,YEAR(INDEX($B$5:$B$344,$A321+E$3-1))=$B$2),INDEX($B$5:$B$344,$A321+E$3)-INDEX($B$5:$B$344,$A321-1)-1,"")))</f>
        <v/>
      </c>
      <c r="F321" s="11">
        <f>IF(OR($A321=1,$B321="",$A321+F$3&gt;340),"",IF(INDEX($B$5:$B$344,$A321+F$3)="","",IF(AND(YEAR($B321)=$B$2,YEAR(INDEX($B$5:$B$344,$A321+F$3-1))=$B$2),INDEX($B$5:$B$344,$A321+F$3)-INDEX($B$5:$B$344,$A321-1)-1,"")))</f>
        <v/>
      </c>
      <c r="G321" s="11">
        <f>IF(OR($A321=1,$B321="",$A321+G$3&gt;340),"",IF(INDEX($B$5:$B$344,$A321+G$3)="","",IF(AND(YEAR($B321)=$B$2,YEAR(INDEX($B$5:$B$344,$A321+G$3-1))=$B$2),INDEX($B$5:$B$344,$A321+G$3)-INDEX($B$5:$B$344,$A321-1)-1,"")))</f>
        <v/>
      </c>
      <c r="H321" s="11">
        <f>IF(OR($A321=1,$B321="",$A321+H$3&gt;340),"",IF(INDEX($B$5:$B$344,$A321+H$3)="","",IF(AND(YEAR($B321)=$B$2,YEAR(INDEX($B$5:$B$344,$A321+H$3-1))=$B$2),INDEX($B$5:$B$344,$A321+H$3)-INDEX($B$5:$B$344,$A321-1)-1,"")))</f>
        <v/>
      </c>
      <c r="I321" s="11">
        <f>IF(OR($A321=1,$B321="",$A321+I$3&gt;340),"",IF(INDEX($B$5:$B$344,$A321+I$3)="","",IF(AND(YEAR($B321)=$B$2,YEAR(INDEX($B$5:$B$344,$A321+I$3-1))=$B$2),INDEX($B$5:$B$344,$A321+I$3)-INDEX($B$5:$B$344,$A321-1)-1,"")))</f>
        <v/>
      </c>
      <c r="J321" s="11">
        <f>IF(OR($A321=1,$B321="",$A321+J$3&gt;340),"",IF(INDEX($B$5:$B$344,$A321+J$3)="","",IF(AND(YEAR($B321)=$B$2,YEAR(INDEX($B$5:$B$344,$A321+J$3-1))=$B$2),INDEX($B$5:$B$344,$A321+J$3)-INDEX($B$5:$B$344,$A321-1)-1,"")))</f>
        <v/>
      </c>
      <c r="K321" s="11">
        <f>IF(OR($A321=1,$B321="",$A321+K$3&gt;340),"",IF(INDEX($B$5:$B$344,$A321+K$3)="","",IF(AND(YEAR($B321)=$B$2,YEAR(INDEX($B$5:$B$344,$A321+K$3-1))=$B$2),INDEX($B$5:$B$344,$A321+K$3)-INDEX($B$5:$B$344,$A321-1)-1,"")))</f>
        <v/>
      </c>
      <c r="L321" s="11">
        <f>IF(OR($A321=1,$B321="",$A321+L$3&gt;340),"",IF(INDEX($B$5:$B$344,$A321+L$3)="","",IF(AND(YEAR($B321)=$B$2,YEAR(INDEX($B$5:$B$344,$A321+L$3-1))=$B$2),INDEX($B$5:$B$344,$A321+L$3)-INDEX($B$5:$B$344,$A321-1)-1,"")))</f>
        <v/>
      </c>
      <c r="M321" s="11">
        <f>IF(OR($A321=1,$B321="",$A321+M$3&gt;340),"",IF(INDEX($B$5:$B$344,$A321+M$3)="","",IF(AND(YEAR($B321)=$B$2,YEAR(INDEX($B$5:$B$344,$A321+M$3-1))=$B$2),INDEX($B$5:$B$344,$A321+M$3)-INDEX($B$5:$B$344,$A321-1)-1,"")))</f>
        <v/>
      </c>
    </row>
    <row r="322">
      <c r="A322" s="11" t="n">
        <v>318</v>
      </c>
      <c r="B322" s="10">
        <f>IFERROR(INDEX('2_暦'!$A$7:$A$433,MATCH(A322,'2_暦'!$K$7:$K$433,0)),"")</f>
        <v/>
      </c>
      <c r="C322" s="11">
        <f>IF(OR($A322=1,$B322=""),"",IF(OR(YEAR($B322-1)=$B$2,YEAR(INDEX($B$5:$B$344,$A322-1)+1)=$B$2),$B322-INDEX($B$5:$B$344,$A322-1)-1,""))</f>
        <v/>
      </c>
      <c r="D322" s="11">
        <f>IF(OR($A322=1,$B322="",$A322+D$3&gt;340),"",IF(INDEX($B$5:$B$344,$A322+D$3)="","",IF(AND(YEAR($B322)=$B$2,YEAR(INDEX($B$5:$B$344,$A322+D$3-1))=$B$2),INDEX($B$5:$B$344,$A322+D$3)-INDEX($B$5:$B$344,$A322-1)-1,"")))</f>
        <v/>
      </c>
      <c r="E322" s="11">
        <f>IF(OR($A322=1,$B322="",$A322+E$3&gt;340),"",IF(INDEX($B$5:$B$344,$A322+E$3)="","",IF(AND(YEAR($B322)=$B$2,YEAR(INDEX($B$5:$B$344,$A322+E$3-1))=$B$2),INDEX($B$5:$B$344,$A322+E$3)-INDEX($B$5:$B$344,$A322-1)-1,"")))</f>
        <v/>
      </c>
      <c r="F322" s="11">
        <f>IF(OR($A322=1,$B322="",$A322+F$3&gt;340),"",IF(INDEX($B$5:$B$344,$A322+F$3)="","",IF(AND(YEAR($B322)=$B$2,YEAR(INDEX($B$5:$B$344,$A322+F$3-1))=$B$2),INDEX($B$5:$B$344,$A322+F$3)-INDEX($B$5:$B$344,$A322-1)-1,"")))</f>
        <v/>
      </c>
      <c r="G322" s="11">
        <f>IF(OR($A322=1,$B322="",$A322+G$3&gt;340),"",IF(INDEX($B$5:$B$344,$A322+G$3)="","",IF(AND(YEAR($B322)=$B$2,YEAR(INDEX($B$5:$B$344,$A322+G$3-1))=$B$2),INDEX($B$5:$B$344,$A322+G$3)-INDEX($B$5:$B$344,$A322-1)-1,"")))</f>
        <v/>
      </c>
      <c r="H322" s="11">
        <f>IF(OR($A322=1,$B322="",$A322+H$3&gt;340),"",IF(INDEX($B$5:$B$344,$A322+H$3)="","",IF(AND(YEAR($B322)=$B$2,YEAR(INDEX($B$5:$B$344,$A322+H$3-1))=$B$2),INDEX($B$5:$B$344,$A322+H$3)-INDEX($B$5:$B$344,$A322-1)-1,"")))</f>
        <v/>
      </c>
      <c r="I322" s="11">
        <f>IF(OR($A322=1,$B322="",$A322+I$3&gt;340),"",IF(INDEX($B$5:$B$344,$A322+I$3)="","",IF(AND(YEAR($B322)=$B$2,YEAR(INDEX($B$5:$B$344,$A322+I$3-1))=$B$2),INDEX($B$5:$B$344,$A322+I$3)-INDEX($B$5:$B$344,$A322-1)-1,"")))</f>
        <v/>
      </c>
      <c r="J322" s="11">
        <f>IF(OR($A322=1,$B322="",$A322+J$3&gt;340),"",IF(INDEX($B$5:$B$344,$A322+J$3)="","",IF(AND(YEAR($B322)=$B$2,YEAR(INDEX($B$5:$B$344,$A322+J$3-1))=$B$2),INDEX($B$5:$B$344,$A322+J$3)-INDEX($B$5:$B$344,$A322-1)-1,"")))</f>
        <v/>
      </c>
      <c r="K322" s="11">
        <f>IF(OR($A322=1,$B322="",$A322+K$3&gt;340),"",IF(INDEX($B$5:$B$344,$A322+K$3)="","",IF(AND(YEAR($B322)=$B$2,YEAR(INDEX($B$5:$B$344,$A322+K$3-1))=$B$2),INDEX($B$5:$B$344,$A322+K$3)-INDEX($B$5:$B$344,$A322-1)-1,"")))</f>
        <v/>
      </c>
      <c r="L322" s="11">
        <f>IF(OR($A322=1,$B322="",$A322+L$3&gt;340),"",IF(INDEX($B$5:$B$344,$A322+L$3)="","",IF(AND(YEAR($B322)=$B$2,YEAR(INDEX($B$5:$B$344,$A322+L$3-1))=$B$2),INDEX($B$5:$B$344,$A322+L$3)-INDEX($B$5:$B$344,$A322-1)-1,"")))</f>
        <v/>
      </c>
      <c r="M322" s="11">
        <f>IF(OR($A322=1,$B322="",$A322+M$3&gt;340),"",IF(INDEX($B$5:$B$344,$A322+M$3)="","",IF(AND(YEAR($B322)=$B$2,YEAR(INDEX($B$5:$B$344,$A322+M$3-1))=$B$2),INDEX($B$5:$B$344,$A322+M$3)-INDEX($B$5:$B$344,$A322-1)-1,"")))</f>
        <v/>
      </c>
    </row>
    <row r="323">
      <c r="A323" s="11" t="n">
        <v>319</v>
      </c>
      <c r="B323" s="10">
        <f>IFERROR(INDEX('2_暦'!$A$7:$A$433,MATCH(A323,'2_暦'!$K$7:$K$433,0)),"")</f>
        <v/>
      </c>
      <c r="C323" s="11">
        <f>IF(OR($A323=1,$B323=""),"",IF(OR(YEAR($B323-1)=$B$2,YEAR(INDEX($B$5:$B$344,$A323-1)+1)=$B$2),$B323-INDEX($B$5:$B$344,$A323-1)-1,""))</f>
        <v/>
      </c>
      <c r="D323" s="11">
        <f>IF(OR($A323=1,$B323="",$A323+D$3&gt;340),"",IF(INDEX($B$5:$B$344,$A323+D$3)="","",IF(AND(YEAR($B323)=$B$2,YEAR(INDEX($B$5:$B$344,$A323+D$3-1))=$B$2),INDEX($B$5:$B$344,$A323+D$3)-INDEX($B$5:$B$344,$A323-1)-1,"")))</f>
        <v/>
      </c>
      <c r="E323" s="11">
        <f>IF(OR($A323=1,$B323="",$A323+E$3&gt;340),"",IF(INDEX($B$5:$B$344,$A323+E$3)="","",IF(AND(YEAR($B323)=$B$2,YEAR(INDEX($B$5:$B$344,$A323+E$3-1))=$B$2),INDEX($B$5:$B$344,$A323+E$3)-INDEX($B$5:$B$344,$A323-1)-1,"")))</f>
        <v/>
      </c>
      <c r="F323" s="11">
        <f>IF(OR($A323=1,$B323="",$A323+F$3&gt;340),"",IF(INDEX($B$5:$B$344,$A323+F$3)="","",IF(AND(YEAR($B323)=$B$2,YEAR(INDEX($B$5:$B$344,$A323+F$3-1))=$B$2),INDEX($B$5:$B$344,$A323+F$3)-INDEX($B$5:$B$344,$A323-1)-1,"")))</f>
        <v/>
      </c>
      <c r="G323" s="11">
        <f>IF(OR($A323=1,$B323="",$A323+G$3&gt;340),"",IF(INDEX($B$5:$B$344,$A323+G$3)="","",IF(AND(YEAR($B323)=$B$2,YEAR(INDEX($B$5:$B$344,$A323+G$3-1))=$B$2),INDEX($B$5:$B$344,$A323+G$3)-INDEX($B$5:$B$344,$A323-1)-1,"")))</f>
        <v/>
      </c>
      <c r="H323" s="11">
        <f>IF(OR($A323=1,$B323="",$A323+H$3&gt;340),"",IF(INDEX($B$5:$B$344,$A323+H$3)="","",IF(AND(YEAR($B323)=$B$2,YEAR(INDEX($B$5:$B$344,$A323+H$3-1))=$B$2),INDEX($B$5:$B$344,$A323+H$3)-INDEX($B$5:$B$344,$A323-1)-1,"")))</f>
        <v/>
      </c>
      <c r="I323" s="11">
        <f>IF(OR($A323=1,$B323="",$A323+I$3&gt;340),"",IF(INDEX($B$5:$B$344,$A323+I$3)="","",IF(AND(YEAR($B323)=$B$2,YEAR(INDEX($B$5:$B$344,$A323+I$3-1))=$B$2),INDEX($B$5:$B$344,$A323+I$3)-INDEX($B$5:$B$344,$A323-1)-1,"")))</f>
        <v/>
      </c>
      <c r="J323" s="11">
        <f>IF(OR($A323=1,$B323="",$A323+J$3&gt;340),"",IF(INDEX($B$5:$B$344,$A323+J$3)="","",IF(AND(YEAR($B323)=$B$2,YEAR(INDEX($B$5:$B$344,$A323+J$3-1))=$B$2),INDEX($B$5:$B$344,$A323+J$3)-INDEX($B$5:$B$344,$A323-1)-1,"")))</f>
        <v/>
      </c>
      <c r="K323" s="11">
        <f>IF(OR($A323=1,$B323="",$A323+K$3&gt;340),"",IF(INDEX($B$5:$B$344,$A323+K$3)="","",IF(AND(YEAR($B323)=$B$2,YEAR(INDEX($B$5:$B$344,$A323+K$3-1))=$B$2),INDEX($B$5:$B$344,$A323+K$3)-INDEX($B$5:$B$344,$A323-1)-1,"")))</f>
        <v/>
      </c>
      <c r="L323" s="11">
        <f>IF(OR($A323=1,$B323="",$A323+L$3&gt;340),"",IF(INDEX($B$5:$B$344,$A323+L$3)="","",IF(AND(YEAR($B323)=$B$2,YEAR(INDEX($B$5:$B$344,$A323+L$3-1))=$B$2),INDEX($B$5:$B$344,$A323+L$3)-INDEX($B$5:$B$344,$A323-1)-1,"")))</f>
        <v/>
      </c>
      <c r="M323" s="11">
        <f>IF(OR($A323=1,$B323="",$A323+M$3&gt;340),"",IF(INDEX($B$5:$B$344,$A323+M$3)="","",IF(AND(YEAR($B323)=$B$2,YEAR(INDEX($B$5:$B$344,$A323+M$3-1))=$B$2),INDEX($B$5:$B$344,$A323+M$3)-INDEX($B$5:$B$344,$A323-1)-1,"")))</f>
        <v/>
      </c>
    </row>
    <row r="324">
      <c r="A324" s="11" t="n">
        <v>320</v>
      </c>
      <c r="B324" s="10">
        <f>IFERROR(INDEX('2_暦'!$A$7:$A$433,MATCH(A324,'2_暦'!$K$7:$K$433,0)),"")</f>
        <v/>
      </c>
      <c r="C324" s="11">
        <f>IF(OR($A324=1,$B324=""),"",IF(OR(YEAR($B324-1)=$B$2,YEAR(INDEX($B$5:$B$344,$A324-1)+1)=$B$2),$B324-INDEX($B$5:$B$344,$A324-1)-1,""))</f>
        <v/>
      </c>
      <c r="D324" s="11">
        <f>IF(OR($A324=1,$B324="",$A324+D$3&gt;340),"",IF(INDEX($B$5:$B$344,$A324+D$3)="","",IF(AND(YEAR($B324)=$B$2,YEAR(INDEX($B$5:$B$344,$A324+D$3-1))=$B$2),INDEX($B$5:$B$344,$A324+D$3)-INDEX($B$5:$B$344,$A324-1)-1,"")))</f>
        <v/>
      </c>
      <c r="E324" s="11">
        <f>IF(OR($A324=1,$B324="",$A324+E$3&gt;340),"",IF(INDEX($B$5:$B$344,$A324+E$3)="","",IF(AND(YEAR($B324)=$B$2,YEAR(INDEX($B$5:$B$344,$A324+E$3-1))=$B$2),INDEX($B$5:$B$344,$A324+E$3)-INDEX($B$5:$B$344,$A324-1)-1,"")))</f>
        <v/>
      </c>
      <c r="F324" s="11">
        <f>IF(OR($A324=1,$B324="",$A324+F$3&gt;340),"",IF(INDEX($B$5:$B$344,$A324+F$3)="","",IF(AND(YEAR($B324)=$B$2,YEAR(INDEX($B$5:$B$344,$A324+F$3-1))=$B$2),INDEX($B$5:$B$344,$A324+F$3)-INDEX($B$5:$B$344,$A324-1)-1,"")))</f>
        <v/>
      </c>
      <c r="G324" s="11">
        <f>IF(OR($A324=1,$B324="",$A324+G$3&gt;340),"",IF(INDEX($B$5:$B$344,$A324+G$3)="","",IF(AND(YEAR($B324)=$B$2,YEAR(INDEX($B$5:$B$344,$A324+G$3-1))=$B$2),INDEX($B$5:$B$344,$A324+G$3)-INDEX($B$5:$B$344,$A324-1)-1,"")))</f>
        <v/>
      </c>
      <c r="H324" s="11">
        <f>IF(OR($A324=1,$B324="",$A324+H$3&gt;340),"",IF(INDEX($B$5:$B$344,$A324+H$3)="","",IF(AND(YEAR($B324)=$B$2,YEAR(INDEX($B$5:$B$344,$A324+H$3-1))=$B$2),INDEX($B$5:$B$344,$A324+H$3)-INDEX($B$5:$B$344,$A324-1)-1,"")))</f>
        <v/>
      </c>
      <c r="I324" s="11">
        <f>IF(OR($A324=1,$B324="",$A324+I$3&gt;340),"",IF(INDEX($B$5:$B$344,$A324+I$3)="","",IF(AND(YEAR($B324)=$B$2,YEAR(INDEX($B$5:$B$344,$A324+I$3-1))=$B$2),INDEX($B$5:$B$344,$A324+I$3)-INDEX($B$5:$B$344,$A324-1)-1,"")))</f>
        <v/>
      </c>
      <c r="J324" s="11">
        <f>IF(OR($A324=1,$B324="",$A324+J$3&gt;340),"",IF(INDEX($B$5:$B$344,$A324+J$3)="","",IF(AND(YEAR($B324)=$B$2,YEAR(INDEX($B$5:$B$344,$A324+J$3-1))=$B$2),INDEX($B$5:$B$344,$A324+J$3)-INDEX($B$5:$B$344,$A324-1)-1,"")))</f>
        <v/>
      </c>
      <c r="K324" s="11">
        <f>IF(OR($A324=1,$B324="",$A324+K$3&gt;340),"",IF(INDEX($B$5:$B$344,$A324+K$3)="","",IF(AND(YEAR($B324)=$B$2,YEAR(INDEX($B$5:$B$344,$A324+K$3-1))=$B$2),INDEX($B$5:$B$344,$A324+K$3)-INDEX($B$5:$B$344,$A324-1)-1,"")))</f>
        <v/>
      </c>
      <c r="L324" s="11">
        <f>IF(OR($A324=1,$B324="",$A324+L$3&gt;340),"",IF(INDEX($B$5:$B$344,$A324+L$3)="","",IF(AND(YEAR($B324)=$B$2,YEAR(INDEX($B$5:$B$344,$A324+L$3-1))=$B$2),INDEX($B$5:$B$344,$A324+L$3)-INDEX($B$5:$B$344,$A324-1)-1,"")))</f>
        <v/>
      </c>
      <c r="M324" s="11">
        <f>IF(OR($A324=1,$B324="",$A324+M$3&gt;340),"",IF(INDEX($B$5:$B$344,$A324+M$3)="","",IF(AND(YEAR($B324)=$B$2,YEAR(INDEX($B$5:$B$344,$A324+M$3-1))=$B$2),INDEX($B$5:$B$344,$A324+M$3)-INDEX($B$5:$B$344,$A324-1)-1,"")))</f>
        <v/>
      </c>
    </row>
    <row r="325">
      <c r="A325" s="11" t="n">
        <v>321</v>
      </c>
      <c r="B325" s="10">
        <f>IFERROR(INDEX('2_暦'!$A$7:$A$433,MATCH(A325,'2_暦'!$K$7:$K$433,0)),"")</f>
        <v/>
      </c>
      <c r="C325" s="11">
        <f>IF(OR($A325=1,$B325=""),"",IF(OR(YEAR($B325-1)=$B$2,YEAR(INDEX($B$5:$B$344,$A325-1)+1)=$B$2),$B325-INDEX($B$5:$B$344,$A325-1)-1,""))</f>
        <v/>
      </c>
      <c r="D325" s="11">
        <f>IF(OR($A325=1,$B325="",$A325+D$3&gt;340),"",IF(INDEX($B$5:$B$344,$A325+D$3)="","",IF(AND(YEAR($B325)=$B$2,YEAR(INDEX($B$5:$B$344,$A325+D$3-1))=$B$2),INDEX($B$5:$B$344,$A325+D$3)-INDEX($B$5:$B$344,$A325-1)-1,"")))</f>
        <v/>
      </c>
      <c r="E325" s="11">
        <f>IF(OR($A325=1,$B325="",$A325+E$3&gt;340),"",IF(INDEX($B$5:$B$344,$A325+E$3)="","",IF(AND(YEAR($B325)=$B$2,YEAR(INDEX($B$5:$B$344,$A325+E$3-1))=$B$2),INDEX($B$5:$B$344,$A325+E$3)-INDEX($B$5:$B$344,$A325-1)-1,"")))</f>
        <v/>
      </c>
      <c r="F325" s="11">
        <f>IF(OR($A325=1,$B325="",$A325+F$3&gt;340),"",IF(INDEX($B$5:$B$344,$A325+F$3)="","",IF(AND(YEAR($B325)=$B$2,YEAR(INDEX($B$5:$B$344,$A325+F$3-1))=$B$2),INDEX($B$5:$B$344,$A325+F$3)-INDEX($B$5:$B$344,$A325-1)-1,"")))</f>
        <v/>
      </c>
      <c r="G325" s="11">
        <f>IF(OR($A325=1,$B325="",$A325+G$3&gt;340),"",IF(INDEX($B$5:$B$344,$A325+G$3)="","",IF(AND(YEAR($B325)=$B$2,YEAR(INDEX($B$5:$B$344,$A325+G$3-1))=$B$2),INDEX($B$5:$B$344,$A325+G$3)-INDEX($B$5:$B$344,$A325-1)-1,"")))</f>
        <v/>
      </c>
      <c r="H325" s="11">
        <f>IF(OR($A325=1,$B325="",$A325+H$3&gt;340),"",IF(INDEX($B$5:$B$344,$A325+H$3)="","",IF(AND(YEAR($B325)=$B$2,YEAR(INDEX($B$5:$B$344,$A325+H$3-1))=$B$2),INDEX($B$5:$B$344,$A325+H$3)-INDEX($B$5:$B$344,$A325-1)-1,"")))</f>
        <v/>
      </c>
      <c r="I325" s="11">
        <f>IF(OR($A325=1,$B325="",$A325+I$3&gt;340),"",IF(INDEX($B$5:$B$344,$A325+I$3)="","",IF(AND(YEAR($B325)=$B$2,YEAR(INDEX($B$5:$B$344,$A325+I$3-1))=$B$2),INDEX($B$5:$B$344,$A325+I$3)-INDEX($B$5:$B$344,$A325-1)-1,"")))</f>
        <v/>
      </c>
      <c r="J325" s="11">
        <f>IF(OR($A325=1,$B325="",$A325+J$3&gt;340),"",IF(INDEX($B$5:$B$344,$A325+J$3)="","",IF(AND(YEAR($B325)=$B$2,YEAR(INDEX($B$5:$B$344,$A325+J$3-1))=$B$2),INDEX($B$5:$B$344,$A325+J$3)-INDEX($B$5:$B$344,$A325-1)-1,"")))</f>
        <v/>
      </c>
      <c r="K325" s="11">
        <f>IF(OR($A325=1,$B325="",$A325+K$3&gt;340),"",IF(INDEX($B$5:$B$344,$A325+K$3)="","",IF(AND(YEAR($B325)=$B$2,YEAR(INDEX($B$5:$B$344,$A325+K$3-1))=$B$2),INDEX($B$5:$B$344,$A325+K$3)-INDEX($B$5:$B$344,$A325-1)-1,"")))</f>
        <v/>
      </c>
      <c r="L325" s="11">
        <f>IF(OR($A325=1,$B325="",$A325+L$3&gt;340),"",IF(INDEX($B$5:$B$344,$A325+L$3)="","",IF(AND(YEAR($B325)=$B$2,YEAR(INDEX($B$5:$B$344,$A325+L$3-1))=$B$2),INDEX($B$5:$B$344,$A325+L$3)-INDEX($B$5:$B$344,$A325-1)-1,"")))</f>
        <v/>
      </c>
      <c r="M325" s="11">
        <f>IF(OR($A325=1,$B325="",$A325+M$3&gt;340),"",IF(INDEX($B$5:$B$344,$A325+M$3)="","",IF(AND(YEAR($B325)=$B$2,YEAR(INDEX($B$5:$B$344,$A325+M$3-1))=$B$2),INDEX($B$5:$B$344,$A325+M$3)-INDEX($B$5:$B$344,$A325-1)-1,"")))</f>
        <v/>
      </c>
    </row>
    <row r="326">
      <c r="A326" s="11" t="n">
        <v>322</v>
      </c>
      <c r="B326" s="10">
        <f>IFERROR(INDEX('2_暦'!$A$7:$A$433,MATCH(A326,'2_暦'!$K$7:$K$433,0)),"")</f>
        <v/>
      </c>
      <c r="C326" s="11">
        <f>IF(OR($A326=1,$B326=""),"",IF(OR(YEAR($B326-1)=$B$2,YEAR(INDEX($B$5:$B$344,$A326-1)+1)=$B$2),$B326-INDEX($B$5:$B$344,$A326-1)-1,""))</f>
        <v/>
      </c>
      <c r="D326" s="11">
        <f>IF(OR($A326=1,$B326="",$A326+D$3&gt;340),"",IF(INDEX($B$5:$B$344,$A326+D$3)="","",IF(AND(YEAR($B326)=$B$2,YEAR(INDEX($B$5:$B$344,$A326+D$3-1))=$B$2),INDEX($B$5:$B$344,$A326+D$3)-INDEX($B$5:$B$344,$A326-1)-1,"")))</f>
        <v/>
      </c>
      <c r="E326" s="11">
        <f>IF(OR($A326=1,$B326="",$A326+E$3&gt;340),"",IF(INDEX($B$5:$B$344,$A326+E$3)="","",IF(AND(YEAR($B326)=$B$2,YEAR(INDEX($B$5:$B$344,$A326+E$3-1))=$B$2),INDEX($B$5:$B$344,$A326+E$3)-INDEX($B$5:$B$344,$A326-1)-1,"")))</f>
        <v/>
      </c>
      <c r="F326" s="11">
        <f>IF(OR($A326=1,$B326="",$A326+F$3&gt;340),"",IF(INDEX($B$5:$B$344,$A326+F$3)="","",IF(AND(YEAR($B326)=$B$2,YEAR(INDEX($B$5:$B$344,$A326+F$3-1))=$B$2),INDEX($B$5:$B$344,$A326+F$3)-INDEX($B$5:$B$344,$A326-1)-1,"")))</f>
        <v/>
      </c>
      <c r="G326" s="11">
        <f>IF(OR($A326=1,$B326="",$A326+G$3&gt;340),"",IF(INDEX($B$5:$B$344,$A326+G$3)="","",IF(AND(YEAR($B326)=$B$2,YEAR(INDEX($B$5:$B$344,$A326+G$3-1))=$B$2),INDEX($B$5:$B$344,$A326+G$3)-INDEX($B$5:$B$344,$A326-1)-1,"")))</f>
        <v/>
      </c>
      <c r="H326" s="11">
        <f>IF(OR($A326=1,$B326="",$A326+H$3&gt;340),"",IF(INDEX($B$5:$B$344,$A326+H$3)="","",IF(AND(YEAR($B326)=$B$2,YEAR(INDEX($B$5:$B$344,$A326+H$3-1))=$B$2),INDEX($B$5:$B$344,$A326+H$3)-INDEX($B$5:$B$344,$A326-1)-1,"")))</f>
        <v/>
      </c>
      <c r="I326" s="11">
        <f>IF(OR($A326=1,$B326="",$A326+I$3&gt;340),"",IF(INDEX($B$5:$B$344,$A326+I$3)="","",IF(AND(YEAR($B326)=$B$2,YEAR(INDEX($B$5:$B$344,$A326+I$3-1))=$B$2),INDEX($B$5:$B$344,$A326+I$3)-INDEX($B$5:$B$344,$A326-1)-1,"")))</f>
        <v/>
      </c>
      <c r="J326" s="11">
        <f>IF(OR($A326=1,$B326="",$A326+J$3&gt;340),"",IF(INDEX($B$5:$B$344,$A326+J$3)="","",IF(AND(YEAR($B326)=$B$2,YEAR(INDEX($B$5:$B$344,$A326+J$3-1))=$B$2),INDEX($B$5:$B$344,$A326+J$3)-INDEX($B$5:$B$344,$A326-1)-1,"")))</f>
        <v/>
      </c>
      <c r="K326" s="11">
        <f>IF(OR($A326=1,$B326="",$A326+K$3&gt;340),"",IF(INDEX($B$5:$B$344,$A326+K$3)="","",IF(AND(YEAR($B326)=$B$2,YEAR(INDEX($B$5:$B$344,$A326+K$3-1))=$B$2),INDEX($B$5:$B$344,$A326+K$3)-INDEX($B$5:$B$344,$A326-1)-1,"")))</f>
        <v/>
      </c>
      <c r="L326" s="11">
        <f>IF(OR($A326=1,$B326="",$A326+L$3&gt;340),"",IF(INDEX($B$5:$B$344,$A326+L$3)="","",IF(AND(YEAR($B326)=$B$2,YEAR(INDEX($B$5:$B$344,$A326+L$3-1))=$B$2),INDEX($B$5:$B$344,$A326+L$3)-INDEX($B$5:$B$344,$A326-1)-1,"")))</f>
        <v/>
      </c>
      <c r="M326" s="11">
        <f>IF(OR($A326=1,$B326="",$A326+M$3&gt;340),"",IF(INDEX($B$5:$B$344,$A326+M$3)="","",IF(AND(YEAR($B326)=$B$2,YEAR(INDEX($B$5:$B$344,$A326+M$3-1))=$B$2),INDEX($B$5:$B$344,$A326+M$3)-INDEX($B$5:$B$344,$A326-1)-1,"")))</f>
        <v/>
      </c>
    </row>
    <row r="327">
      <c r="A327" s="11" t="n">
        <v>323</v>
      </c>
      <c r="B327" s="10">
        <f>IFERROR(INDEX('2_暦'!$A$7:$A$433,MATCH(A327,'2_暦'!$K$7:$K$433,0)),"")</f>
        <v/>
      </c>
      <c r="C327" s="11">
        <f>IF(OR($A327=1,$B327=""),"",IF(OR(YEAR($B327-1)=$B$2,YEAR(INDEX($B$5:$B$344,$A327-1)+1)=$B$2),$B327-INDEX($B$5:$B$344,$A327-1)-1,""))</f>
        <v/>
      </c>
      <c r="D327" s="11">
        <f>IF(OR($A327=1,$B327="",$A327+D$3&gt;340),"",IF(INDEX($B$5:$B$344,$A327+D$3)="","",IF(AND(YEAR($B327)=$B$2,YEAR(INDEX($B$5:$B$344,$A327+D$3-1))=$B$2),INDEX($B$5:$B$344,$A327+D$3)-INDEX($B$5:$B$344,$A327-1)-1,"")))</f>
        <v/>
      </c>
      <c r="E327" s="11">
        <f>IF(OR($A327=1,$B327="",$A327+E$3&gt;340),"",IF(INDEX($B$5:$B$344,$A327+E$3)="","",IF(AND(YEAR($B327)=$B$2,YEAR(INDEX($B$5:$B$344,$A327+E$3-1))=$B$2),INDEX($B$5:$B$344,$A327+E$3)-INDEX($B$5:$B$344,$A327-1)-1,"")))</f>
        <v/>
      </c>
      <c r="F327" s="11">
        <f>IF(OR($A327=1,$B327="",$A327+F$3&gt;340),"",IF(INDEX($B$5:$B$344,$A327+F$3)="","",IF(AND(YEAR($B327)=$B$2,YEAR(INDEX($B$5:$B$344,$A327+F$3-1))=$B$2),INDEX($B$5:$B$344,$A327+F$3)-INDEX($B$5:$B$344,$A327-1)-1,"")))</f>
        <v/>
      </c>
      <c r="G327" s="11">
        <f>IF(OR($A327=1,$B327="",$A327+G$3&gt;340),"",IF(INDEX($B$5:$B$344,$A327+G$3)="","",IF(AND(YEAR($B327)=$B$2,YEAR(INDEX($B$5:$B$344,$A327+G$3-1))=$B$2),INDEX($B$5:$B$344,$A327+G$3)-INDEX($B$5:$B$344,$A327-1)-1,"")))</f>
        <v/>
      </c>
      <c r="H327" s="11">
        <f>IF(OR($A327=1,$B327="",$A327+H$3&gt;340),"",IF(INDEX($B$5:$B$344,$A327+H$3)="","",IF(AND(YEAR($B327)=$B$2,YEAR(INDEX($B$5:$B$344,$A327+H$3-1))=$B$2),INDEX($B$5:$B$344,$A327+H$3)-INDEX($B$5:$B$344,$A327-1)-1,"")))</f>
        <v/>
      </c>
      <c r="I327" s="11">
        <f>IF(OR($A327=1,$B327="",$A327+I$3&gt;340),"",IF(INDEX($B$5:$B$344,$A327+I$3)="","",IF(AND(YEAR($B327)=$B$2,YEAR(INDEX($B$5:$B$344,$A327+I$3-1))=$B$2),INDEX($B$5:$B$344,$A327+I$3)-INDEX($B$5:$B$344,$A327-1)-1,"")))</f>
        <v/>
      </c>
      <c r="J327" s="11">
        <f>IF(OR($A327=1,$B327="",$A327+J$3&gt;340),"",IF(INDEX($B$5:$B$344,$A327+J$3)="","",IF(AND(YEAR($B327)=$B$2,YEAR(INDEX($B$5:$B$344,$A327+J$3-1))=$B$2),INDEX($B$5:$B$344,$A327+J$3)-INDEX($B$5:$B$344,$A327-1)-1,"")))</f>
        <v/>
      </c>
      <c r="K327" s="11">
        <f>IF(OR($A327=1,$B327="",$A327+K$3&gt;340),"",IF(INDEX($B$5:$B$344,$A327+K$3)="","",IF(AND(YEAR($B327)=$B$2,YEAR(INDEX($B$5:$B$344,$A327+K$3-1))=$B$2),INDEX($B$5:$B$344,$A327+K$3)-INDEX($B$5:$B$344,$A327-1)-1,"")))</f>
        <v/>
      </c>
      <c r="L327" s="11">
        <f>IF(OR($A327=1,$B327="",$A327+L$3&gt;340),"",IF(INDEX($B$5:$B$344,$A327+L$3)="","",IF(AND(YEAR($B327)=$B$2,YEAR(INDEX($B$5:$B$344,$A327+L$3-1))=$B$2),INDEX($B$5:$B$344,$A327+L$3)-INDEX($B$5:$B$344,$A327-1)-1,"")))</f>
        <v/>
      </c>
      <c r="M327" s="11">
        <f>IF(OR($A327=1,$B327="",$A327+M$3&gt;340),"",IF(INDEX($B$5:$B$344,$A327+M$3)="","",IF(AND(YEAR($B327)=$B$2,YEAR(INDEX($B$5:$B$344,$A327+M$3-1))=$B$2),INDEX($B$5:$B$344,$A327+M$3)-INDEX($B$5:$B$344,$A327-1)-1,"")))</f>
        <v/>
      </c>
    </row>
    <row r="328">
      <c r="A328" s="11" t="n">
        <v>324</v>
      </c>
      <c r="B328" s="10">
        <f>IFERROR(INDEX('2_暦'!$A$7:$A$433,MATCH(A328,'2_暦'!$K$7:$K$433,0)),"")</f>
        <v/>
      </c>
      <c r="C328" s="11">
        <f>IF(OR($A328=1,$B328=""),"",IF(OR(YEAR($B328-1)=$B$2,YEAR(INDEX($B$5:$B$344,$A328-1)+1)=$B$2),$B328-INDEX($B$5:$B$344,$A328-1)-1,""))</f>
        <v/>
      </c>
      <c r="D328" s="11">
        <f>IF(OR($A328=1,$B328="",$A328+D$3&gt;340),"",IF(INDEX($B$5:$B$344,$A328+D$3)="","",IF(AND(YEAR($B328)=$B$2,YEAR(INDEX($B$5:$B$344,$A328+D$3-1))=$B$2),INDEX($B$5:$B$344,$A328+D$3)-INDEX($B$5:$B$344,$A328-1)-1,"")))</f>
        <v/>
      </c>
      <c r="E328" s="11">
        <f>IF(OR($A328=1,$B328="",$A328+E$3&gt;340),"",IF(INDEX($B$5:$B$344,$A328+E$3)="","",IF(AND(YEAR($B328)=$B$2,YEAR(INDEX($B$5:$B$344,$A328+E$3-1))=$B$2),INDEX($B$5:$B$344,$A328+E$3)-INDEX($B$5:$B$344,$A328-1)-1,"")))</f>
        <v/>
      </c>
      <c r="F328" s="11">
        <f>IF(OR($A328=1,$B328="",$A328+F$3&gt;340),"",IF(INDEX($B$5:$B$344,$A328+F$3)="","",IF(AND(YEAR($B328)=$B$2,YEAR(INDEX($B$5:$B$344,$A328+F$3-1))=$B$2),INDEX($B$5:$B$344,$A328+F$3)-INDEX($B$5:$B$344,$A328-1)-1,"")))</f>
        <v/>
      </c>
      <c r="G328" s="11">
        <f>IF(OR($A328=1,$B328="",$A328+G$3&gt;340),"",IF(INDEX($B$5:$B$344,$A328+G$3)="","",IF(AND(YEAR($B328)=$B$2,YEAR(INDEX($B$5:$B$344,$A328+G$3-1))=$B$2),INDEX($B$5:$B$344,$A328+G$3)-INDEX($B$5:$B$344,$A328-1)-1,"")))</f>
        <v/>
      </c>
      <c r="H328" s="11">
        <f>IF(OR($A328=1,$B328="",$A328+H$3&gt;340),"",IF(INDEX($B$5:$B$344,$A328+H$3)="","",IF(AND(YEAR($B328)=$B$2,YEAR(INDEX($B$5:$B$344,$A328+H$3-1))=$B$2),INDEX($B$5:$B$344,$A328+H$3)-INDEX($B$5:$B$344,$A328-1)-1,"")))</f>
        <v/>
      </c>
      <c r="I328" s="11">
        <f>IF(OR($A328=1,$B328="",$A328+I$3&gt;340),"",IF(INDEX($B$5:$B$344,$A328+I$3)="","",IF(AND(YEAR($B328)=$B$2,YEAR(INDEX($B$5:$B$344,$A328+I$3-1))=$B$2),INDEX($B$5:$B$344,$A328+I$3)-INDEX($B$5:$B$344,$A328-1)-1,"")))</f>
        <v/>
      </c>
      <c r="J328" s="11">
        <f>IF(OR($A328=1,$B328="",$A328+J$3&gt;340),"",IF(INDEX($B$5:$B$344,$A328+J$3)="","",IF(AND(YEAR($B328)=$B$2,YEAR(INDEX($B$5:$B$344,$A328+J$3-1))=$B$2),INDEX($B$5:$B$344,$A328+J$3)-INDEX($B$5:$B$344,$A328-1)-1,"")))</f>
        <v/>
      </c>
      <c r="K328" s="11">
        <f>IF(OR($A328=1,$B328="",$A328+K$3&gt;340),"",IF(INDEX($B$5:$B$344,$A328+K$3)="","",IF(AND(YEAR($B328)=$B$2,YEAR(INDEX($B$5:$B$344,$A328+K$3-1))=$B$2),INDEX($B$5:$B$344,$A328+K$3)-INDEX($B$5:$B$344,$A328-1)-1,"")))</f>
        <v/>
      </c>
      <c r="L328" s="11">
        <f>IF(OR($A328=1,$B328="",$A328+L$3&gt;340),"",IF(INDEX($B$5:$B$344,$A328+L$3)="","",IF(AND(YEAR($B328)=$B$2,YEAR(INDEX($B$5:$B$344,$A328+L$3-1))=$B$2),INDEX($B$5:$B$344,$A328+L$3)-INDEX($B$5:$B$344,$A328-1)-1,"")))</f>
        <v/>
      </c>
      <c r="M328" s="11">
        <f>IF(OR($A328=1,$B328="",$A328+M$3&gt;340),"",IF(INDEX($B$5:$B$344,$A328+M$3)="","",IF(AND(YEAR($B328)=$B$2,YEAR(INDEX($B$5:$B$344,$A328+M$3-1))=$B$2),INDEX($B$5:$B$344,$A328+M$3)-INDEX($B$5:$B$344,$A328-1)-1,"")))</f>
        <v/>
      </c>
    </row>
    <row r="329">
      <c r="A329" s="11" t="n">
        <v>325</v>
      </c>
      <c r="B329" s="10">
        <f>IFERROR(INDEX('2_暦'!$A$7:$A$433,MATCH(A329,'2_暦'!$K$7:$K$433,0)),"")</f>
        <v/>
      </c>
      <c r="C329" s="11">
        <f>IF(OR($A329=1,$B329=""),"",IF(OR(YEAR($B329-1)=$B$2,YEAR(INDEX($B$5:$B$344,$A329-1)+1)=$B$2),$B329-INDEX($B$5:$B$344,$A329-1)-1,""))</f>
        <v/>
      </c>
      <c r="D329" s="11">
        <f>IF(OR($A329=1,$B329="",$A329+D$3&gt;340),"",IF(INDEX($B$5:$B$344,$A329+D$3)="","",IF(AND(YEAR($B329)=$B$2,YEAR(INDEX($B$5:$B$344,$A329+D$3-1))=$B$2),INDEX($B$5:$B$344,$A329+D$3)-INDEX($B$5:$B$344,$A329-1)-1,"")))</f>
        <v/>
      </c>
      <c r="E329" s="11">
        <f>IF(OR($A329=1,$B329="",$A329+E$3&gt;340),"",IF(INDEX($B$5:$B$344,$A329+E$3)="","",IF(AND(YEAR($B329)=$B$2,YEAR(INDEX($B$5:$B$344,$A329+E$3-1))=$B$2),INDEX($B$5:$B$344,$A329+E$3)-INDEX($B$5:$B$344,$A329-1)-1,"")))</f>
        <v/>
      </c>
      <c r="F329" s="11">
        <f>IF(OR($A329=1,$B329="",$A329+F$3&gt;340),"",IF(INDEX($B$5:$B$344,$A329+F$3)="","",IF(AND(YEAR($B329)=$B$2,YEAR(INDEX($B$5:$B$344,$A329+F$3-1))=$B$2),INDEX($B$5:$B$344,$A329+F$3)-INDEX($B$5:$B$344,$A329-1)-1,"")))</f>
        <v/>
      </c>
      <c r="G329" s="11">
        <f>IF(OR($A329=1,$B329="",$A329+G$3&gt;340),"",IF(INDEX($B$5:$B$344,$A329+G$3)="","",IF(AND(YEAR($B329)=$B$2,YEAR(INDEX($B$5:$B$344,$A329+G$3-1))=$B$2),INDEX($B$5:$B$344,$A329+G$3)-INDEX($B$5:$B$344,$A329-1)-1,"")))</f>
        <v/>
      </c>
      <c r="H329" s="11">
        <f>IF(OR($A329=1,$B329="",$A329+H$3&gt;340),"",IF(INDEX($B$5:$B$344,$A329+H$3)="","",IF(AND(YEAR($B329)=$B$2,YEAR(INDEX($B$5:$B$344,$A329+H$3-1))=$B$2),INDEX($B$5:$B$344,$A329+H$3)-INDEX($B$5:$B$344,$A329-1)-1,"")))</f>
        <v/>
      </c>
      <c r="I329" s="11">
        <f>IF(OR($A329=1,$B329="",$A329+I$3&gt;340),"",IF(INDEX($B$5:$B$344,$A329+I$3)="","",IF(AND(YEAR($B329)=$B$2,YEAR(INDEX($B$5:$B$344,$A329+I$3-1))=$B$2),INDEX($B$5:$B$344,$A329+I$3)-INDEX($B$5:$B$344,$A329-1)-1,"")))</f>
        <v/>
      </c>
      <c r="J329" s="11">
        <f>IF(OR($A329=1,$B329="",$A329+J$3&gt;340),"",IF(INDEX($B$5:$B$344,$A329+J$3)="","",IF(AND(YEAR($B329)=$B$2,YEAR(INDEX($B$5:$B$344,$A329+J$3-1))=$B$2),INDEX($B$5:$B$344,$A329+J$3)-INDEX($B$5:$B$344,$A329-1)-1,"")))</f>
        <v/>
      </c>
      <c r="K329" s="11">
        <f>IF(OR($A329=1,$B329="",$A329+K$3&gt;340),"",IF(INDEX($B$5:$B$344,$A329+K$3)="","",IF(AND(YEAR($B329)=$B$2,YEAR(INDEX($B$5:$B$344,$A329+K$3-1))=$B$2),INDEX($B$5:$B$344,$A329+K$3)-INDEX($B$5:$B$344,$A329-1)-1,"")))</f>
        <v/>
      </c>
      <c r="L329" s="11">
        <f>IF(OR($A329=1,$B329="",$A329+L$3&gt;340),"",IF(INDEX($B$5:$B$344,$A329+L$3)="","",IF(AND(YEAR($B329)=$B$2,YEAR(INDEX($B$5:$B$344,$A329+L$3-1))=$B$2),INDEX($B$5:$B$344,$A329+L$3)-INDEX($B$5:$B$344,$A329-1)-1,"")))</f>
        <v/>
      </c>
      <c r="M329" s="11">
        <f>IF(OR($A329=1,$B329="",$A329+M$3&gt;340),"",IF(INDEX($B$5:$B$344,$A329+M$3)="","",IF(AND(YEAR($B329)=$B$2,YEAR(INDEX($B$5:$B$344,$A329+M$3-1))=$B$2),INDEX($B$5:$B$344,$A329+M$3)-INDEX($B$5:$B$344,$A329-1)-1,"")))</f>
        <v/>
      </c>
    </row>
    <row r="330">
      <c r="A330" s="11" t="n">
        <v>326</v>
      </c>
      <c r="B330" s="10">
        <f>IFERROR(INDEX('2_暦'!$A$7:$A$433,MATCH(A330,'2_暦'!$K$7:$K$433,0)),"")</f>
        <v/>
      </c>
      <c r="C330" s="11">
        <f>IF(OR($A330=1,$B330=""),"",IF(OR(YEAR($B330-1)=$B$2,YEAR(INDEX($B$5:$B$344,$A330-1)+1)=$B$2),$B330-INDEX($B$5:$B$344,$A330-1)-1,""))</f>
        <v/>
      </c>
      <c r="D330" s="11">
        <f>IF(OR($A330=1,$B330="",$A330+D$3&gt;340),"",IF(INDEX($B$5:$B$344,$A330+D$3)="","",IF(AND(YEAR($B330)=$B$2,YEAR(INDEX($B$5:$B$344,$A330+D$3-1))=$B$2),INDEX($B$5:$B$344,$A330+D$3)-INDEX($B$5:$B$344,$A330-1)-1,"")))</f>
        <v/>
      </c>
      <c r="E330" s="11">
        <f>IF(OR($A330=1,$B330="",$A330+E$3&gt;340),"",IF(INDEX($B$5:$B$344,$A330+E$3)="","",IF(AND(YEAR($B330)=$B$2,YEAR(INDEX($B$5:$B$344,$A330+E$3-1))=$B$2),INDEX($B$5:$B$344,$A330+E$3)-INDEX($B$5:$B$344,$A330-1)-1,"")))</f>
        <v/>
      </c>
      <c r="F330" s="11">
        <f>IF(OR($A330=1,$B330="",$A330+F$3&gt;340),"",IF(INDEX($B$5:$B$344,$A330+F$3)="","",IF(AND(YEAR($B330)=$B$2,YEAR(INDEX($B$5:$B$344,$A330+F$3-1))=$B$2),INDEX($B$5:$B$344,$A330+F$3)-INDEX($B$5:$B$344,$A330-1)-1,"")))</f>
        <v/>
      </c>
      <c r="G330" s="11">
        <f>IF(OR($A330=1,$B330="",$A330+G$3&gt;340),"",IF(INDEX($B$5:$B$344,$A330+G$3)="","",IF(AND(YEAR($B330)=$B$2,YEAR(INDEX($B$5:$B$344,$A330+G$3-1))=$B$2),INDEX($B$5:$B$344,$A330+G$3)-INDEX($B$5:$B$344,$A330-1)-1,"")))</f>
        <v/>
      </c>
      <c r="H330" s="11">
        <f>IF(OR($A330=1,$B330="",$A330+H$3&gt;340),"",IF(INDEX($B$5:$B$344,$A330+H$3)="","",IF(AND(YEAR($B330)=$B$2,YEAR(INDEX($B$5:$B$344,$A330+H$3-1))=$B$2),INDEX($B$5:$B$344,$A330+H$3)-INDEX($B$5:$B$344,$A330-1)-1,"")))</f>
        <v/>
      </c>
      <c r="I330" s="11">
        <f>IF(OR($A330=1,$B330="",$A330+I$3&gt;340),"",IF(INDEX($B$5:$B$344,$A330+I$3)="","",IF(AND(YEAR($B330)=$B$2,YEAR(INDEX($B$5:$B$344,$A330+I$3-1))=$B$2),INDEX($B$5:$B$344,$A330+I$3)-INDEX($B$5:$B$344,$A330-1)-1,"")))</f>
        <v/>
      </c>
      <c r="J330" s="11">
        <f>IF(OR($A330=1,$B330="",$A330+J$3&gt;340),"",IF(INDEX($B$5:$B$344,$A330+J$3)="","",IF(AND(YEAR($B330)=$B$2,YEAR(INDEX($B$5:$B$344,$A330+J$3-1))=$B$2),INDEX($B$5:$B$344,$A330+J$3)-INDEX($B$5:$B$344,$A330-1)-1,"")))</f>
        <v/>
      </c>
      <c r="K330" s="11">
        <f>IF(OR($A330=1,$B330="",$A330+K$3&gt;340),"",IF(INDEX($B$5:$B$344,$A330+K$3)="","",IF(AND(YEAR($B330)=$B$2,YEAR(INDEX($B$5:$B$344,$A330+K$3-1))=$B$2),INDEX($B$5:$B$344,$A330+K$3)-INDEX($B$5:$B$344,$A330-1)-1,"")))</f>
        <v/>
      </c>
      <c r="L330" s="11">
        <f>IF(OR($A330=1,$B330="",$A330+L$3&gt;340),"",IF(INDEX($B$5:$B$344,$A330+L$3)="","",IF(AND(YEAR($B330)=$B$2,YEAR(INDEX($B$5:$B$344,$A330+L$3-1))=$B$2),INDEX($B$5:$B$344,$A330+L$3)-INDEX($B$5:$B$344,$A330-1)-1,"")))</f>
        <v/>
      </c>
      <c r="M330" s="11">
        <f>IF(OR($A330=1,$B330="",$A330+M$3&gt;340),"",IF(INDEX($B$5:$B$344,$A330+M$3)="","",IF(AND(YEAR($B330)=$B$2,YEAR(INDEX($B$5:$B$344,$A330+M$3-1))=$B$2),INDEX($B$5:$B$344,$A330+M$3)-INDEX($B$5:$B$344,$A330-1)-1,"")))</f>
        <v/>
      </c>
    </row>
    <row r="331">
      <c r="A331" s="11" t="n">
        <v>327</v>
      </c>
      <c r="B331" s="10">
        <f>IFERROR(INDEX('2_暦'!$A$7:$A$433,MATCH(A331,'2_暦'!$K$7:$K$433,0)),"")</f>
        <v/>
      </c>
      <c r="C331" s="11">
        <f>IF(OR($A331=1,$B331=""),"",IF(OR(YEAR($B331-1)=$B$2,YEAR(INDEX($B$5:$B$344,$A331-1)+1)=$B$2),$B331-INDEX($B$5:$B$344,$A331-1)-1,""))</f>
        <v/>
      </c>
      <c r="D331" s="11">
        <f>IF(OR($A331=1,$B331="",$A331+D$3&gt;340),"",IF(INDEX($B$5:$B$344,$A331+D$3)="","",IF(AND(YEAR($B331)=$B$2,YEAR(INDEX($B$5:$B$344,$A331+D$3-1))=$B$2),INDEX($B$5:$B$344,$A331+D$3)-INDEX($B$5:$B$344,$A331-1)-1,"")))</f>
        <v/>
      </c>
      <c r="E331" s="11">
        <f>IF(OR($A331=1,$B331="",$A331+E$3&gt;340),"",IF(INDEX($B$5:$B$344,$A331+E$3)="","",IF(AND(YEAR($B331)=$B$2,YEAR(INDEX($B$5:$B$344,$A331+E$3-1))=$B$2),INDEX($B$5:$B$344,$A331+E$3)-INDEX($B$5:$B$344,$A331-1)-1,"")))</f>
        <v/>
      </c>
      <c r="F331" s="11">
        <f>IF(OR($A331=1,$B331="",$A331+F$3&gt;340),"",IF(INDEX($B$5:$B$344,$A331+F$3)="","",IF(AND(YEAR($B331)=$B$2,YEAR(INDEX($B$5:$B$344,$A331+F$3-1))=$B$2),INDEX($B$5:$B$344,$A331+F$3)-INDEX($B$5:$B$344,$A331-1)-1,"")))</f>
        <v/>
      </c>
      <c r="G331" s="11">
        <f>IF(OR($A331=1,$B331="",$A331+G$3&gt;340),"",IF(INDEX($B$5:$B$344,$A331+G$3)="","",IF(AND(YEAR($B331)=$B$2,YEAR(INDEX($B$5:$B$344,$A331+G$3-1))=$B$2),INDEX($B$5:$B$344,$A331+G$3)-INDEX($B$5:$B$344,$A331-1)-1,"")))</f>
        <v/>
      </c>
      <c r="H331" s="11">
        <f>IF(OR($A331=1,$B331="",$A331+H$3&gt;340),"",IF(INDEX($B$5:$B$344,$A331+H$3)="","",IF(AND(YEAR($B331)=$B$2,YEAR(INDEX($B$5:$B$344,$A331+H$3-1))=$B$2),INDEX($B$5:$B$344,$A331+H$3)-INDEX($B$5:$B$344,$A331-1)-1,"")))</f>
        <v/>
      </c>
      <c r="I331" s="11">
        <f>IF(OR($A331=1,$B331="",$A331+I$3&gt;340),"",IF(INDEX($B$5:$B$344,$A331+I$3)="","",IF(AND(YEAR($B331)=$B$2,YEAR(INDEX($B$5:$B$344,$A331+I$3-1))=$B$2),INDEX($B$5:$B$344,$A331+I$3)-INDEX($B$5:$B$344,$A331-1)-1,"")))</f>
        <v/>
      </c>
      <c r="J331" s="11">
        <f>IF(OR($A331=1,$B331="",$A331+J$3&gt;340),"",IF(INDEX($B$5:$B$344,$A331+J$3)="","",IF(AND(YEAR($B331)=$B$2,YEAR(INDEX($B$5:$B$344,$A331+J$3-1))=$B$2),INDEX($B$5:$B$344,$A331+J$3)-INDEX($B$5:$B$344,$A331-1)-1,"")))</f>
        <v/>
      </c>
      <c r="K331" s="11">
        <f>IF(OR($A331=1,$B331="",$A331+K$3&gt;340),"",IF(INDEX($B$5:$B$344,$A331+K$3)="","",IF(AND(YEAR($B331)=$B$2,YEAR(INDEX($B$5:$B$344,$A331+K$3-1))=$B$2),INDEX($B$5:$B$344,$A331+K$3)-INDEX($B$5:$B$344,$A331-1)-1,"")))</f>
        <v/>
      </c>
      <c r="L331" s="11">
        <f>IF(OR($A331=1,$B331="",$A331+L$3&gt;340),"",IF(INDEX($B$5:$B$344,$A331+L$3)="","",IF(AND(YEAR($B331)=$B$2,YEAR(INDEX($B$5:$B$344,$A331+L$3-1))=$B$2),INDEX($B$5:$B$344,$A331+L$3)-INDEX($B$5:$B$344,$A331-1)-1,"")))</f>
        <v/>
      </c>
      <c r="M331" s="11">
        <f>IF(OR($A331=1,$B331="",$A331+M$3&gt;340),"",IF(INDEX($B$5:$B$344,$A331+M$3)="","",IF(AND(YEAR($B331)=$B$2,YEAR(INDEX($B$5:$B$344,$A331+M$3-1))=$B$2),INDEX($B$5:$B$344,$A331+M$3)-INDEX($B$5:$B$344,$A331-1)-1,"")))</f>
        <v/>
      </c>
    </row>
    <row r="332">
      <c r="A332" s="11" t="n">
        <v>328</v>
      </c>
      <c r="B332" s="10">
        <f>IFERROR(INDEX('2_暦'!$A$7:$A$433,MATCH(A332,'2_暦'!$K$7:$K$433,0)),"")</f>
        <v/>
      </c>
      <c r="C332" s="11">
        <f>IF(OR($A332=1,$B332=""),"",IF(OR(YEAR($B332-1)=$B$2,YEAR(INDEX($B$5:$B$344,$A332-1)+1)=$B$2),$B332-INDEX($B$5:$B$344,$A332-1)-1,""))</f>
        <v/>
      </c>
      <c r="D332" s="11">
        <f>IF(OR($A332=1,$B332="",$A332+D$3&gt;340),"",IF(INDEX($B$5:$B$344,$A332+D$3)="","",IF(AND(YEAR($B332)=$B$2,YEAR(INDEX($B$5:$B$344,$A332+D$3-1))=$B$2),INDEX($B$5:$B$344,$A332+D$3)-INDEX($B$5:$B$344,$A332-1)-1,"")))</f>
        <v/>
      </c>
      <c r="E332" s="11">
        <f>IF(OR($A332=1,$B332="",$A332+E$3&gt;340),"",IF(INDEX($B$5:$B$344,$A332+E$3)="","",IF(AND(YEAR($B332)=$B$2,YEAR(INDEX($B$5:$B$344,$A332+E$3-1))=$B$2),INDEX($B$5:$B$344,$A332+E$3)-INDEX($B$5:$B$344,$A332-1)-1,"")))</f>
        <v/>
      </c>
      <c r="F332" s="11">
        <f>IF(OR($A332=1,$B332="",$A332+F$3&gt;340),"",IF(INDEX($B$5:$B$344,$A332+F$3)="","",IF(AND(YEAR($B332)=$B$2,YEAR(INDEX($B$5:$B$344,$A332+F$3-1))=$B$2),INDEX($B$5:$B$344,$A332+F$3)-INDEX($B$5:$B$344,$A332-1)-1,"")))</f>
        <v/>
      </c>
      <c r="G332" s="11">
        <f>IF(OR($A332=1,$B332="",$A332+G$3&gt;340),"",IF(INDEX($B$5:$B$344,$A332+G$3)="","",IF(AND(YEAR($B332)=$B$2,YEAR(INDEX($B$5:$B$344,$A332+G$3-1))=$B$2),INDEX($B$5:$B$344,$A332+G$3)-INDEX($B$5:$B$344,$A332-1)-1,"")))</f>
        <v/>
      </c>
      <c r="H332" s="11">
        <f>IF(OR($A332=1,$B332="",$A332+H$3&gt;340),"",IF(INDEX($B$5:$B$344,$A332+H$3)="","",IF(AND(YEAR($B332)=$B$2,YEAR(INDEX($B$5:$B$344,$A332+H$3-1))=$B$2),INDEX($B$5:$B$344,$A332+H$3)-INDEX($B$5:$B$344,$A332-1)-1,"")))</f>
        <v/>
      </c>
      <c r="I332" s="11">
        <f>IF(OR($A332=1,$B332="",$A332+I$3&gt;340),"",IF(INDEX($B$5:$B$344,$A332+I$3)="","",IF(AND(YEAR($B332)=$B$2,YEAR(INDEX($B$5:$B$344,$A332+I$3-1))=$B$2),INDEX($B$5:$B$344,$A332+I$3)-INDEX($B$5:$B$344,$A332-1)-1,"")))</f>
        <v/>
      </c>
      <c r="J332" s="11">
        <f>IF(OR($A332=1,$B332="",$A332+J$3&gt;340),"",IF(INDEX($B$5:$B$344,$A332+J$3)="","",IF(AND(YEAR($B332)=$B$2,YEAR(INDEX($B$5:$B$344,$A332+J$3-1))=$B$2),INDEX($B$5:$B$344,$A332+J$3)-INDEX($B$5:$B$344,$A332-1)-1,"")))</f>
        <v/>
      </c>
      <c r="K332" s="11">
        <f>IF(OR($A332=1,$B332="",$A332+K$3&gt;340),"",IF(INDEX($B$5:$B$344,$A332+K$3)="","",IF(AND(YEAR($B332)=$B$2,YEAR(INDEX($B$5:$B$344,$A332+K$3-1))=$B$2),INDEX($B$5:$B$344,$A332+K$3)-INDEX($B$5:$B$344,$A332-1)-1,"")))</f>
        <v/>
      </c>
      <c r="L332" s="11">
        <f>IF(OR($A332=1,$B332="",$A332+L$3&gt;340),"",IF(INDEX($B$5:$B$344,$A332+L$3)="","",IF(AND(YEAR($B332)=$B$2,YEAR(INDEX($B$5:$B$344,$A332+L$3-1))=$B$2),INDEX($B$5:$B$344,$A332+L$3)-INDEX($B$5:$B$344,$A332-1)-1,"")))</f>
        <v/>
      </c>
      <c r="M332" s="11">
        <f>IF(OR($A332=1,$B332="",$A332+M$3&gt;340),"",IF(INDEX($B$5:$B$344,$A332+M$3)="","",IF(AND(YEAR($B332)=$B$2,YEAR(INDEX($B$5:$B$344,$A332+M$3-1))=$B$2),INDEX($B$5:$B$344,$A332+M$3)-INDEX($B$5:$B$344,$A332-1)-1,"")))</f>
        <v/>
      </c>
    </row>
    <row r="333">
      <c r="A333" s="11" t="n">
        <v>329</v>
      </c>
      <c r="B333" s="10">
        <f>IFERROR(INDEX('2_暦'!$A$7:$A$433,MATCH(A333,'2_暦'!$K$7:$K$433,0)),"")</f>
        <v/>
      </c>
      <c r="C333" s="11">
        <f>IF(OR($A333=1,$B333=""),"",IF(OR(YEAR($B333-1)=$B$2,YEAR(INDEX($B$5:$B$344,$A333-1)+1)=$B$2),$B333-INDEX($B$5:$B$344,$A333-1)-1,""))</f>
        <v/>
      </c>
      <c r="D333" s="11">
        <f>IF(OR($A333=1,$B333="",$A333+D$3&gt;340),"",IF(INDEX($B$5:$B$344,$A333+D$3)="","",IF(AND(YEAR($B333)=$B$2,YEAR(INDEX($B$5:$B$344,$A333+D$3-1))=$B$2),INDEX($B$5:$B$344,$A333+D$3)-INDEX($B$5:$B$344,$A333-1)-1,"")))</f>
        <v/>
      </c>
      <c r="E333" s="11">
        <f>IF(OR($A333=1,$B333="",$A333+E$3&gt;340),"",IF(INDEX($B$5:$B$344,$A333+E$3)="","",IF(AND(YEAR($B333)=$B$2,YEAR(INDEX($B$5:$B$344,$A333+E$3-1))=$B$2),INDEX($B$5:$B$344,$A333+E$3)-INDEX($B$5:$B$344,$A333-1)-1,"")))</f>
        <v/>
      </c>
      <c r="F333" s="11">
        <f>IF(OR($A333=1,$B333="",$A333+F$3&gt;340),"",IF(INDEX($B$5:$B$344,$A333+F$3)="","",IF(AND(YEAR($B333)=$B$2,YEAR(INDEX($B$5:$B$344,$A333+F$3-1))=$B$2),INDEX($B$5:$B$344,$A333+F$3)-INDEX($B$5:$B$344,$A333-1)-1,"")))</f>
        <v/>
      </c>
      <c r="G333" s="11">
        <f>IF(OR($A333=1,$B333="",$A333+G$3&gt;340),"",IF(INDEX($B$5:$B$344,$A333+G$3)="","",IF(AND(YEAR($B333)=$B$2,YEAR(INDEX($B$5:$B$344,$A333+G$3-1))=$B$2),INDEX($B$5:$B$344,$A333+G$3)-INDEX($B$5:$B$344,$A333-1)-1,"")))</f>
        <v/>
      </c>
      <c r="H333" s="11">
        <f>IF(OR($A333=1,$B333="",$A333+H$3&gt;340),"",IF(INDEX($B$5:$B$344,$A333+H$3)="","",IF(AND(YEAR($B333)=$B$2,YEAR(INDEX($B$5:$B$344,$A333+H$3-1))=$B$2),INDEX($B$5:$B$344,$A333+H$3)-INDEX($B$5:$B$344,$A333-1)-1,"")))</f>
        <v/>
      </c>
      <c r="I333" s="11">
        <f>IF(OR($A333=1,$B333="",$A333+I$3&gt;340),"",IF(INDEX($B$5:$B$344,$A333+I$3)="","",IF(AND(YEAR($B333)=$B$2,YEAR(INDEX($B$5:$B$344,$A333+I$3-1))=$B$2),INDEX($B$5:$B$344,$A333+I$3)-INDEX($B$5:$B$344,$A333-1)-1,"")))</f>
        <v/>
      </c>
      <c r="J333" s="11">
        <f>IF(OR($A333=1,$B333="",$A333+J$3&gt;340),"",IF(INDEX($B$5:$B$344,$A333+J$3)="","",IF(AND(YEAR($B333)=$B$2,YEAR(INDEX($B$5:$B$344,$A333+J$3-1))=$B$2),INDEX($B$5:$B$344,$A333+J$3)-INDEX($B$5:$B$344,$A333-1)-1,"")))</f>
        <v/>
      </c>
      <c r="K333" s="11">
        <f>IF(OR($A333=1,$B333="",$A333+K$3&gt;340),"",IF(INDEX($B$5:$B$344,$A333+K$3)="","",IF(AND(YEAR($B333)=$B$2,YEAR(INDEX($B$5:$B$344,$A333+K$3-1))=$B$2),INDEX($B$5:$B$344,$A333+K$3)-INDEX($B$5:$B$344,$A333-1)-1,"")))</f>
        <v/>
      </c>
      <c r="L333" s="11">
        <f>IF(OR($A333=1,$B333="",$A333+L$3&gt;340),"",IF(INDEX($B$5:$B$344,$A333+L$3)="","",IF(AND(YEAR($B333)=$B$2,YEAR(INDEX($B$5:$B$344,$A333+L$3-1))=$B$2),INDEX($B$5:$B$344,$A333+L$3)-INDEX($B$5:$B$344,$A333-1)-1,"")))</f>
        <v/>
      </c>
      <c r="M333" s="11">
        <f>IF(OR($A333=1,$B333="",$A333+M$3&gt;340),"",IF(INDEX($B$5:$B$344,$A333+M$3)="","",IF(AND(YEAR($B333)=$B$2,YEAR(INDEX($B$5:$B$344,$A333+M$3-1))=$B$2),INDEX($B$5:$B$344,$A333+M$3)-INDEX($B$5:$B$344,$A333-1)-1,"")))</f>
        <v/>
      </c>
    </row>
    <row r="334">
      <c r="A334" s="11" t="n">
        <v>330</v>
      </c>
      <c r="B334" s="10">
        <f>IFERROR(INDEX('2_暦'!$A$7:$A$433,MATCH(A334,'2_暦'!$K$7:$K$433,0)),"")</f>
        <v/>
      </c>
      <c r="C334" s="11">
        <f>IF(OR($A334=1,$B334=""),"",IF(OR(YEAR($B334-1)=$B$2,YEAR(INDEX($B$5:$B$344,$A334-1)+1)=$B$2),$B334-INDEX($B$5:$B$344,$A334-1)-1,""))</f>
        <v/>
      </c>
      <c r="D334" s="11">
        <f>IF(OR($A334=1,$B334="",$A334+D$3&gt;340),"",IF(INDEX($B$5:$B$344,$A334+D$3)="","",IF(AND(YEAR($B334)=$B$2,YEAR(INDEX($B$5:$B$344,$A334+D$3-1))=$B$2),INDEX($B$5:$B$344,$A334+D$3)-INDEX($B$5:$B$344,$A334-1)-1,"")))</f>
        <v/>
      </c>
      <c r="E334" s="11">
        <f>IF(OR($A334=1,$B334="",$A334+E$3&gt;340),"",IF(INDEX($B$5:$B$344,$A334+E$3)="","",IF(AND(YEAR($B334)=$B$2,YEAR(INDEX($B$5:$B$344,$A334+E$3-1))=$B$2),INDEX($B$5:$B$344,$A334+E$3)-INDEX($B$5:$B$344,$A334-1)-1,"")))</f>
        <v/>
      </c>
      <c r="F334" s="11">
        <f>IF(OR($A334=1,$B334="",$A334+F$3&gt;340),"",IF(INDEX($B$5:$B$344,$A334+F$3)="","",IF(AND(YEAR($B334)=$B$2,YEAR(INDEX($B$5:$B$344,$A334+F$3-1))=$B$2),INDEX($B$5:$B$344,$A334+F$3)-INDEX($B$5:$B$344,$A334-1)-1,"")))</f>
        <v/>
      </c>
      <c r="G334" s="11">
        <f>IF(OR($A334=1,$B334="",$A334+G$3&gt;340),"",IF(INDEX($B$5:$B$344,$A334+G$3)="","",IF(AND(YEAR($B334)=$B$2,YEAR(INDEX($B$5:$B$344,$A334+G$3-1))=$B$2),INDEX($B$5:$B$344,$A334+G$3)-INDEX($B$5:$B$344,$A334-1)-1,"")))</f>
        <v/>
      </c>
      <c r="H334" s="11">
        <f>IF(OR($A334=1,$B334="",$A334+H$3&gt;340),"",IF(INDEX($B$5:$B$344,$A334+H$3)="","",IF(AND(YEAR($B334)=$B$2,YEAR(INDEX($B$5:$B$344,$A334+H$3-1))=$B$2),INDEX($B$5:$B$344,$A334+H$3)-INDEX($B$5:$B$344,$A334-1)-1,"")))</f>
        <v/>
      </c>
      <c r="I334" s="11">
        <f>IF(OR($A334=1,$B334="",$A334+I$3&gt;340),"",IF(INDEX($B$5:$B$344,$A334+I$3)="","",IF(AND(YEAR($B334)=$B$2,YEAR(INDEX($B$5:$B$344,$A334+I$3-1))=$B$2),INDEX($B$5:$B$344,$A334+I$3)-INDEX($B$5:$B$344,$A334-1)-1,"")))</f>
        <v/>
      </c>
      <c r="J334" s="11">
        <f>IF(OR($A334=1,$B334="",$A334+J$3&gt;340),"",IF(INDEX($B$5:$B$344,$A334+J$3)="","",IF(AND(YEAR($B334)=$B$2,YEAR(INDEX($B$5:$B$344,$A334+J$3-1))=$B$2),INDEX($B$5:$B$344,$A334+J$3)-INDEX($B$5:$B$344,$A334-1)-1,"")))</f>
        <v/>
      </c>
      <c r="K334" s="11">
        <f>IF(OR($A334=1,$B334="",$A334+K$3&gt;340),"",IF(INDEX($B$5:$B$344,$A334+K$3)="","",IF(AND(YEAR($B334)=$B$2,YEAR(INDEX($B$5:$B$344,$A334+K$3-1))=$B$2),INDEX($B$5:$B$344,$A334+K$3)-INDEX($B$5:$B$344,$A334-1)-1,"")))</f>
        <v/>
      </c>
      <c r="L334" s="11">
        <f>IF(OR($A334=1,$B334="",$A334+L$3&gt;340),"",IF(INDEX($B$5:$B$344,$A334+L$3)="","",IF(AND(YEAR($B334)=$B$2,YEAR(INDEX($B$5:$B$344,$A334+L$3-1))=$B$2),INDEX($B$5:$B$344,$A334+L$3)-INDEX($B$5:$B$344,$A334-1)-1,"")))</f>
        <v/>
      </c>
      <c r="M334" s="11">
        <f>IF(OR($A334=1,$B334="",$A334+M$3&gt;340),"",IF(INDEX($B$5:$B$344,$A334+M$3)="","",IF(AND(YEAR($B334)=$B$2,YEAR(INDEX($B$5:$B$344,$A334+M$3-1))=$B$2),INDEX($B$5:$B$344,$A334+M$3)-INDEX($B$5:$B$344,$A334-1)-1,"")))</f>
        <v/>
      </c>
    </row>
    <row r="335">
      <c r="A335" s="11" t="n">
        <v>331</v>
      </c>
      <c r="B335" s="10">
        <f>IFERROR(INDEX('2_暦'!$A$7:$A$433,MATCH(A335,'2_暦'!$K$7:$K$433,0)),"")</f>
        <v/>
      </c>
      <c r="C335" s="11">
        <f>IF(OR($A335=1,$B335=""),"",IF(OR(YEAR($B335-1)=$B$2,YEAR(INDEX($B$5:$B$344,$A335-1)+1)=$B$2),$B335-INDEX($B$5:$B$344,$A335-1)-1,""))</f>
        <v/>
      </c>
      <c r="D335" s="11">
        <f>IF(OR($A335=1,$B335="",$A335+D$3&gt;340),"",IF(INDEX($B$5:$B$344,$A335+D$3)="","",IF(AND(YEAR($B335)=$B$2,YEAR(INDEX($B$5:$B$344,$A335+D$3-1))=$B$2),INDEX($B$5:$B$344,$A335+D$3)-INDEX($B$5:$B$344,$A335-1)-1,"")))</f>
        <v/>
      </c>
      <c r="E335" s="11">
        <f>IF(OR($A335=1,$B335="",$A335+E$3&gt;340),"",IF(INDEX($B$5:$B$344,$A335+E$3)="","",IF(AND(YEAR($B335)=$B$2,YEAR(INDEX($B$5:$B$344,$A335+E$3-1))=$B$2),INDEX($B$5:$B$344,$A335+E$3)-INDEX($B$5:$B$344,$A335-1)-1,"")))</f>
        <v/>
      </c>
      <c r="F335" s="11">
        <f>IF(OR($A335=1,$B335="",$A335+F$3&gt;340),"",IF(INDEX($B$5:$B$344,$A335+F$3)="","",IF(AND(YEAR($B335)=$B$2,YEAR(INDEX($B$5:$B$344,$A335+F$3-1))=$B$2),INDEX($B$5:$B$344,$A335+F$3)-INDEX($B$5:$B$344,$A335-1)-1,"")))</f>
        <v/>
      </c>
      <c r="G335" s="11">
        <f>IF(OR($A335=1,$B335="",$A335+G$3&gt;340),"",IF(INDEX($B$5:$B$344,$A335+G$3)="","",IF(AND(YEAR($B335)=$B$2,YEAR(INDEX($B$5:$B$344,$A335+G$3-1))=$B$2),INDEX($B$5:$B$344,$A335+G$3)-INDEX($B$5:$B$344,$A335-1)-1,"")))</f>
        <v/>
      </c>
      <c r="H335" s="11">
        <f>IF(OR($A335=1,$B335="",$A335+H$3&gt;340),"",IF(INDEX($B$5:$B$344,$A335+H$3)="","",IF(AND(YEAR($B335)=$B$2,YEAR(INDEX($B$5:$B$344,$A335+H$3-1))=$B$2),INDEX($B$5:$B$344,$A335+H$3)-INDEX($B$5:$B$344,$A335-1)-1,"")))</f>
        <v/>
      </c>
      <c r="I335" s="11">
        <f>IF(OR($A335=1,$B335="",$A335+I$3&gt;340),"",IF(INDEX($B$5:$B$344,$A335+I$3)="","",IF(AND(YEAR($B335)=$B$2,YEAR(INDEX($B$5:$B$344,$A335+I$3-1))=$B$2),INDEX($B$5:$B$344,$A335+I$3)-INDEX($B$5:$B$344,$A335-1)-1,"")))</f>
        <v/>
      </c>
      <c r="J335" s="11">
        <f>IF(OR($A335=1,$B335="",$A335+J$3&gt;340),"",IF(INDEX($B$5:$B$344,$A335+J$3)="","",IF(AND(YEAR($B335)=$B$2,YEAR(INDEX($B$5:$B$344,$A335+J$3-1))=$B$2),INDEX($B$5:$B$344,$A335+J$3)-INDEX($B$5:$B$344,$A335-1)-1,"")))</f>
        <v/>
      </c>
      <c r="K335" s="11">
        <f>IF(OR($A335=1,$B335="",$A335+K$3&gt;340),"",IF(INDEX($B$5:$B$344,$A335+K$3)="","",IF(AND(YEAR($B335)=$B$2,YEAR(INDEX($B$5:$B$344,$A335+K$3-1))=$B$2),INDEX($B$5:$B$344,$A335+K$3)-INDEX($B$5:$B$344,$A335-1)-1,"")))</f>
        <v/>
      </c>
      <c r="L335" s="11">
        <f>IF(OR($A335=1,$B335="",$A335+L$3&gt;340),"",IF(INDEX($B$5:$B$344,$A335+L$3)="","",IF(AND(YEAR($B335)=$B$2,YEAR(INDEX($B$5:$B$344,$A335+L$3-1))=$B$2),INDEX($B$5:$B$344,$A335+L$3)-INDEX($B$5:$B$344,$A335-1)-1,"")))</f>
        <v/>
      </c>
      <c r="M335" s="11">
        <f>IF(OR($A335=1,$B335="",$A335+M$3&gt;340),"",IF(INDEX($B$5:$B$344,$A335+M$3)="","",IF(AND(YEAR($B335)=$B$2,YEAR(INDEX($B$5:$B$344,$A335+M$3-1))=$B$2),INDEX($B$5:$B$344,$A335+M$3)-INDEX($B$5:$B$344,$A335-1)-1,"")))</f>
        <v/>
      </c>
    </row>
    <row r="336">
      <c r="A336" s="11" t="n">
        <v>332</v>
      </c>
      <c r="B336" s="10">
        <f>IFERROR(INDEX('2_暦'!$A$7:$A$433,MATCH(A336,'2_暦'!$K$7:$K$433,0)),"")</f>
        <v/>
      </c>
      <c r="C336" s="11">
        <f>IF(OR($A336=1,$B336=""),"",IF(OR(YEAR($B336-1)=$B$2,YEAR(INDEX($B$5:$B$344,$A336-1)+1)=$B$2),$B336-INDEX($B$5:$B$344,$A336-1)-1,""))</f>
        <v/>
      </c>
      <c r="D336" s="11">
        <f>IF(OR($A336=1,$B336="",$A336+D$3&gt;340),"",IF(INDEX($B$5:$B$344,$A336+D$3)="","",IF(AND(YEAR($B336)=$B$2,YEAR(INDEX($B$5:$B$344,$A336+D$3-1))=$B$2),INDEX($B$5:$B$344,$A336+D$3)-INDEX($B$5:$B$344,$A336-1)-1,"")))</f>
        <v/>
      </c>
      <c r="E336" s="11">
        <f>IF(OR($A336=1,$B336="",$A336+E$3&gt;340),"",IF(INDEX($B$5:$B$344,$A336+E$3)="","",IF(AND(YEAR($B336)=$B$2,YEAR(INDEX($B$5:$B$344,$A336+E$3-1))=$B$2),INDEX($B$5:$B$344,$A336+E$3)-INDEX($B$5:$B$344,$A336-1)-1,"")))</f>
        <v/>
      </c>
      <c r="F336" s="11">
        <f>IF(OR($A336=1,$B336="",$A336+F$3&gt;340),"",IF(INDEX($B$5:$B$344,$A336+F$3)="","",IF(AND(YEAR($B336)=$B$2,YEAR(INDEX($B$5:$B$344,$A336+F$3-1))=$B$2),INDEX($B$5:$B$344,$A336+F$3)-INDEX($B$5:$B$344,$A336-1)-1,"")))</f>
        <v/>
      </c>
      <c r="G336" s="11">
        <f>IF(OR($A336=1,$B336="",$A336+G$3&gt;340),"",IF(INDEX($B$5:$B$344,$A336+G$3)="","",IF(AND(YEAR($B336)=$B$2,YEAR(INDEX($B$5:$B$344,$A336+G$3-1))=$B$2),INDEX($B$5:$B$344,$A336+G$3)-INDEX($B$5:$B$344,$A336-1)-1,"")))</f>
        <v/>
      </c>
      <c r="H336" s="11">
        <f>IF(OR($A336=1,$B336="",$A336+H$3&gt;340),"",IF(INDEX($B$5:$B$344,$A336+H$3)="","",IF(AND(YEAR($B336)=$B$2,YEAR(INDEX($B$5:$B$344,$A336+H$3-1))=$B$2),INDEX($B$5:$B$344,$A336+H$3)-INDEX($B$5:$B$344,$A336-1)-1,"")))</f>
        <v/>
      </c>
      <c r="I336" s="11">
        <f>IF(OR($A336=1,$B336="",$A336+I$3&gt;340),"",IF(INDEX($B$5:$B$344,$A336+I$3)="","",IF(AND(YEAR($B336)=$B$2,YEAR(INDEX($B$5:$B$344,$A336+I$3-1))=$B$2),INDEX($B$5:$B$344,$A336+I$3)-INDEX($B$5:$B$344,$A336-1)-1,"")))</f>
        <v/>
      </c>
      <c r="J336" s="11">
        <f>IF(OR($A336=1,$B336="",$A336+J$3&gt;340),"",IF(INDEX($B$5:$B$344,$A336+J$3)="","",IF(AND(YEAR($B336)=$B$2,YEAR(INDEX($B$5:$B$344,$A336+J$3-1))=$B$2),INDEX($B$5:$B$344,$A336+J$3)-INDEX($B$5:$B$344,$A336-1)-1,"")))</f>
        <v/>
      </c>
      <c r="K336" s="11">
        <f>IF(OR($A336=1,$B336="",$A336+K$3&gt;340),"",IF(INDEX($B$5:$B$344,$A336+K$3)="","",IF(AND(YEAR($B336)=$B$2,YEAR(INDEX($B$5:$B$344,$A336+K$3-1))=$B$2),INDEX($B$5:$B$344,$A336+K$3)-INDEX($B$5:$B$344,$A336-1)-1,"")))</f>
        <v/>
      </c>
      <c r="L336" s="11">
        <f>IF(OR($A336=1,$B336="",$A336+L$3&gt;340),"",IF(INDEX($B$5:$B$344,$A336+L$3)="","",IF(AND(YEAR($B336)=$B$2,YEAR(INDEX($B$5:$B$344,$A336+L$3-1))=$B$2),INDEX($B$5:$B$344,$A336+L$3)-INDEX($B$5:$B$344,$A336-1)-1,"")))</f>
        <v/>
      </c>
      <c r="M336" s="11">
        <f>IF(OR($A336=1,$B336="",$A336+M$3&gt;340),"",IF(INDEX($B$5:$B$344,$A336+M$3)="","",IF(AND(YEAR($B336)=$B$2,YEAR(INDEX($B$5:$B$344,$A336+M$3-1))=$B$2),INDEX($B$5:$B$344,$A336+M$3)-INDEX($B$5:$B$344,$A336-1)-1,"")))</f>
        <v/>
      </c>
    </row>
    <row r="337">
      <c r="A337" s="11" t="n">
        <v>333</v>
      </c>
      <c r="B337" s="10">
        <f>IFERROR(INDEX('2_暦'!$A$7:$A$433,MATCH(A337,'2_暦'!$K$7:$K$433,0)),"")</f>
        <v/>
      </c>
      <c r="C337" s="11">
        <f>IF(OR($A337=1,$B337=""),"",IF(OR(YEAR($B337-1)=$B$2,YEAR(INDEX($B$5:$B$344,$A337-1)+1)=$B$2),$B337-INDEX($B$5:$B$344,$A337-1)-1,""))</f>
        <v/>
      </c>
      <c r="D337" s="11">
        <f>IF(OR($A337=1,$B337="",$A337+D$3&gt;340),"",IF(INDEX($B$5:$B$344,$A337+D$3)="","",IF(AND(YEAR($B337)=$B$2,YEAR(INDEX($B$5:$B$344,$A337+D$3-1))=$B$2),INDEX($B$5:$B$344,$A337+D$3)-INDEX($B$5:$B$344,$A337-1)-1,"")))</f>
        <v/>
      </c>
      <c r="E337" s="11">
        <f>IF(OR($A337=1,$B337="",$A337+E$3&gt;340),"",IF(INDEX($B$5:$B$344,$A337+E$3)="","",IF(AND(YEAR($B337)=$B$2,YEAR(INDEX($B$5:$B$344,$A337+E$3-1))=$B$2),INDEX($B$5:$B$344,$A337+E$3)-INDEX($B$5:$B$344,$A337-1)-1,"")))</f>
        <v/>
      </c>
      <c r="F337" s="11">
        <f>IF(OR($A337=1,$B337="",$A337+F$3&gt;340),"",IF(INDEX($B$5:$B$344,$A337+F$3)="","",IF(AND(YEAR($B337)=$B$2,YEAR(INDEX($B$5:$B$344,$A337+F$3-1))=$B$2),INDEX($B$5:$B$344,$A337+F$3)-INDEX($B$5:$B$344,$A337-1)-1,"")))</f>
        <v/>
      </c>
      <c r="G337" s="11">
        <f>IF(OR($A337=1,$B337="",$A337+G$3&gt;340),"",IF(INDEX($B$5:$B$344,$A337+G$3)="","",IF(AND(YEAR($B337)=$B$2,YEAR(INDEX($B$5:$B$344,$A337+G$3-1))=$B$2),INDEX($B$5:$B$344,$A337+G$3)-INDEX($B$5:$B$344,$A337-1)-1,"")))</f>
        <v/>
      </c>
      <c r="H337" s="11">
        <f>IF(OR($A337=1,$B337="",$A337+H$3&gt;340),"",IF(INDEX($B$5:$B$344,$A337+H$3)="","",IF(AND(YEAR($B337)=$B$2,YEAR(INDEX($B$5:$B$344,$A337+H$3-1))=$B$2),INDEX($B$5:$B$344,$A337+H$3)-INDEX($B$5:$B$344,$A337-1)-1,"")))</f>
        <v/>
      </c>
      <c r="I337" s="11">
        <f>IF(OR($A337=1,$B337="",$A337+I$3&gt;340),"",IF(INDEX($B$5:$B$344,$A337+I$3)="","",IF(AND(YEAR($B337)=$B$2,YEAR(INDEX($B$5:$B$344,$A337+I$3-1))=$B$2),INDEX($B$5:$B$344,$A337+I$3)-INDEX($B$5:$B$344,$A337-1)-1,"")))</f>
        <v/>
      </c>
      <c r="J337" s="11">
        <f>IF(OR($A337=1,$B337="",$A337+J$3&gt;340),"",IF(INDEX($B$5:$B$344,$A337+J$3)="","",IF(AND(YEAR($B337)=$B$2,YEAR(INDEX($B$5:$B$344,$A337+J$3-1))=$B$2),INDEX($B$5:$B$344,$A337+J$3)-INDEX($B$5:$B$344,$A337-1)-1,"")))</f>
        <v/>
      </c>
      <c r="K337" s="11">
        <f>IF(OR($A337=1,$B337="",$A337+K$3&gt;340),"",IF(INDEX($B$5:$B$344,$A337+K$3)="","",IF(AND(YEAR($B337)=$B$2,YEAR(INDEX($B$5:$B$344,$A337+K$3-1))=$B$2),INDEX($B$5:$B$344,$A337+K$3)-INDEX($B$5:$B$344,$A337-1)-1,"")))</f>
        <v/>
      </c>
      <c r="L337" s="11">
        <f>IF(OR($A337=1,$B337="",$A337+L$3&gt;340),"",IF(INDEX($B$5:$B$344,$A337+L$3)="","",IF(AND(YEAR($B337)=$B$2,YEAR(INDEX($B$5:$B$344,$A337+L$3-1))=$B$2),INDEX($B$5:$B$344,$A337+L$3)-INDEX($B$5:$B$344,$A337-1)-1,"")))</f>
        <v/>
      </c>
      <c r="M337" s="11">
        <f>IF(OR($A337=1,$B337="",$A337+M$3&gt;340),"",IF(INDEX($B$5:$B$344,$A337+M$3)="","",IF(AND(YEAR($B337)=$B$2,YEAR(INDEX($B$5:$B$344,$A337+M$3-1))=$B$2),INDEX($B$5:$B$344,$A337+M$3)-INDEX($B$5:$B$344,$A337-1)-1,"")))</f>
        <v/>
      </c>
    </row>
    <row r="338">
      <c r="A338" s="11" t="n">
        <v>334</v>
      </c>
      <c r="B338" s="10">
        <f>IFERROR(INDEX('2_暦'!$A$7:$A$433,MATCH(A338,'2_暦'!$K$7:$K$433,0)),"")</f>
        <v/>
      </c>
      <c r="C338" s="11">
        <f>IF(OR($A338=1,$B338=""),"",IF(OR(YEAR($B338-1)=$B$2,YEAR(INDEX($B$5:$B$344,$A338-1)+1)=$B$2),$B338-INDEX($B$5:$B$344,$A338-1)-1,""))</f>
        <v/>
      </c>
      <c r="D338" s="11">
        <f>IF(OR($A338=1,$B338="",$A338+D$3&gt;340),"",IF(INDEX($B$5:$B$344,$A338+D$3)="","",IF(AND(YEAR($B338)=$B$2,YEAR(INDEX($B$5:$B$344,$A338+D$3-1))=$B$2),INDEX($B$5:$B$344,$A338+D$3)-INDEX($B$5:$B$344,$A338-1)-1,"")))</f>
        <v/>
      </c>
      <c r="E338" s="11">
        <f>IF(OR($A338=1,$B338="",$A338+E$3&gt;340),"",IF(INDEX($B$5:$B$344,$A338+E$3)="","",IF(AND(YEAR($B338)=$B$2,YEAR(INDEX($B$5:$B$344,$A338+E$3-1))=$B$2),INDEX($B$5:$B$344,$A338+E$3)-INDEX($B$5:$B$344,$A338-1)-1,"")))</f>
        <v/>
      </c>
      <c r="F338" s="11">
        <f>IF(OR($A338=1,$B338="",$A338+F$3&gt;340),"",IF(INDEX($B$5:$B$344,$A338+F$3)="","",IF(AND(YEAR($B338)=$B$2,YEAR(INDEX($B$5:$B$344,$A338+F$3-1))=$B$2),INDEX($B$5:$B$344,$A338+F$3)-INDEX($B$5:$B$344,$A338-1)-1,"")))</f>
        <v/>
      </c>
      <c r="G338" s="11">
        <f>IF(OR($A338=1,$B338="",$A338+G$3&gt;340),"",IF(INDEX($B$5:$B$344,$A338+G$3)="","",IF(AND(YEAR($B338)=$B$2,YEAR(INDEX($B$5:$B$344,$A338+G$3-1))=$B$2),INDEX($B$5:$B$344,$A338+G$3)-INDEX($B$5:$B$344,$A338-1)-1,"")))</f>
        <v/>
      </c>
      <c r="H338" s="11">
        <f>IF(OR($A338=1,$B338="",$A338+H$3&gt;340),"",IF(INDEX($B$5:$B$344,$A338+H$3)="","",IF(AND(YEAR($B338)=$B$2,YEAR(INDEX($B$5:$B$344,$A338+H$3-1))=$B$2),INDEX($B$5:$B$344,$A338+H$3)-INDEX($B$5:$B$344,$A338-1)-1,"")))</f>
        <v/>
      </c>
      <c r="I338" s="11">
        <f>IF(OR($A338=1,$B338="",$A338+I$3&gt;340),"",IF(INDEX($B$5:$B$344,$A338+I$3)="","",IF(AND(YEAR($B338)=$B$2,YEAR(INDEX($B$5:$B$344,$A338+I$3-1))=$B$2),INDEX($B$5:$B$344,$A338+I$3)-INDEX($B$5:$B$344,$A338-1)-1,"")))</f>
        <v/>
      </c>
      <c r="J338" s="11">
        <f>IF(OR($A338=1,$B338="",$A338+J$3&gt;340),"",IF(INDEX($B$5:$B$344,$A338+J$3)="","",IF(AND(YEAR($B338)=$B$2,YEAR(INDEX($B$5:$B$344,$A338+J$3-1))=$B$2),INDEX($B$5:$B$344,$A338+J$3)-INDEX($B$5:$B$344,$A338-1)-1,"")))</f>
        <v/>
      </c>
      <c r="K338" s="11">
        <f>IF(OR($A338=1,$B338="",$A338+K$3&gt;340),"",IF(INDEX($B$5:$B$344,$A338+K$3)="","",IF(AND(YEAR($B338)=$B$2,YEAR(INDEX($B$5:$B$344,$A338+K$3-1))=$B$2),INDEX($B$5:$B$344,$A338+K$3)-INDEX($B$5:$B$344,$A338-1)-1,"")))</f>
        <v/>
      </c>
      <c r="L338" s="11">
        <f>IF(OR($A338=1,$B338="",$A338+L$3&gt;340),"",IF(INDEX($B$5:$B$344,$A338+L$3)="","",IF(AND(YEAR($B338)=$B$2,YEAR(INDEX($B$5:$B$344,$A338+L$3-1))=$B$2),INDEX($B$5:$B$344,$A338+L$3)-INDEX($B$5:$B$344,$A338-1)-1,"")))</f>
        <v/>
      </c>
      <c r="M338" s="11">
        <f>IF(OR($A338=1,$B338="",$A338+M$3&gt;340),"",IF(INDEX($B$5:$B$344,$A338+M$3)="","",IF(AND(YEAR($B338)=$B$2,YEAR(INDEX($B$5:$B$344,$A338+M$3-1))=$B$2),INDEX($B$5:$B$344,$A338+M$3)-INDEX($B$5:$B$344,$A338-1)-1,"")))</f>
        <v/>
      </c>
    </row>
    <row r="339">
      <c r="A339" s="11" t="n">
        <v>335</v>
      </c>
      <c r="B339" s="10">
        <f>IFERROR(INDEX('2_暦'!$A$7:$A$433,MATCH(A339,'2_暦'!$K$7:$K$433,0)),"")</f>
        <v/>
      </c>
      <c r="C339" s="11">
        <f>IF(OR($A339=1,$B339=""),"",IF(OR(YEAR($B339-1)=$B$2,YEAR(INDEX($B$5:$B$344,$A339-1)+1)=$B$2),$B339-INDEX($B$5:$B$344,$A339-1)-1,""))</f>
        <v/>
      </c>
      <c r="D339" s="11">
        <f>IF(OR($A339=1,$B339="",$A339+D$3&gt;340),"",IF(INDEX($B$5:$B$344,$A339+D$3)="","",IF(AND(YEAR($B339)=$B$2,YEAR(INDEX($B$5:$B$344,$A339+D$3-1))=$B$2),INDEX($B$5:$B$344,$A339+D$3)-INDEX($B$5:$B$344,$A339-1)-1,"")))</f>
        <v/>
      </c>
      <c r="E339" s="11">
        <f>IF(OR($A339=1,$B339="",$A339+E$3&gt;340),"",IF(INDEX($B$5:$B$344,$A339+E$3)="","",IF(AND(YEAR($B339)=$B$2,YEAR(INDEX($B$5:$B$344,$A339+E$3-1))=$B$2),INDEX($B$5:$B$344,$A339+E$3)-INDEX($B$5:$B$344,$A339-1)-1,"")))</f>
        <v/>
      </c>
      <c r="F339" s="11">
        <f>IF(OR($A339=1,$B339="",$A339+F$3&gt;340),"",IF(INDEX($B$5:$B$344,$A339+F$3)="","",IF(AND(YEAR($B339)=$B$2,YEAR(INDEX($B$5:$B$344,$A339+F$3-1))=$B$2),INDEX($B$5:$B$344,$A339+F$3)-INDEX($B$5:$B$344,$A339-1)-1,"")))</f>
        <v/>
      </c>
      <c r="G339" s="11">
        <f>IF(OR($A339=1,$B339="",$A339+G$3&gt;340),"",IF(INDEX($B$5:$B$344,$A339+G$3)="","",IF(AND(YEAR($B339)=$B$2,YEAR(INDEX($B$5:$B$344,$A339+G$3-1))=$B$2),INDEX($B$5:$B$344,$A339+G$3)-INDEX($B$5:$B$344,$A339-1)-1,"")))</f>
        <v/>
      </c>
      <c r="H339" s="11">
        <f>IF(OR($A339=1,$B339="",$A339+H$3&gt;340),"",IF(INDEX($B$5:$B$344,$A339+H$3)="","",IF(AND(YEAR($B339)=$B$2,YEAR(INDEX($B$5:$B$344,$A339+H$3-1))=$B$2),INDEX($B$5:$B$344,$A339+H$3)-INDEX($B$5:$B$344,$A339-1)-1,"")))</f>
        <v/>
      </c>
      <c r="I339" s="11">
        <f>IF(OR($A339=1,$B339="",$A339+I$3&gt;340),"",IF(INDEX($B$5:$B$344,$A339+I$3)="","",IF(AND(YEAR($B339)=$B$2,YEAR(INDEX($B$5:$B$344,$A339+I$3-1))=$B$2),INDEX($B$5:$B$344,$A339+I$3)-INDEX($B$5:$B$344,$A339-1)-1,"")))</f>
        <v/>
      </c>
      <c r="J339" s="11">
        <f>IF(OR($A339=1,$B339="",$A339+J$3&gt;340),"",IF(INDEX($B$5:$B$344,$A339+J$3)="","",IF(AND(YEAR($B339)=$B$2,YEAR(INDEX($B$5:$B$344,$A339+J$3-1))=$B$2),INDEX($B$5:$B$344,$A339+J$3)-INDEX($B$5:$B$344,$A339-1)-1,"")))</f>
        <v/>
      </c>
      <c r="K339" s="11">
        <f>IF(OR($A339=1,$B339="",$A339+K$3&gt;340),"",IF(INDEX($B$5:$B$344,$A339+K$3)="","",IF(AND(YEAR($B339)=$B$2,YEAR(INDEX($B$5:$B$344,$A339+K$3-1))=$B$2),INDEX($B$5:$B$344,$A339+K$3)-INDEX($B$5:$B$344,$A339-1)-1,"")))</f>
        <v/>
      </c>
      <c r="L339" s="11">
        <f>IF(OR($A339=1,$B339="",$A339+L$3&gt;340),"",IF(INDEX($B$5:$B$344,$A339+L$3)="","",IF(AND(YEAR($B339)=$B$2,YEAR(INDEX($B$5:$B$344,$A339+L$3-1))=$B$2),INDEX($B$5:$B$344,$A339+L$3)-INDEX($B$5:$B$344,$A339-1)-1,"")))</f>
        <v/>
      </c>
      <c r="M339" s="11">
        <f>IF(OR($A339=1,$B339="",$A339+M$3&gt;340),"",IF(INDEX($B$5:$B$344,$A339+M$3)="","",IF(AND(YEAR($B339)=$B$2,YEAR(INDEX($B$5:$B$344,$A339+M$3-1))=$B$2),INDEX($B$5:$B$344,$A339+M$3)-INDEX($B$5:$B$344,$A339-1)-1,"")))</f>
        <v/>
      </c>
    </row>
    <row r="340">
      <c r="A340" s="11" t="n">
        <v>336</v>
      </c>
      <c r="B340" s="10">
        <f>IFERROR(INDEX('2_暦'!$A$7:$A$433,MATCH(A340,'2_暦'!$K$7:$K$433,0)),"")</f>
        <v/>
      </c>
      <c r="C340" s="11">
        <f>IF(OR($A340=1,$B340=""),"",IF(OR(YEAR($B340-1)=$B$2,YEAR(INDEX($B$5:$B$344,$A340-1)+1)=$B$2),$B340-INDEX($B$5:$B$344,$A340-1)-1,""))</f>
        <v/>
      </c>
      <c r="D340" s="11">
        <f>IF(OR($A340=1,$B340="",$A340+D$3&gt;340),"",IF(INDEX($B$5:$B$344,$A340+D$3)="","",IF(AND(YEAR($B340)=$B$2,YEAR(INDEX($B$5:$B$344,$A340+D$3-1))=$B$2),INDEX($B$5:$B$344,$A340+D$3)-INDEX($B$5:$B$344,$A340-1)-1,"")))</f>
        <v/>
      </c>
      <c r="E340" s="11">
        <f>IF(OR($A340=1,$B340="",$A340+E$3&gt;340),"",IF(INDEX($B$5:$B$344,$A340+E$3)="","",IF(AND(YEAR($B340)=$B$2,YEAR(INDEX($B$5:$B$344,$A340+E$3-1))=$B$2),INDEX($B$5:$B$344,$A340+E$3)-INDEX($B$5:$B$344,$A340-1)-1,"")))</f>
        <v/>
      </c>
      <c r="F340" s="11">
        <f>IF(OR($A340=1,$B340="",$A340+F$3&gt;340),"",IF(INDEX($B$5:$B$344,$A340+F$3)="","",IF(AND(YEAR($B340)=$B$2,YEAR(INDEX($B$5:$B$344,$A340+F$3-1))=$B$2),INDEX($B$5:$B$344,$A340+F$3)-INDEX($B$5:$B$344,$A340-1)-1,"")))</f>
        <v/>
      </c>
      <c r="G340" s="11">
        <f>IF(OR($A340=1,$B340="",$A340+G$3&gt;340),"",IF(INDEX($B$5:$B$344,$A340+G$3)="","",IF(AND(YEAR($B340)=$B$2,YEAR(INDEX($B$5:$B$344,$A340+G$3-1))=$B$2),INDEX($B$5:$B$344,$A340+G$3)-INDEX($B$5:$B$344,$A340-1)-1,"")))</f>
        <v/>
      </c>
      <c r="H340" s="11">
        <f>IF(OR($A340=1,$B340="",$A340+H$3&gt;340),"",IF(INDEX($B$5:$B$344,$A340+H$3)="","",IF(AND(YEAR($B340)=$B$2,YEAR(INDEX($B$5:$B$344,$A340+H$3-1))=$B$2),INDEX($B$5:$B$344,$A340+H$3)-INDEX($B$5:$B$344,$A340-1)-1,"")))</f>
        <v/>
      </c>
      <c r="I340" s="11">
        <f>IF(OR($A340=1,$B340="",$A340+I$3&gt;340),"",IF(INDEX($B$5:$B$344,$A340+I$3)="","",IF(AND(YEAR($B340)=$B$2,YEAR(INDEX($B$5:$B$344,$A340+I$3-1))=$B$2),INDEX($B$5:$B$344,$A340+I$3)-INDEX($B$5:$B$344,$A340-1)-1,"")))</f>
        <v/>
      </c>
      <c r="J340" s="11">
        <f>IF(OR($A340=1,$B340="",$A340+J$3&gt;340),"",IF(INDEX($B$5:$B$344,$A340+J$3)="","",IF(AND(YEAR($B340)=$B$2,YEAR(INDEX($B$5:$B$344,$A340+J$3-1))=$B$2),INDEX($B$5:$B$344,$A340+J$3)-INDEX($B$5:$B$344,$A340-1)-1,"")))</f>
        <v/>
      </c>
      <c r="K340" s="11">
        <f>IF(OR($A340=1,$B340="",$A340+K$3&gt;340),"",IF(INDEX($B$5:$B$344,$A340+K$3)="","",IF(AND(YEAR($B340)=$B$2,YEAR(INDEX($B$5:$B$344,$A340+K$3-1))=$B$2),INDEX($B$5:$B$344,$A340+K$3)-INDEX($B$5:$B$344,$A340-1)-1,"")))</f>
        <v/>
      </c>
      <c r="L340" s="11">
        <f>IF(OR($A340=1,$B340="",$A340+L$3&gt;340),"",IF(INDEX($B$5:$B$344,$A340+L$3)="","",IF(AND(YEAR($B340)=$B$2,YEAR(INDEX($B$5:$B$344,$A340+L$3-1))=$B$2),INDEX($B$5:$B$344,$A340+L$3)-INDEX($B$5:$B$344,$A340-1)-1,"")))</f>
        <v/>
      </c>
      <c r="M340" s="11">
        <f>IF(OR($A340=1,$B340="",$A340+M$3&gt;340),"",IF(INDEX($B$5:$B$344,$A340+M$3)="","",IF(AND(YEAR($B340)=$B$2,YEAR(INDEX($B$5:$B$344,$A340+M$3-1))=$B$2),INDEX($B$5:$B$344,$A340+M$3)-INDEX($B$5:$B$344,$A340-1)-1,"")))</f>
        <v/>
      </c>
    </row>
    <row r="341">
      <c r="A341" s="11" t="n">
        <v>337</v>
      </c>
      <c r="B341" s="10">
        <f>IFERROR(INDEX('2_暦'!$A$7:$A$433,MATCH(A341,'2_暦'!$K$7:$K$433,0)),"")</f>
        <v/>
      </c>
      <c r="C341" s="11">
        <f>IF(OR($A341=1,$B341=""),"",IF(OR(YEAR($B341-1)=$B$2,YEAR(INDEX($B$5:$B$344,$A341-1)+1)=$B$2),$B341-INDEX($B$5:$B$344,$A341-1)-1,""))</f>
        <v/>
      </c>
      <c r="D341" s="11">
        <f>IF(OR($A341=1,$B341="",$A341+D$3&gt;340),"",IF(INDEX($B$5:$B$344,$A341+D$3)="","",IF(AND(YEAR($B341)=$B$2,YEAR(INDEX($B$5:$B$344,$A341+D$3-1))=$B$2),INDEX($B$5:$B$344,$A341+D$3)-INDEX($B$5:$B$344,$A341-1)-1,"")))</f>
        <v/>
      </c>
      <c r="E341" s="11">
        <f>IF(OR($A341=1,$B341="",$A341+E$3&gt;340),"",IF(INDEX($B$5:$B$344,$A341+E$3)="","",IF(AND(YEAR($B341)=$B$2,YEAR(INDEX($B$5:$B$344,$A341+E$3-1))=$B$2),INDEX($B$5:$B$344,$A341+E$3)-INDEX($B$5:$B$344,$A341-1)-1,"")))</f>
        <v/>
      </c>
      <c r="F341" s="11">
        <f>IF(OR($A341=1,$B341="",$A341+F$3&gt;340),"",IF(INDEX($B$5:$B$344,$A341+F$3)="","",IF(AND(YEAR($B341)=$B$2,YEAR(INDEX($B$5:$B$344,$A341+F$3-1))=$B$2),INDEX($B$5:$B$344,$A341+F$3)-INDEX($B$5:$B$344,$A341-1)-1,"")))</f>
        <v/>
      </c>
      <c r="G341" s="11">
        <f>IF(OR($A341=1,$B341="",$A341+G$3&gt;340),"",IF(INDEX($B$5:$B$344,$A341+G$3)="","",IF(AND(YEAR($B341)=$B$2,YEAR(INDEX($B$5:$B$344,$A341+G$3-1))=$B$2),INDEX($B$5:$B$344,$A341+G$3)-INDEX($B$5:$B$344,$A341-1)-1,"")))</f>
        <v/>
      </c>
      <c r="H341" s="11">
        <f>IF(OR($A341=1,$B341="",$A341+H$3&gt;340),"",IF(INDEX($B$5:$B$344,$A341+H$3)="","",IF(AND(YEAR($B341)=$B$2,YEAR(INDEX($B$5:$B$344,$A341+H$3-1))=$B$2),INDEX($B$5:$B$344,$A341+H$3)-INDEX($B$5:$B$344,$A341-1)-1,"")))</f>
        <v/>
      </c>
      <c r="I341" s="11">
        <f>IF(OR($A341=1,$B341="",$A341+I$3&gt;340),"",IF(INDEX($B$5:$B$344,$A341+I$3)="","",IF(AND(YEAR($B341)=$B$2,YEAR(INDEX($B$5:$B$344,$A341+I$3-1))=$B$2),INDEX($B$5:$B$344,$A341+I$3)-INDEX($B$5:$B$344,$A341-1)-1,"")))</f>
        <v/>
      </c>
      <c r="J341" s="11">
        <f>IF(OR($A341=1,$B341="",$A341+J$3&gt;340),"",IF(INDEX($B$5:$B$344,$A341+J$3)="","",IF(AND(YEAR($B341)=$B$2,YEAR(INDEX($B$5:$B$344,$A341+J$3-1))=$B$2),INDEX($B$5:$B$344,$A341+J$3)-INDEX($B$5:$B$344,$A341-1)-1,"")))</f>
        <v/>
      </c>
      <c r="K341" s="11">
        <f>IF(OR($A341=1,$B341="",$A341+K$3&gt;340),"",IF(INDEX($B$5:$B$344,$A341+K$3)="","",IF(AND(YEAR($B341)=$B$2,YEAR(INDEX($B$5:$B$344,$A341+K$3-1))=$B$2),INDEX($B$5:$B$344,$A341+K$3)-INDEX($B$5:$B$344,$A341-1)-1,"")))</f>
        <v/>
      </c>
      <c r="L341" s="11">
        <f>IF(OR($A341=1,$B341="",$A341+L$3&gt;340),"",IF(INDEX($B$5:$B$344,$A341+L$3)="","",IF(AND(YEAR($B341)=$B$2,YEAR(INDEX($B$5:$B$344,$A341+L$3-1))=$B$2),INDEX($B$5:$B$344,$A341+L$3)-INDEX($B$5:$B$344,$A341-1)-1,"")))</f>
        <v/>
      </c>
      <c r="M341" s="11">
        <f>IF(OR($A341=1,$B341="",$A341+M$3&gt;340),"",IF(INDEX($B$5:$B$344,$A341+M$3)="","",IF(AND(YEAR($B341)=$B$2,YEAR(INDEX($B$5:$B$344,$A341+M$3-1))=$B$2),INDEX($B$5:$B$344,$A341+M$3)-INDEX($B$5:$B$344,$A341-1)-1,"")))</f>
        <v/>
      </c>
    </row>
    <row r="342">
      <c r="A342" s="11" t="n">
        <v>338</v>
      </c>
      <c r="B342" s="10">
        <f>IFERROR(INDEX('2_暦'!$A$7:$A$433,MATCH(A342,'2_暦'!$K$7:$K$433,0)),"")</f>
        <v/>
      </c>
      <c r="C342" s="11">
        <f>IF(OR($A342=1,$B342=""),"",IF(OR(YEAR($B342-1)=$B$2,YEAR(INDEX($B$5:$B$344,$A342-1)+1)=$B$2),$B342-INDEX($B$5:$B$344,$A342-1)-1,""))</f>
        <v/>
      </c>
      <c r="D342" s="11">
        <f>IF(OR($A342=1,$B342="",$A342+D$3&gt;340),"",IF(INDEX($B$5:$B$344,$A342+D$3)="","",IF(AND(YEAR($B342)=$B$2,YEAR(INDEX($B$5:$B$344,$A342+D$3-1))=$B$2),INDEX($B$5:$B$344,$A342+D$3)-INDEX($B$5:$B$344,$A342-1)-1,"")))</f>
        <v/>
      </c>
      <c r="E342" s="11">
        <f>IF(OR($A342=1,$B342="",$A342+E$3&gt;340),"",IF(INDEX($B$5:$B$344,$A342+E$3)="","",IF(AND(YEAR($B342)=$B$2,YEAR(INDEX($B$5:$B$344,$A342+E$3-1))=$B$2),INDEX($B$5:$B$344,$A342+E$3)-INDEX($B$5:$B$344,$A342-1)-1,"")))</f>
        <v/>
      </c>
      <c r="F342" s="11">
        <f>IF(OR($A342=1,$B342="",$A342+F$3&gt;340),"",IF(INDEX($B$5:$B$344,$A342+F$3)="","",IF(AND(YEAR($B342)=$B$2,YEAR(INDEX($B$5:$B$344,$A342+F$3-1))=$B$2),INDEX($B$5:$B$344,$A342+F$3)-INDEX($B$5:$B$344,$A342-1)-1,"")))</f>
        <v/>
      </c>
      <c r="G342" s="11">
        <f>IF(OR($A342=1,$B342="",$A342+G$3&gt;340),"",IF(INDEX($B$5:$B$344,$A342+G$3)="","",IF(AND(YEAR($B342)=$B$2,YEAR(INDEX($B$5:$B$344,$A342+G$3-1))=$B$2),INDEX($B$5:$B$344,$A342+G$3)-INDEX($B$5:$B$344,$A342-1)-1,"")))</f>
        <v/>
      </c>
      <c r="H342" s="11">
        <f>IF(OR($A342=1,$B342="",$A342+H$3&gt;340),"",IF(INDEX($B$5:$B$344,$A342+H$3)="","",IF(AND(YEAR($B342)=$B$2,YEAR(INDEX($B$5:$B$344,$A342+H$3-1))=$B$2),INDEX($B$5:$B$344,$A342+H$3)-INDEX($B$5:$B$344,$A342-1)-1,"")))</f>
        <v/>
      </c>
      <c r="I342" s="11">
        <f>IF(OR($A342=1,$B342="",$A342+I$3&gt;340),"",IF(INDEX($B$5:$B$344,$A342+I$3)="","",IF(AND(YEAR($B342)=$B$2,YEAR(INDEX($B$5:$B$344,$A342+I$3-1))=$B$2),INDEX($B$5:$B$344,$A342+I$3)-INDEX($B$5:$B$344,$A342-1)-1,"")))</f>
        <v/>
      </c>
      <c r="J342" s="11">
        <f>IF(OR($A342=1,$B342="",$A342+J$3&gt;340),"",IF(INDEX($B$5:$B$344,$A342+J$3)="","",IF(AND(YEAR($B342)=$B$2,YEAR(INDEX($B$5:$B$344,$A342+J$3-1))=$B$2),INDEX($B$5:$B$344,$A342+J$3)-INDEX($B$5:$B$344,$A342-1)-1,"")))</f>
        <v/>
      </c>
      <c r="K342" s="11">
        <f>IF(OR($A342=1,$B342="",$A342+K$3&gt;340),"",IF(INDEX($B$5:$B$344,$A342+K$3)="","",IF(AND(YEAR($B342)=$B$2,YEAR(INDEX($B$5:$B$344,$A342+K$3-1))=$B$2),INDEX($B$5:$B$344,$A342+K$3)-INDEX($B$5:$B$344,$A342-1)-1,"")))</f>
        <v/>
      </c>
      <c r="L342" s="11">
        <f>IF(OR($A342=1,$B342="",$A342+L$3&gt;340),"",IF(INDEX($B$5:$B$344,$A342+L$3)="","",IF(AND(YEAR($B342)=$B$2,YEAR(INDEX($B$5:$B$344,$A342+L$3-1))=$B$2),INDEX($B$5:$B$344,$A342+L$3)-INDEX($B$5:$B$344,$A342-1)-1,"")))</f>
        <v/>
      </c>
      <c r="M342" s="11">
        <f>IF(OR($A342=1,$B342="",$A342+M$3&gt;340),"",IF(INDEX($B$5:$B$344,$A342+M$3)="","",IF(AND(YEAR($B342)=$B$2,YEAR(INDEX($B$5:$B$344,$A342+M$3-1))=$B$2),INDEX($B$5:$B$344,$A342+M$3)-INDEX($B$5:$B$344,$A342-1)-1,"")))</f>
        <v/>
      </c>
    </row>
    <row r="343">
      <c r="A343" s="11" t="n">
        <v>339</v>
      </c>
      <c r="B343" s="10">
        <f>IFERROR(INDEX('2_暦'!$A$7:$A$433,MATCH(A343,'2_暦'!$K$7:$K$433,0)),"")</f>
        <v/>
      </c>
      <c r="C343" s="11">
        <f>IF(OR($A343=1,$B343=""),"",IF(OR(YEAR($B343-1)=$B$2,YEAR(INDEX($B$5:$B$344,$A343-1)+1)=$B$2),$B343-INDEX($B$5:$B$344,$A343-1)-1,""))</f>
        <v/>
      </c>
      <c r="D343" s="11">
        <f>IF(OR($A343=1,$B343="",$A343+D$3&gt;340),"",IF(INDEX($B$5:$B$344,$A343+D$3)="","",IF(AND(YEAR($B343)=$B$2,YEAR(INDEX($B$5:$B$344,$A343+D$3-1))=$B$2),INDEX($B$5:$B$344,$A343+D$3)-INDEX($B$5:$B$344,$A343-1)-1,"")))</f>
        <v/>
      </c>
      <c r="E343" s="11">
        <f>IF(OR($A343=1,$B343="",$A343+E$3&gt;340),"",IF(INDEX($B$5:$B$344,$A343+E$3)="","",IF(AND(YEAR($B343)=$B$2,YEAR(INDEX($B$5:$B$344,$A343+E$3-1))=$B$2),INDEX($B$5:$B$344,$A343+E$3)-INDEX($B$5:$B$344,$A343-1)-1,"")))</f>
        <v/>
      </c>
      <c r="F343" s="11">
        <f>IF(OR($A343=1,$B343="",$A343+F$3&gt;340),"",IF(INDEX($B$5:$B$344,$A343+F$3)="","",IF(AND(YEAR($B343)=$B$2,YEAR(INDEX($B$5:$B$344,$A343+F$3-1))=$B$2),INDEX($B$5:$B$344,$A343+F$3)-INDEX($B$5:$B$344,$A343-1)-1,"")))</f>
        <v/>
      </c>
      <c r="G343" s="11">
        <f>IF(OR($A343=1,$B343="",$A343+G$3&gt;340),"",IF(INDEX($B$5:$B$344,$A343+G$3)="","",IF(AND(YEAR($B343)=$B$2,YEAR(INDEX($B$5:$B$344,$A343+G$3-1))=$B$2),INDEX($B$5:$B$344,$A343+G$3)-INDEX($B$5:$B$344,$A343-1)-1,"")))</f>
        <v/>
      </c>
      <c r="H343" s="11">
        <f>IF(OR($A343=1,$B343="",$A343+H$3&gt;340),"",IF(INDEX($B$5:$B$344,$A343+H$3)="","",IF(AND(YEAR($B343)=$B$2,YEAR(INDEX($B$5:$B$344,$A343+H$3-1))=$B$2),INDEX($B$5:$B$344,$A343+H$3)-INDEX($B$5:$B$344,$A343-1)-1,"")))</f>
        <v/>
      </c>
      <c r="I343" s="11">
        <f>IF(OR($A343=1,$B343="",$A343+I$3&gt;340),"",IF(INDEX($B$5:$B$344,$A343+I$3)="","",IF(AND(YEAR($B343)=$B$2,YEAR(INDEX($B$5:$B$344,$A343+I$3-1))=$B$2),INDEX($B$5:$B$344,$A343+I$3)-INDEX($B$5:$B$344,$A343-1)-1,"")))</f>
        <v/>
      </c>
      <c r="J343" s="11">
        <f>IF(OR($A343=1,$B343="",$A343+J$3&gt;340),"",IF(INDEX($B$5:$B$344,$A343+J$3)="","",IF(AND(YEAR($B343)=$B$2,YEAR(INDEX($B$5:$B$344,$A343+J$3-1))=$B$2),INDEX($B$5:$B$344,$A343+J$3)-INDEX($B$5:$B$344,$A343-1)-1,"")))</f>
        <v/>
      </c>
      <c r="K343" s="11">
        <f>IF(OR($A343=1,$B343="",$A343+K$3&gt;340),"",IF(INDEX($B$5:$B$344,$A343+K$3)="","",IF(AND(YEAR($B343)=$B$2,YEAR(INDEX($B$5:$B$344,$A343+K$3-1))=$B$2),INDEX($B$5:$B$344,$A343+K$3)-INDEX($B$5:$B$344,$A343-1)-1,"")))</f>
        <v/>
      </c>
      <c r="L343" s="11">
        <f>IF(OR($A343=1,$B343="",$A343+L$3&gt;340),"",IF(INDEX($B$5:$B$344,$A343+L$3)="","",IF(AND(YEAR($B343)=$B$2,YEAR(INDEX($B$5:$B$344,$A343+L$3-1))=$B$2),INDEX($B$5:$B$344,$A343+L$3)-INDEX($B$5:$B$344,$A343-1)-1,"")))</f>
        <v/>
      </c>
      <c r="M343" s="11">
        <f>IF(OR($A343=1,$B343="",$A343+M$3&gt;340),"",IF(INDEX($B$5:$B$344,$A343+M$3)="","",IF(AND(YEAR($B343)=$B$2,YEAR(INDEX($B$5:$B$344,$A343+M$3-1))=$B$2),INDEX($B$5:$B$344,$A343+M$3)-INDEX($B$5:$B$344,$A343-1)-1,"")))</f>
        <v/>
      </c>
    </row>
    <row r="344">
      <c r="A344" s="11" t="n">
        <v>340</v>
      </c>
      <c r="B344" s="10">
        <f>IFERROR(INDEX('2_暦'!$A$7:$A$433,MATCH(A344,'2_暦'!$K$7:$K$433,0)),"")</f>
        <v/>
      </c>
      <c r="C344" s="11">
        <f>IF(OR($A344=1,$B344=""),"",IF(OR(YEAR($B344-1)=$B$2,YEAR(INDEX($B$5:$B$344,$A344-1)+1)=$B$2),$B344-INDEX($B$5:$B$344,$A344-1)-1,""))</f>
        <v/>
      </c>
      <c r="D344" s="11">
        <f>IF(OR($A344=1,$B344="",$A344+D$3&gt;340),"",IF(INDEX($B$5:$B$344,$A344+D$3)="","",IF(AND(YEAR($B344)=$B$2,YEAR(INDEX($B$5:$B$344,$A344+D$3-1))=$B$2),INDEX($B$5:$B$344,$A344+D$3)-INDEX($B$5:$B$344,$A344-1)-1,"")))</f>
        <v/>
      </c>
      <c r="E344" s="11">
        <f>IF(OR($A344=1,$B344="",$A344+E$3&gt;340),"",IF(INDEX($B$5:$B$344,$A344+E$3)="","",IF(AND(YEAR($B344)=$B$2,YEAR(INDEX($B$5:$B$344,$A344+E$3-1))=$B$2),INDEX($B$5:$B$344,$A344+E$3)-INDEX($B$5:$B$344,$A344-1)-1,"")))</f>
        <v/>
      </c>
      <c r="F344" s="11">
        <f>IF(OR($A344=1,$B344="",$A344+F$3&gt;340),"",IF(INDEX($B$5:$B$344,$A344+F$3)="","",IF(AND(YEAR($B344)=$B$2,YEAR(INDEX($B$5:$B$344,$A344+F$3-1))=$B$2),INDEX($B$5:$B$344,$A344+F$3)-INDEX($B$5:$B$344,$A344-1)-1,"")))</f>
        <v/>
      </c>
      <c r="G344" s="11">
        <f>IF(OR($A344=1,$B344="",$A344+G$3&gt;340),"",IF(INDEX($B$5:$B$344,$A344+G$3)="","",IF(AND(YEAR($B344)=$B$2,YEAR(INDEX($B$5:$B$344,$A344+G$3-1))=$B$2),INDEX($B$5:$B$344,$A344+G$3)-INDEX($B$5:$B$344,$A344-1)-1,"")))</f>
        <v/>
      </c>
      <c r="H344" s="11">
        <f>IF(OR($A344=1,$B344="",$A344+H$3&gt;340),"",IF(INDEX($B$5:$B$344,$A344+H$3)="","",IF(AND(YEAR($B344)=$B$2,YEAR(INDEX($B$5:$B$344,$A344+H$3-1))=$B$2),INDEX($B$5:$B$344,$A344+H$3)-INDEX($B$5:$B$344,$A344-1)-1,"")))</f>
        <v/>
      </c>
      <c r="I344" s="11">
        <f>IF(OR($A344=1,$B344="",$A344+I$3&gt;340),"",IF(INDEX($B$5:$B$344,$A344+I$3)="","",IF(AND(YEAR($B344)=$B$2,YEAR(INDEX($B$5:$B$344,$A344+I$3-1))=$B$2),INDEX($B$5:$B$344,$A344+I$3)-INDEX($B$5:$B$344,$A344-1)-1,"")))</f>
        <v/>
      </c>
      <c r="J344" s="11">
        <f>IF(OR($A344=1,$B344="",$A344+J$3&gt;340),"",IF(INDEX($B$5:$B$344,$A344+J$3)="","",IF(AND(YEAR($B344)=$B$2,YEAR(INDEX($B$5:$B$344,$A344+J$3-1))=$B$2),INDEX($B$5:$B$344,$A344+J$3)-INDEX($B$5:$B$344,$A344-1)-1,"")))</f>
        <v/>
      </c>
      <c r="K344" s="11">
        <f>IF(OR($A344=1,$B344="",$A344+K$3&gt;340),"",IF(INDEX($B$5:$B$344,$A344+K$3)="","",IF(AND(YEAR($B344)=$B$2,YEAR(INDEX($B$5:$B$344,$A344+K$3-1))=$B$2),INDEX($B$5:$B$344,$A344+K$3)-INDEX($B$5:$B$344,$A344-1)-1,"")))</f>
        <v/>
      </c>
      <c r="L344" s="11">
        <f>IF(OR($A344=1,$B344="",$A344+L$3&gt;340),"",IF(INDEX($B$5:$B$344,$A344+L$3)="","",IF(AND(YEAR($B344)=$B$2,YEAR(INDEX($B$5:$B$344,$A344+L$3-1))=$B$2),INDEX($B$5:$B$344,$A344+L$3)-INDEX($B$5:$B$344,$A344-1)-1,"")))</f>
        <v/>
      </c>
      <c r="M344" s="11">
        <f>IF(OR($A344=1,$B344="",$A344+M$3&gt;340),"",IF(INDEX($B$5:$B$344,$A344+M$3)="","",IF(AND(YEAR($B344)=$B$2,YEAR(INDEX($B$5:$B$344,$A344+M$3-1))=$B$2),INDEX($B$5:$B$344,$A344+M$3)-INDEX($B$5:$B$344,$A344-1)-1,"")))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2_暦 のE列に、有給を取る日だけ 1 を入れる。J列にその日を含む連休の長さが出る。F4に今いちばん長い連休が出る。</t>
        </is>
      </c>
    </row>
    <row r="4">
      <c r="A4" t="inlineStr">
        <is>
          <t>もとから休みの日に 1 を入れると、I列に「もとから休み」と出る。有給の日数には数えるが、休みは延びない。</t>
        </is>
      </c>
    </row>
    <row r="5">
      <c r="A5" t="inlineStr">
        <is>
          <t>2_暦 のB3を1にすると、12月29日から1月3日も休みとして数える。行政機関の休日に関する法律第1条と同じ決め方。</t>
        </is>
      </c>
    </row>
    <row r="6">
      <c r="A6" t="inlineStr">
        <is>
          <t>会社の休み（創立記念日、夏季休業など）は、1_祝日 のD列に日付を足す。</t>
        </is>
      </c>
    </row>
    <row r="7">
      <c r="A7" t="inlineStr"/>
    </row>
    <row r="8">
      <c r="A8" t="inlineStr">
        <is>
          <t>3_最長 は、有給をk日使ったときにいちばん長くなる連休を、k=0から10まで出す。E列の有給の入力とは関係なく、全部の取り方を数える。</t>
        </is>
      </c>
    </row>
    <row r="9">
      <c r="A9" t="inlineStr">
        <is>
          <t>出勤日を順に並べ、i番目からk日続けて有給にすると、連休は i-1番目の出勤日の翌日から i+k番目の出勤日の前日まで。</t>
        </is>
      </c>
    </row>
    <row r="10">
      <c r="A10" t="inlineStr">
        <is>
          <t>長さは（i+k番目の出勤日）−（i-1番目の出勤日）−1 で出る。D列からM列が、iごとのその長さ。</t>
        </is>
      </c>
    </row>
    <row r="11">
      <c r="A11" t="inlineStr">
        <is>
          <t>有給を飛び飛びに取ると、あいだに出勤日が残って連休が切れる。だから続けてk日取る場合だけ数えれば最長が見つかる。</t>
        </is>
      </c>
    </row>
    <row r="12">
      <c r="A12" t="inlineStr">
        <is>
          <t>数える年に入る有給だけを数え、連休は年をまたいでもよいことにしている。</t>
        </is>
      </c>
    </row>
    <row r="13">
      <c r="A13" t="inlineStr"/>
    </row>
    <row r="14">
      <c r="A14" t="inlineStr">
        <is>
          <t>祝日の一覧は2027年11月23日までしかない（内閣府のCSV）。2028年1月1日の元日だけは祝日法の日付から手で足した。</t>
        </is>
      </c>
    </row>
    <row r="15">
      <c r="A15" t="inlineStr">
        <is>
          <t>2028年の祝日は、例年2月ごろ内閣府のCSVに載る。載ったら 1_祝日 のA列の空いた行に足す。</t>
        </is>
      </c>
    </row>
    <row r="16">
      <c r="A16" t="inlineStr"/>
    </row>
    <row r="17">
      <c r="A17" t="inlineStr">
        <is>
          <t>出典</t>
        </is>
      </c>
    </row>
    <row r="18">
      <c r="A18" t="inlineStr">
        <is>
          <t>内閣府 国民の祝日について https://www8.cao.go.jp/chosei/shukujitsu/gaiyou.html （2026年10月6日確認）</t>
        </is>
      </c>
    </row>
    <row r="19">
      <c r="A19" t="inlineStr">
        <is>
          <t>内閣府 祝日CSV https://www8.cao.go.jp/chosei/shukujitsu/syukujitsu.csv （2026年10月6日取得）</t>
        </is>
      </c>
    </row>
    <row r="20">
      <c r="A20" t="inlineStr">
        <is>
          <t>国民の祝日に関する法律 第3条 https://laws.e-gov.go.jp/law/323AC1000000178 （2026年10月6日確認）</t>
        </is>
      </c>
    </row>
    <row r="21">
      <c r="A21" t="inlineStr">
        <is>
          <t>行政機関の休日に関する法律 第1条 https://laws.e-gov.go.jp/law/363AC0000000091 （2026年10月6日確認）</t>
        </is>
      </c>
    </row>
    <row r="22">
      <c r="A22" t="inlineStr">
        <is>
          <t>労働基準法 第39条 https://laws.e-gov.go.jp/law/322AC0000000049 （2026年10月6日確認）</t>
        </is>
      </c>
    </row>
    <row r="23">
      <c r="A23" t="inlineStr"/>
    </row>
    <row r="24">
      <c r="A24" t="inlineStr">
        <is>
          <t>有給を取れる日は、会社の所定休日と時季変更権で変わる。この表は暦の上で数えたもの。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2026-10-05T16:46:53Z</dcterms:created>
  <dcterms:modified xmlns:dcterms="http://purl.org/dc/terms/" xmlns:xsi="http://www.w3.org/2001/XMLSchema-instance" xsi:type="dcterms:W3CDTF">2026-10-05T16:46:55Z</dcterms:modified>
</cp:coreProperties>
</file>